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43BB06E2-D96D-4BFA-93C2-43E251745764}" xr6:coauthVersionLast="47" xr6:coauthVersionMax="47" xr10:uidLastSave="{00000000-0000-0000-0000-000000000000}"/>
  <bookViews>
    <workbookView xWindow="5430" yWindow="4470" windowWidth="29475" windowHeight="16680" tabRatio="684" firstSheet="4"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W129" i="7" l="1"/>
  <c r="EV129" i="7"/>
  <c r="EU129" i="7"/>
  <c r="ET129" i="7"/>
  <c r="ES129" i="7"/>
  <c r="ER129" i="7"/>
  <c r="EQ129" i="7"/>
  <c r="EO129" i="7"/>
  <c r="EN129" i="7"/>
  <c r="EP129" i="7"/>
  <c r="EP104" i="7"/>
  <c r="EP105" i="7"/>
  <c r="EQ13" i="7"/>
  <c r="DD13" i="7"/>
  <c r="DE13" i="7" s="1"/>
  <c r="DF13" i="7" s="1"/>
  <c r="DC13" i="7"/>
  <c r="ER3" i="7"/>
  <c r="ER116" i="7"/>
  <c r="ES116" i="7" s="1"/>
  <c r="EQ116" i="7"/>
  <c r="ER109" i="7"/>
  <c r="ES109" i="7" s="1"/>
  <c r="ET109" i="7" s="1"/>
  <c r="EU109" i="7" s="1"/>
  <c r="EV109" i="7" s="1"/>
  <c r="EW109" i="7" s="1"/>
  <c r="EQ109" i="7"/>
  <c r="EQ107" i="7"/>
  <c r="ER106" i="7"/>
  <c r="ES106" i="7" s="1"/>
  <c r="ET106" i="7" s="1"/>
  <c r="EU106" i="7" s="1"/>
  <c r="EV106" i="7" s="1"/>
  <c r="EW106" i="7" s="1"/>
  <c r="EQ106" i="7"/>
  <c r="ER6" i="7"/>
  <c r="ES6" i="7" s="1"/>
  <c r="ET6" i="7" s="1"/>
  <c r="EU6" i="7" s="1"/>
  <c r="EV6" i="7" s="1"/>
  <c r="EW6" i="7" s="1"/>
  <c r="EQ6" i="7"/>
  <c r="EQ5" i="7"/>
  <c r="ES3" i="7"/>
  <c r="ET3" i="7" s="1"/>
  <c r="EU3" i="7" s="1"/>
  <c r="EV3" i="7" s="1"/>
  <c r="EW3" i="7" s="1"/>
  <c r="EQ3" i="7"/>
  <c r="EO124" i="7"/>
  <c r="EN124" i="7"/>
  <c r="EM124" i="7"/>
  <c r="EM116" i="7"/>
  <c r="EM109" i="7"/>
  <c r="EM107" i="7"/>
  <c r="EM106" i="7"/>
  <c r="EM104" i="7"/>
  <c r="EM102" i="7"/>
  <c r="EN116" i="7"/>
  <c r="EN107" i="7"/>
  <c r="EN106" i="7"/>
  <c r="EN104" i="7"/>
  <c r="EP116" i="7"/>
  <c r="EO116" i="7"/>
  <c r="EO113" i="7"/>
  <c r="EP109" i="7"/>
  <c r="EO107" i="7"/>
  <c r="EP107" i="7"/>
  <c r="EP106" i="7"/>
  <c r="EO106" i="7"/>
  <c r="EO104" i="7"/>
  <c r="DD3" i="7"/>
  <c r="DE3" i="7" s="1"/>
  <c r="DF3" i="7" s="1"/>
  <c r="DC6" i="7"/>
  <c r="DD6" i="7" s="1"/>
  <c r="DE6" i="7" s="1"/>
  <c r="DF6" i="7" s="1"/>
  <c r="DC106" i="7"/>
  <c r="DD106" i="7"/>
  <c r="DE106" i="7"/>
  <c r="DF106" i="7"/>
  <c r="DC107" i="7"/>
  <c r="DD107" i="7"/>
  <c r="DE107" i="7"/>
  <c r="DF107" i="7"/>
  <c r="DC34" i="7"/>
  <c r="DB113" i="7"/>
  <c r="CJ103" i="7"/>
  <c r="EI131" i="7"/>
  <c r="EJ131" i="7"/>
  <c r="EP102" i="7"/>
  <c r="EP101" i="7"/>
  <c r="EP100" i="7"/>
  <c r="EP99" i="7"/>
  <c r="EP98" i="7"/>
  <c r="EP97" i="7"/>
  <c r="EP96" i="7"/>
  <c r="EP90" i="7"/>
  <c r="EP89" i="7"/>
  <c r="EP88" i="7"/>
  <c r="EP87" i="7"/>
  <c r="EP86" i="7"/>
  <c r="EP85" i="7"/>
  <c r="EP84" i="7"/>
  <c r="EP83" i="7"/>
  <c r="EP82" i="7"/>
  <c r="EP81" i="7"/>
  <c r="EP80" i="7"/>
  <c r="EP79" i="7"/>
  <c r="EP78" i="7"/>
  <c r="EP77" i="7"/>
  <c r="EP76" i="7"/>
  <c r="EP75" i="7"/>
  <c r="EP74" i="7"/>
  <c r="EP73" i="7"/>
  <c r="EP72" i="7"/>
  <c r="EP71" i="7"/>
  <c r="EP70" i="7"/>
  <c r="EP69" i="7"/>
  <c r="EP68" i="7"/>
  <c r="EP67" i="7"/>
  <c r="EP66" i="7"/>
  <c r="EP65" i="7"/>
  <c r="EP64" i="7"/>
  <c r="EP63" i="7"/>
  <c r="EP62" i="7"/>
  <c r="EP61" i="7"/>
  <c r="EP60" i="7"/>
  <c r="EP59" i="7"/>
  <c r="EP58" i="7"/>
  <c r="EP57" i="7"/>
  <c r="EP56" i="7"/>
  <c r="EP55" i="7"/>
  <c r="EP54" i="7"/>
  <c r="EP53" i="7"/>
  <c r="EP52" i="7"/>
  <c r="EP51" i="7"/>
  <c r="EP50" i="7"/>
  <c r="EP49" i="7"/>
  <c r="EP48" i="7"/>
  <c r="EP47" i="7"/>
  <c r="EL102" i="7"/>
  <c r="EL101" i="7"/>
  <c r="EL100" i="7"/>
  <c r="EL99" i="7"/>
  <c r="EL98" i="7"/>
  <c r="EL97" i="7"/>
  <c r="EL96" i="7"/>
  <c r="EL95" i="7"/>
  <c r="EL93" i="7"/>
  <c r="EL92" i="7"/>
  <c r="EL91" i="7"/>
  <c r="EL90" i="7"/>
  <c r="EL89" i="7"/>
  <c r="EL88" i="7"/>
  <c r="EL87" i="7"/>
  <c r="EL86" i="7"/>
  <c r="EL85" i="7"/>
  <c r="EL84" i="7"/>
  <c r="EL83" i="7"/>
  <c r="EL82" i="7"/>
  <c r="EL81" i="7"/>
  <c r="EL80" i="7"/>
  <c r="EL79" i="7"/>
  <c r="EL78" i="7"/>
  <c r="EL77" i="7"/>
  <c r="EL76" i="7"/>
  <c r="EL75" i="7"/>
  <c r="EL74" i="7"/>
  <c r="EL73" i="7"/>
  <c r="EL72" i="7"/>
  <c r="EL71" i="7"/>
  <c r="EL70" i="7"/>
  <c r="EL69" i="7"/>
  <c r="EL68" i="7"/>
  <c r="EL67" i="7"/>
  <c r="EL66" i="7"/>
  <c r="EL65" i="7"/>
  <c r="EL64" i="7"/>
  <c r="EL63" i="7"/>
  <c r="EL62" i="7"/>
  <c r="EL61" i="7"/>
  <c r="EL60" i="7"/>
  <c r="EL59" i="7"/>
  <c r="EL58" i="7"/>
  <c r="EL57" i="7"/>
  <c r="EL56" i="7"/>
  <c r="EL55" i="7"/>
  <c r="EL54" i="7"/>
  <c r="EL53" i="7"/>
  <c r="EL52" i="7"/>
  <c r="EL51" i="7"/>
  <c r="EL50" i="7"/>
  <c r="EL49" i="7"/>
  <c r="EL48" i="7"/>
  <c r="EL47" i="7"/>
  <c r="EL46" i="7"/>
  <c r="EL45" i="7"/>
  <c r="EL44" i="7"/>
  <c r="EL43" i="7"/>
  <c r="EL42" i="7"/>
  <c r="EL41" i="7"/>
  <c r="EL40" i="7"/>
  <c r="EL39" i="7"/>
  <c r="EL38" i="7"/>
  <c r="EL37" i="7"/>
  <c r="EL36" i="7"/>
  <c r="EL35" i="7"/>
  <c r="EL33" i="7"/>
  <c r="EL32" i="7"/>
  <c r="EL31" i="7"/>
  <c r="EL30" i="7"/>
  <c r="EL29" i="7"/>
  <c r="EL28" i="7"/>
  <c r="EL27" i="7"/>
  <c r="EL26" i="7"/>
  <c r="EL25" i="7"/>
  <c r="EL24" i="7"/>
  <c r="EL23" i="7"/>
  <c r="EL22" i="7"/>
  <c r="EL21" i="7"/>
  <c r="EL20" i="7"/>
  <c r="EL19" i="7"/>
  <c r="EL18" i="7"/>
  <c r="EL17" i="7"/>
  <c r="EL16" i="7"/>
  <c r="EL15" i="7"/>
  <c r="EL14" i="7"/>
  <c r="EL12" i="7"/>
  <c r="EL11" i="7"/>
  <c r="EL10" i="7"/>
  <c r="EL9" i="7"/>
  <c r="EL8" i="7"/>
  <c r="EL7" i="7"/>
  <c r="EL6" i="7"/>
  <c r="EL5" i="7"/>
  <c r="EL4" i="7"/>
  <c r="EL3" i="7"/>
  <c r="EM3" i="7"/>
  <c r="EM101" i="7"/>
  <c r="EM100" i="7"/>
  <c r="EM99" i="7"/>
  <c r="EM98" i="7"/>
  <c r="EM97" i="7"/>
  <c r="EM96" i="7"/>
  <c r="EM95" i="7"/>
  <c r="EM93" i="7"/>
  <c r="EM92" i="7"/>
  <c r="EM91" i="7"/>
  <c r="EM90" i="7"/>
  <c r="EM89" i="7"/>
  <c r="EM88" i="7"/>
  <c r="EM87" i="7"/>
  <c r="EM86" i="7"/>
  <c r="EM85" i="7"/>
  <c r="EM84" i="7"/>
  <c r="EM83" i="7"/>
  <c r="EM82" i="7"/>
  <c r="EM81" i="7"/>
  <c r="EM80" i="7"/>
  <c r="EM79" i="7"/>
  <c r="EM78" i="7"/>
  <c r="EM77" i="7"/>
  <c r="EM76" i="7"/>
  <c r="EM75" i="7"/>
  <c r="EM74" i="7"/>
  <c r="EM73" i="7"/>
  <c r="EM72" i="7"/>
  <c r="EM71" i="7"/>
  <c r="EM70" i="7"/>
  <c r="EM69" i="7"/>
  <c r="EM68" i="7"/>
  <c r="EM67" i="7"/>
  <c r="EM66" i="7"/>
  <c r="EM65" i="7"/>
  <c r="EM64" i="7"/>
  <c r="EM63" i="7"/>
  <c r="EM62" i="7"/>
  <c r="EM61" i="7"/>
  <c r="EM60" i="7"/>
  <c r="EM59" i="7"/>
  <c r="EM58" i="7"/>
  <c r="EM57" i="7"/>
  <c r="EM56" i="7"/>
  <c r="EM55" i="7"/>
  <c r="EM54" i="7"/>
  <c r="EM53" i="7"/>
  <c r="EM52" i="7"/>
  <c r="EM51" i="7"/>
  <c r="EM50" i="7"/>
  <c r="EM49" i="7"/>
  <c r="EM48" i="7"/>
  <c r="EM47" i="7"/>
  <c r="EM46" i="7"/>
  <c r="EM45" i="7"/>
  <c r="EM44" i="7"/>
  <c r="EM43" i="7"/>
  <c r="EM42" i="7"/>
  <c r="EM41" i="7"/>
  <c r="EM40" i="7"/>
  <c r="EM39" i="7"/>
  <c r="EM38" i="7"/>
  <c r="EM37" i="7"/>
  <c r="EM36" i="7"/>
  <c r="EM35" i="7"/>
  <c r="EM33" i="7"/>
  <c r="EM32" i="7"/>
  <c r="EM31" i="7"/>
  <c r="EM30" i="7"/>
  <c r="EM29" i="7"/>
  <c r="EM28" i="7"/>
  <c r="EM27" i="7"/>
  <c r="EM26" i="7"/>
  <c r="EM25" i="7"/>
  <c r="EM24" i="7"/>
  <c r="EM23" i="7"/>
  <c r="EM22" i="7"/>
  <c r="EM21" i="7"/>
  <c r="EM20" i="7"/>
  <c r="EM19" i="7"/>
  <c r="EM18" i="7"/>
  <c r="EM17" i="7"/>
  <c r="EM16" i="7"/>
  <c r="EM15" i="7"/>
  <c r="EM14" i="7"/>
  <c r="EM12" i="7"/>
  <c r="EM11" i="7"/>
  <c r="EM10" i="7"/>
  <c r="EM9" i="7"/>
  <c r="EM8" i="7"/>
  <c r="EM7" i="7"/>
  <c r="EM6" i="7"/>
  <c r="EM5" i="7"/>
  <c r="EM4" i="7"/>
  <c r="CK113" i="7"/>
  <c r="CO113" i="7"/>
  <c r="CS132" i="7"/>
  <c r="CR132" i="7"/>
  <c r="CQ132" i="7"/>
  <c r="CP132" i="7"/>
  <c r="CO132" i="7"/>
  <c r="CS131" i="7"/>
  <c r="CR131" i="7"/>
  <c r="CQ131" i="7"/>
  <c r="CP131" i="7"/>
  <c r="CO131" i="7"/>
  <c r="CS130" i="7"/>
  <c r="CR130" i="7"/>
  <c r="CQ130" i="7"/>
  <c r="CP130" i="7"/>
  <c r="CO130" i="7"/>
  <c r="CS129" i="7"/>
  <c r="CR129" i="7"/>
  <c r="CQ129" i="7"/>
  <c r="CP129" i="7"/>
  <c r="CO129" i="7"/>
  <c r="CK94" i="7"/>
  <c r="CK103" i="7" s="1"/>
  <c r="CK105" i="7" s="1"/>
  <c r="CK108" i="7" s="1"/>
  <c r="CO94" i="7"/>
  <c r="CO103" i="7" s="1"/>
  <c r="CO120" i="7" s="1"/>
  <c r="CT132" i="7"/>
  <c r="CT131" i="7"/>
  <c r="CT130" i="7"/>
  <c r="CT129" i="7"/>
  <c r="CP113" i="7"/>
  <c r="CL94" i="7"/>
  <c r="CM94" i="7"/>
  <c r="CM103" i="7" s="1"/>
  <c r="CP94" i="7"/>
  <c r="CP103" i="7" s="1"/>
  <c r="CL103" i="7"/>
  <c r="CL119" i="7" s="1"/>
  <c r="CM113" i="7"/>
  <c r="CU132" i="7"/>
  <c r="CU131" i="7"/>
  <c r="CU130" i="7"/>
  <c r="CU129" i="7"/>
  <c r="CQ113" i="7"/>
  <c r="EM113" i="7" s="1"/>
  <c r="CQ94" i="7"/>
  <c r="CQ103" i="7" s="1"/>
  <c r="CQ105" i="7" s="1"/>
  <c r="CQ108" i="7" s="1"/>
  <c r="CQ112" i="7" s="1"/>
  <c r="CN113" i="7"/>
  <c r="CR113" i="7"/>
  <c r="CV132" i="7"/>
  <c r="CV131" i="7"/>
  <c r="CV130" i="7"/>
  <c r="CV129" i="7"/>
  <c r="CZ132" i="7"/>
  <c r="CY132" i="7"/>
  <c r="CX132" i="7"/>
  <c r="CW132" i="7"/>
  <c r="DA132" i="7"/>
  <c r="CZ131" i="7"/>
  <c r="CY131" i="7"/>
  <c r="CX131" i="7"/>
  <c r="CW131" i="7"/>
  <c r="DA131" i="7"/>
  <c r="CZ130" i="7"/>
  <c r="CY130" i="7"/>
  <c r="CX130" i="7"/>
  <c r="CW130" i="7"/>
  <c r="DA130" i="7"/>
  <c r="DA113" i="7"/>
  <c r="CW113" i="7"/>
  <c r="EN113" i="7" s="1"/>
  <c r="DE129" i="7"/>
  <c r="DD129" i="7"/>
  <c r="DC129" i="7"/>
  <c r="CW129" i="7"/>
  <c r="CX129" i="7"/>
  <c r="CY129" i="7"/>
  <c r="CZ129" i="7"/>
  <c r="DA129" i="7"/>
  <c r="DB129" i="7"/>
  <c r="CY176" i="7"/>
  <c r="CZ176" i="7" s="1"/>
  <c r="DA176" i="7" s="1"/>
  <c r="CZ177" i="7"/>
  <c r="DA177" i="7" s="1"/>
  <c r="CZ175" i="7"/>
  <c r="DA175" i="7" s="1"/>
  <c r="CZ184" i="7"/>
  <c r="DA184" i="7" s="1"/>
  <c r="CZ183" i="7"/>
  <c r="DA183" i="7" s="1"/>
  <c r="CY181" i="7"/>
  <c r="CY185" i="7" s="1"/>
  <c r="CZ181" i="7"/>
  <c r="CZ182" i="7"/>
  <c r="DA182" i="7" s="1"/>
  <c r="CY173" i="7"/>
  <c r="CY189" i="7" s="1"/>
  <c r="CZ172" i="7"/>
  <c r="CZ170" i="7"/>
  <c r="DA170" i="7" s="1"/>
  <c r="CZ169" i="7"/>
  <c r="DA169" i="7" s="1"/>
  <c r="CZ168" i="7"/>
  <c r="DA168" i="7" s="1"/>
  <c r="CZ167" i="7"/>
  <c r="DA167" i="7" s="1"/>
  <c r="CZ166" i="7"/>
  <c r="DA166" i="7" s="1"/>
  <c r="CZ165" i="7"/>
  <c r="DA165" i="7" s="1"/>
  <c r="CZ164" i="7"/>
  <c r="DA164" i="7" s="1"/>
  <c r="DA155" i="7"/>
  <c r="DA148" i="7"/>
  <c r="DA144" i="7"/>
  <c r="DA138" i="7"/>
  <c r="DA141" i="7"/>
  <c r="CZ155" i="7"/>
  <c r="CZ148" i="7"/>
  <c r="CZ144" i="7"/>
  <c r="CZ141" i="7"/>
  <c r="CZ138" i="7"/>
  <c r="DC116" i="7"/>
  <c r="DD116" i="7" s="1"/>
  <c r="DE116" i="7" s="1"/>
  <c r="DF116" i="7" s="1"/>
  <c r="DC95" i="7"/>
  <c r="DD95" i="7" s="1"/>
  <c r="DE95" i="7" s="1"/>
  <c r="DF95" i="7" s="1"/>
  <c r="DC94" i="7"/>
  <c r="DD94" i="7" s="1"/>
  <c r="DE94" i="7" s="1"/>
  <c r="DF94" i="7" s="1"/>
  <c r="DC93" i="7"/>
  <c r="DD93" i="7" s="1"/>
  <c r="DE93" i="7" s="1"/>
  <c r="DF93" i="7" s="1"/>
  <c r="DC92" i="7"/>
  <c r="DD92" i="7" s="1"/>
  <c r="DE92" i="7" s="1"/>
  <c r="DF92" i="7" s="1"/>
  <c r="DC91" i="7"/>
  <c r="DD91" i="7" s="1"/>
  <c r="DE91" i="7" s="1"/>
  <c r="DF91" i="7" s="1"/>
  <c r="DC46" i="7"/>
  <c r="DD46" i="7" s="1"/>
  <c r="DE46" i="7" s="1"/>
  <c r="DF46" i="7" s="1"/>
  <c r="DC45" i="7"/>
  <c r="DD45" i="7" s="1"/>
  <c r="DE45" i="7" s="1"/>
  <c r="DF45" i="7" s="1"/>
  <c r="DC44" i="7"/>
  <c r="DD44" i="7" s="1"/>
  <c r="DE44" i="7" s="1"/>
  <c r="DF44" i="7" s="1"/>
  <c r="DC43" i="7"/>
  <c r="DD43" i="7" s="1"/>
  <c r="DE43" i="7" s="1"/>
  <c r="DF43" i="7" s="1"/>
  <c r="DC42" i="7"/>
  <c r="DD42" i="7" s="1"/>
  <c r="DE42" i="7" s="1"/>
  <c r="DF42" i="7" s="1"/>
  <c r="DC41" i="7"/>
  <c r="DD41" i="7" s="1"/>
  <c r="DE41" i="7" s="1"/>
  <c r="DF41" i="7" s="1"/>
  <c r="DC40" i="7"/>
  <c r="DD40" i="7" s="1"/>
  <c r="DE40" i="7" s="1"/>
  <c r="DF40" i="7" s="1"/>
  <c r="DC39" i="7"/>
  <c r="DD39" i="7" s="1"/>
  <c r="DE39" i="7" s="1"/>
  <c r="DF39" i="7" s="1"/>
  <c r="DC38" i="7"/>
  <c r="DD38" i="7" s="1"/>
  <c r="DE38" i="7" s="1"/>
  <c r="DF38" i="7" s="1"/>
  <c r="DC37" i="7"/>
  <c r="DD37" i="7" s="1"/>
  <c r="DE37" i="7" s="1"/>
  <c r="DF37" i="7" s="1"/>
  <c r="DC36" i="7"/>
  <c r="DD36" i="7" s="1"/>
  <c r="DE36" i="7" s="1"/>
  <c r="DF36" i="7" s="1"/>
  <c r="DC33" i="7"/>
  <c r="DD33" i="7" s="1"/>
  <c r="DE33" i="7" s="1"/>
  <c r="DF33" i="7" s="1"/>
  <c r="DC32" i="7"/>
  <c r="DD32" i="7" s="1"/>
  <c r="DE32" i="7" s="1"/>
  <c r="DF32" i="7" s="1"/>
  <c r="DC31" i="7"/>
  <c r="DD31" i="7" s="1"/>
  <c r="DE31" i="7" s="1"/>
  <c r="DF31" i="7" s="1"/>
  <c r="DE30" i="7"/>
  <c r="DD30" i="7"/>
  <c r="DC30" i="7"/>
  <c r="DF30" i="7"/>
  <c r="DE29" i="7"/>
  <c r="DD29" i="7"/>
  <c r="DC29" i="7"/>
  <c r="DF29" i="7"/>
  <c r="DE28" i="7"/>
  <c r="DD28" i="7"/>
  <c r="DC28" i="7"/>
  <c r="DF28" i="7"/>
  <c r="DE27" i="7"/>
  <c r="DD27" i="7"/>
  <c r="DC27" i="7"/>
  <c r="DF27" i="7"/>
  <c r="DE26" i="7"/>
  <c r="DD26" i="7"/>
  <c r="DC26" i="7"/>
  <c r="DF26" i="7"/>
  <c r="DE25" i="7"/>
  <c r="DD25" i="7"/>
  <c r="DC25" i="7"/>
  <c r="DF25" i="7"/>
  <c r="DE24" i="7"/>
  <c r="DD24" i="7"/>
  <c r="DC24" i="7"/>
  <c r="DF24" i="7"/>
  <c r="DE23" i="7"/>
  <c r="DD23" i="7"/>
  <c r="DC23" i="7"/>
  <c r="DF23" i="7"/>
  <c r="DC22" i="7"/>
  <c r="DD22" i="7" s="1"/>
  <c r="DE22" i="7" s="1"/>
  <c r="DF22" i="7" s="1"/>
  <c r="DE21" i="7"/>
  <c r="DD21" i="7"/>
  <c r="DC21" i="7"/>
  <c r="DF21" i="7"/>
  <c r="DE35" i="7"/>
  <c r="DD35" i="7"/>
  <c r="DC35" i="7"/>
  <c r="DF35" i="7"/>
  <c r="CX103" i="7"/>
  <c r="CU109" i="7"/>
  <c r="CY109" i="7"/>
  <c r="ET116" i="7" l="1"/>
  <c r="EP13" i="7"/>
  <c r="DD34" i="7"/>
  <c r="DE34" i="7" s="1"/>
  <c r="DF34" i="7" s="1"/>
  <c r="EP28" i="7"/>
  <c r="EQ28" i="7" s="1"/>
  <c r="ER28" i="7" s="1"/>
  <c r="ES28" i="7" s="1"/>
  <c r="ET28" i="7" s="1"/>
  <c r="EU28" i="7" s="1"/>
  <c r="EV28" i="7" s="1"/>
  <c r="EW28" i="7" s="1"/>
  <c r="EX28" i="7" s="1"/>
  <c r="EY28" i="7" s="1"/>
  <c r="EZ28" i="7" s="1"/>
  <c r="FA28" i="7" s="1"/>
  <c r="FB28" i="7" s="1"/>
  <c r="EP26" i="7"/>
  <c r="EQ26" i="7" s="1"/>
  <c r="ER26" i="7" s="1"/>
  <c r="ES26" i="7" s="1"/>
  <c r="ET26" i="7" s="1"/>
  <c r="EU26" i="7" s="1"/>
  <c r="EV26" i="7" s="1"/>
  <c r="EW26" i="7" s="1"/>
  <c r="EX26" i="7" s="1"/>
  <c r="EY26" i="7" s="1"/>
  <c r="EZ26" i="7" s="1"/>
  <c r="FA26" i="7" s="1"/>
  <c r="FB26" i="7" s="1"/>
  <c r="EM132" i="7"/>
  <c r="EP27" i="7"/>
  <c r="EQ27" i="7" s="1"/>
  <c r="ER27" i="7" s="1"/>
  <c r="ES27" i="7" s="1"/>
  <c r="ET27" i="7" s="1"/>
  <c r="EU27" i="7" s="1"/>
  <c r="EV27" i="7" s="1"/>
  <c r="EW27" i="7" s="1"/>
  <c r="EX27" i="7" s="1"/>
  <c r="EY27" i="7" s="1"/>
  <c r="EZ27" i="7" s="1"/>
  <c r="FA27" i="7" s="1"/>
  <c r="FB27" i="7" s="1"/>
  <c r="EM131" i="7"/>
  <c r="EP21" i="7"/>
  <c r="EQ21" i="7" s="1"/>
  <c r="ER21" i="7" s="1"/>
  <c r="ES21" i="7" s="1"/>
  <c r="ET21" i="7" s="1"/>
  <c r="EU21" i="7" s="1"/>
  <c r="EV21" i="7" s="1"/>
  <c r="EW21" i="7" s="1"/>
  <c r="EX21" i="7" s="1"/>
  <c r="EY21" i="7" s="1"/>
  <c r="EZ21" i="7" s="1"/>
  <c r="FA21" i="7" s="1"/>
  <c r="FB21" i="7" s="1"/>
  <c r="EM130" i="7"/>
  <c r="EP23" i="7"/>
  <c r="EQ23" i="7" s="1"/>
  <c r="ER23" i="7" s="1"/>
  <c r="ES23" i="7" s="1"/>
  <c r="ET23" i="7" s="1"/>
  <c r="EU23" i="7" s="1"/>
  <c r="EV23" i="7" s="1"/>
  <c r="EW23" i="7" s="1"/>
  <c r="EX23" i="7" s="1"/>
  <c r="EY23" i="7" s="1"/>
  <c r="EZ23" i="7" s="1"/>
  <c r="FA23" i="7" s="1"/>
  <c r="FB23" i="7" s="1"/>
  <c r="EP29" i="7"/>
  <c r="EQ29" i="7" s="1"/>
  <c r="ER29" i="7" s="1"/>
  <c r="ES29" i="7" s="1"/>
  <c r="ET29" i="7" s="1"/>
  <c r="EU29" i="7" s="1"/>
  <c r="EV29" i="7" s="1"/>
  <c r="EW29" i="7" s="1"/>
  <c r="EX29" i="7" s="1"/>
  <c r="EY29" i="7" s="1"/>
  <c r="EZ29" i="7" s="1"/>
  <c r="FA29" i="7" s="1"/>
  <c r="FB29" i="7" s="1"/>
  <c r="EP25" i="7"/>
  <c r="EQ25" i="7" s="1"/>
  <c r="ER25" i="7" s="1"/>
  <c r="ES25" i="7" s="1"/>
  <c r="ET25" i="7" s="1"/>
  <c r="EU25" i="7" s="1"/>
  <c r="EV25" i="7" s="1"/>
  <c r="EW25" i="7" s="1"/>
  <c r="EX25" i="7" s="1"/>
  <c r="EY25" i="7" s="1"/>
  <c r="EZ25" i="7" s="1"/>
  <c r="FA25" i="7" s="1"/>
  <c r="FB25" i="7" s="1"/>
  <c r="EP93" i="7"/>
  <c r="EQ93" i="7" s="1"/>
  <c r="ER93" i="7" s="1"/>
  <c r="ES93" i="7" s="1"/>
  <c r="ET93" i="7" s="1"/>
  <c r="EU93" i="7" s="1"/>
  <c r="EV93" i="7" s="1"/>
  <c r="EW93" i="7" s="1"/>
  <c r="EX93" i="7" s="1"/>
  <c r="EY93" i="7" s="1"/>
  <c r="EZ93" i="7" s="1"/>
  <c r="FA93" i="7" s="1"/>
  <c r="FB93" i="7" s="1"/>
  <c r="EP30" i="7"/>
  <c r="EQ30" i="7" s="1"/>
  <c r="ER30" i="7" s="1"/>
  <c r="ES30" i="7" s="1"/>
  <c r="ET30" i="7" s="1"/>
  <c r="EU30" i="7" s="1"/>
  <c r="EV30" i="7" s="1"/>
  <c r="EW30" i="7" s="1"/>
  <c r="EX30" i="7" s="1"/>
  <c r="EY30" i="7" s="1"/>
  <c r="EZ30" i="7" s="1"/>
  <c r="FA30" i="7" s="1"/>
  <c r="FB30" i="7" s="1"/>
  <c r="EP45" i="7"/>
  <c r="EQ45" i="7" s="1"/>
  <c r="ER45" i="7" s="1"/>
  <c r="ES45" i="7" s="1"/>
  <c r="ET45" i="7" s="1"/>
  <c r="EU45" i="7" s="1"/>
  <c r="EV45" i="7" s="1"/>
  <c r="EW45" i="7" s="1"/>
  <c r="EX45" i="7" s="1"/>
  <c r="EY45" i="7" s="1"/>
  <c r="EZ45" i="7" s="1"/>
  <c r="FA45" i="7" s="1"/>
  <c r="FB45" i="7" s="1"/>
  <c r="EP95" i="7"/>
  <c r="EQ95" i="7" s="1"/>
  <c r="ER95" i="7" s="1"/>
  <c r="ES95" i="7" s="1"/>
  <c r="ET95" i="7" s="1"/>
  <c r="EU95" i="7" s="1"/>
  <c r="EV95" i="7" s="1"/>
  <c r="EW95" i="7" s="1"/>
  <c r="EX95" i="7" s="1"/>
  <c r="EY95" i="7" s="1"/>
  <c r="EZ95" i="7" s="1"/>
  <c r="FA95" i="7" s="1"/>
  <c r="FB95" i="7" s="1"/>
  <c r="EP46" i="7"/>
  <c r="EQ46" i="7" s="1"/>
  <c r="ER46" i="7" s="1"/>
  <c r="ES46" i="7" s="1"/>
  <c r="ET46" i="7" s="1"/>
  <c r="EU46" i="7" s="1"/>
  <c r="EV46" i="7" s="1"/>
  <c r="EW46" i="7" s="1"/>
  <c r="EX46" i="7" s="1"/>
  <c r="EY46" i="7" s="1"/>
  <c r="EZ46" i="7" s="1"/>
  <c r="FA46" i="7" s="1"/>
  <c r="FB46" i="7" s="1"/>
  <c r="EP22" i="7"/>
  <c r="EQ22" i="7" s="1"/>
  <c r="ER22" i="7" s="1"/>
  <c r="ES22" i="7" s="1"/>
  <c r="ET22" i="7" s="1"/>
  <c r="EU22" i="7" s="1"/>
  <c r="EV22" i="7" s="1"/>
  <c r="EW22" i="7" s="1"/>
  <c r="EX22" i="7" s="1"/>
  <c r="EY22" i="7" s="1"/>
  <c r="EZ22" i="7" s="1"/>
  <c r="FA22" i="7" s="1"/>
  <c r="FB22" i="7" s="1"/>
  <c r="CP127" i="7"/>
  <c r="EP94" i="7"/>
  <c r="EQ94" i="7" s="1"/>
  <c r="ER94" i="7" s="1"/>
  <c r="ES94" i="7" s="1"/>
  <c r="ET94" i="7" s="1"/>
  <c r="EU94" i="7" s="1"/>
  <c r="EV94" i="7" s="1"/>
  <c r="EW94" i="7" s="1"/>
  <c r="EX94" i="7" s="1"/>
  <c r="EY94" i="7" s="1"/>
  <c r="EZ94" i="7" s="1"/>
  <c r="FA94" i="7" s="1"/>
  <c r="FB94" i="7" s="1"/>
  <c r="DA137" i="7"/>
  <c r="EO3" i="7"/>
  <c r="EP24" i="7"/>
  <c r="EQ24" i="7" s="1"/>
  <c r="ER24" i="7" s="1"/>
  <c r="ES24" i="7" s="1"/>
  <c r="ET24" i="7" s="1"/>
  <c r="EU24" i="7" s="1"/>
  <c r="EV24" i="7" s="1"/>
  <c r="EW24" i="7" s="1"/>
  <c r="EX24" i="7" s="1"/>
  <c r="EY24" i="7" s="1"/>
  <c r="EZ24" i="7" s="1"/>
  <c r="FA24" i="7" s="1"/>
  <c r="FB24" i="7" s="1"/>
  <c r="CY179" i="7"/>
  <c r="CY187" i="7" s="1"/>
  <c r="EP35" i="7"/>
  <c r="EQ35" i="7" s="1"/>
  <c r="ER35" i="7" s="1"/>
  <c r="ES35" i="7" s="1"/>
  <c r="ET35" i="7" s="1"/>
  <c r="EU35" i="7" s="1"/>
  <c r="EV35" i="7" s="1"/>
  <c r="EW35" i="7" s="1"/>
  <c r="EX35" i="7" s="1"/>
  <c r="EY35" i="7" s="1"/>
  <c r="EZ35" i="7" s="1"/>
  <c r="FA35" i="7" s="1"/>
  <c r="FB35" i="7" s="1"/>
  <c r="EP31" i="7"/>
  <c r="EQ31" i="7" s="1"/>
  <c r="ER31" i="7" s="1"/>
  <c r="ES31" i="7" s="1"/>
  <c r="ET31" i="7" s="1"/>
  <c r="EU31" i="7" s="1"/>
  <c r="EV31" i="7" s="1"/>
  <c r="EW31" i="7" s="1"/>
  <c r="EX31" i="7" s="1"/>
  <c r="EY31" i="7" s="1"/>
  <c r="EZ31" i="7" s="1"/>
  <c r="FA31" i="7" s="1"/>
  <c r="FB31" i="7" s="1"/>
  <c r="EP32" i="7"/>
  <c r="EQ32" i="7" s="1"/>
  <c r="ER32" i="7" s="1"/>
  <c r="ES32" i="7" s="1"/>
  <c r="ET32" i="7" s="1"/>
  <c r="EU32" i="7" s="1"/>
  <c r="EV32" i="7" s="1"/>
  <c r="EW32" i="7" s="1"/>
  <c r="EX32" i="7" s="1"/>
  <c r="EY32" i="7" s="1"/>
  <c r="EZ32" i="7" s="1"/>
  <c r="FA32" i="7" s="1"/>
  <c r="FB32" i="7" s="1"/>
  <c r="EP33" i="7"/>
  <c r="EQ33" i="7" s="1"/>
  <c r="ER33" i="7" s="1"/>
  <c r="ES33" i="7" s="1"/>
  <c r="ET33" i="7" s="1"/>
  <c r="EU33" i="7" s="1"/>
  <c r="EV33" i="7" s="1"/>
  <c r="EW33" i="7" s="1"/>
  <c r="EX33" i="7" s="1"/>
  <c r="EY33" i="7" s="1"/>
  <c r="EZ33" i="7" s="1"/>
  <c r="FA33" i="7" s="1"/>
  <c r="FB33" i="7" s="1"/>
  <c r="EP38" i="7"/>
  <c r="EQ38" i="7" s="1"/>
  <c r="ER38" i="7" s="1"/>
  <c r="ES38" i="7" s="1"/>
  <c r="ET38" i="7" s="1"/>
  <c r="EU38" i="7" s="1"/>
  <c r="EV38" i="7" s="1"/>
  <c r="EW38" i="7" s="1"/>
  <c r="EX38" i="7" s="1"/>
  <c r="EY38" i="7" s="1"/>
  <c r="EZ38" i="7" s="1"/>
  <c r="FA38" i="7" s="1"/>
  <c r="FB38" i="7" s="1"/>
  <c r="CO105" i="7"/>
  <c r="EP39" i="7"/>
  <c r="EQ39" i="7" s="1"/>
  <c r="ER39" i="7" s="1"/>
  <c r="ES39" i="7" s="1"/>
  <c r="ET39" i="7" s="1"/>
  <c r="EU39" i="7" s="1"/>
  <c r="EV39" i="7" s="1"/>
  <c r="EW39" i="7" s="1"/>
  <c r="EX39" i="7" s="1"/>
  <c r="EY39" i="7" s="1"/>
  <c r="EZ39" i="7" s="1"/>
  <c r="FA39" i="7" s="1"/>
  <c r="FB39" i="7" s="1"/>
  <c r="CK119" i="7"/>
  <c r="EP40" i="7"/>
  <c r="EQ40" i="7" s="1"/>
  <c r="ER40" i="7" s="1"/>
  <c r="ES40" i="7" s="1"/>
  <c r="ET40" i="7" s="1"/>
  <c r="EU40" i="7" s="1"/>
  <c r="EV40" i="7" s="1"/>
  <c r="EW40" i="7" s="1"/>
  <c r="EX40" i="7" s="1"/>
  <c r="EY40" i="7" s="1"/>
  <c r="EZ40" i="7" s="1"/>
  <c r="FA40" i="7" s="1"/>
  <c r="FB40" i="7" s="1"/>
  <c r="CK120" i="7"/>
  <c r="CO127" i="7"/>
  <c r="EP41" i="7"/>
  <c r="EQ41" i="7" s="1"/>
  <c r="ER41" i="7" s="1"/>
  <c r="ES41" i="7" s="1"/>
  <c r="ET41" i="7" s="1"/>
  <c r="EU41" i="7" s="1"/>
  <c r="EV41" i="7" s="1"/>
  <c r="EW41" i="7" s="1"/>
  <c r="EX41" i="7" s="1"/>
  <c r="EY41" i="7" s="1"/>
  <c r="EZ41" i="7" s="1"/>
  <c r="FA41" i="7" s="1"/>
  <c r="FB41" i="7" s="1"/>
  <c r="EP42" i="7"/>
  <c r="EQ42" i="7" s="1"/>
  <c r="ER42" i="7" s="1"/>
  <c r="ES42" i="7" s="1"/>
  <c r="ET42" i="7" s="1"/>
  <c r="EU42" i="7" s="1"/>
  <c r="EV42" i="7" s="1"/>
  <c r="EW42" i="7" s="1"/>
  <c r="EX42" i="7" s="1"/>
  <c r="EY42" i="7" s="1"/>
  <c r="EZ42" i="7" s="1"/>
  <c r="FA42" i="7" s="1"/>
  <c r="FB42" i="7" s="1"/>
  <c r="EP37" i="7"/>
  <c r="EQ37" i="7" s="1"/>
  <c r="ER37" i="7" s="1"/>
  <c r="ES37" i="7" s="1"/>
  <c r="ET37" i="7" s="1"/>
  <c r="EU37" i="7" s="1"/>
  <c r="EV37" i="7" s="1"/>
  <c r="EW37" i="7" s="1"/>
  <c r="EX37" i="7" s="1"/>
  <c r="EY37" i="7" s="1"/>
  <c r="EZ37" i="7" s="1"/>
  <c r="FA37" i="7" s="1"/>
  <c r="FB37" i="7" s="1"/>
  <c r="CO119" i="7"/>
  <c r="CQ127" i="7"/>
  <c r="EP43" i="7"/>
  <c r="EQ43" i="7" s="1"/>
  <c r="ER43" i="7" s="1"/>
  <c r="ES43" i="7" s="1"/>
  <c r="ET43" i="7" s="1"/>
  <c r="EU43" i="7" s="1"/>
  <c r="EV43" i="7" s="1"/>
  <c r="EW43" i="7" s="1"/>
  <c r="EX43" i="7" s="1"/>
  <c r="EY43" i="7" s="1"/>
  <c r="EZ43" i="7" s="1"/>
  <c r="FA43" i="7" s="1"/>
  <c r="FB43" i="7" s="1"/>
  <c r="EP91" i="7"/>
  <c r="EQ91" i="7" s="1"/>
  <c r="ER91" i="7" s="1"/>
  <c r="ES91" i="7" s="1"/>
  <c r="ET91" i="7" s="1"/>
  <c r="EU91" i="7" s="1"/>
  <c r="EV91" i="7" s="1"/>
  <c r="EW91" i="7" s="1"/>
  <c r="EX91" i="7" s="1"/>
  <c r="EY91" i="7" s="1"/>
  <c r="EZ91" i="7" s="1"/>
  <c r="FA91" i="7" s="1"/>
  <c r="FB91" i="7" s="1"/>
  <c r="EP36" i="7"/>
  <c r="EQ36" i="7" s="1"/>
  <c r="ER36" i="7" s="1"/>
  <c r="ES36" i="7" s="1"/>
  <c r="ET36" i="7" s="1"/>
  <c r="EU36" i="7" s="1"/>
  <c r="EV36" i="7" s="1"/>
  <c r="EW36" i="7" s="1"/>
  <c r="EX36" i="7" s="1"/>
  <c r="EY36" i="7" s="1"/>
  <c r="EZ36" i="7" s="1"/>
  <c r="FA36" i="7" s="1"/>
  <c r="FB36" i="7" s="1"/>
  <c r="EP44" i="7"/>
  <c r="EQ44" i="7" s="1"/>
  <c r="ER44" i="7" s="1"/>
  <c r="ES44" i="7" s="1"/>
  <c r="ET44" i="7" s="1"/>
  <c r="EU44" i="7" s="1"/>
  <c r="EV44" i="7" s="1"/>
  <c r="EW44" i="7" s="1"/>
  <c r="EX44" i="7" s="1"/>
  <c r="EY44" i="7" s="1"/>
  <c r="EZ44" i="7" s="1"/>
  <c r="FA44" i="7" s="1"/>
  <c r="FB44" i="7" s="1"/>
  <c r="EP92" i="7"/>
  <c r="EQ92" i="7" s="1"/>
  <c r="ER92" i="7" s="1"/>
  <c r="ES92" i="7" s="1"/>
  <c r="ET92" i="7" s="1"/>
  <c r="EU92" i="7" s="1"/>
  <c r="EV92" i="7" s="1"/>
  <c r="EW92" i="7" s="1"/>
  <c r="EX92" i="7" s="1"/>
  <c r="EY92" i="7" s="1"/>
  <c r="EZ92" i="7" s="1"/>
  <c r="FA92" i="7" s="1"/>
  <c r="FB92" i="7" s="1"/>
  <c r="CK112" i="7"/>
  <c r="CK121" i="7"/>
  <c r="CK118" i="7"/>
  <c r="DA178" i="7"/>
  <c r="DA179" i="7" s="1"/>
  <c r="CQ118" i="7"/>
  <c r="CQ122" i="7"/>
  <c r="CM119" i="7"/>
  <c r="CM105" i="7"/>
  <c r="CM118" i="7" s="1"/>
  <c r="CM120" i="7"/>
  <c r="CL105" i="7"/>
  <c r="CL108" i="7" s="1"/>
  <c r="CL112" i="7" s="1"/>
  <c r="CP105" i="7"/>
  <c r="CP119" i="7"/>
  <c r="CP120" i="7"/>
  <c r="CL120" i="7"/>
  <c r="CQ114" i="7"/>
  <c r="CQ121" i="7"/>
  <c r="CQ119" i="7"/>
  <c r="CQ120" i="7"/>
  <c r="DF129" i="7"/>
  <c r="CZ179" i="7"/>
  <c r="CZ185" i="7"/>
  <c r="DA181" i="7"/>
  <c r="DA185" i="7" s="1"/>
  <c r="CZ173" i="7"/>
  <c r="DA172" i="7"/>
  <c r="DA173" i="7" s="1"/>
  <c r="DA189" i="7" s="1"/>
  <c r="DA159" i="7"/>
  <c r="DA161" i="7" s="1"/>
  <c r="CZ159" i="7"/>
  <c r="CZ161" i="7" s="1"/>
  <c r="DA146" i="7"/>
  <c r="CZ146" i="7"/>
  <c r="CZ137" i="7"/>
  <c r="CV109" i="7"/>
  <c r="EN109" i="7" s="1"/>
  <c r="CZ109" i="7"/>
  <c r="EO109" i="7" s="1"/>
  <c r="ER13" i="7" l="1"/>
  <c r="ES13" i="7" s="1"/>
  <c r="ET13" i="7" s="1"/>
  <c r="EU13" i="7" s="1"/>
  <c r="EV13" i="7" s="1"/>
  <c r="EW13" i="7" s="1"/>
  <c r="EU116" i="7"/>
  <c r="EP34" i="7"/>
  <c r="EQ34" i="7" s="1"/>
  <c r="ER34" i="7" s="1"/>
  <c r="ES34" i="7" s="1"/>
  <c r="ET34" i="7" s="1"/>
  <c r="EU34" i="7" s="1"/>
  <c r="EV34" i="7" s="1"/>
  <c r="EW34" i="7" s="1"/>
  <c r="EX34" i="7" s="1"/>
  <c r="EY34" i="7" s="1"/>
  <c r="EZ34" i="7" s="1"/>
  <c r="FA34" i="7" s="1"/>
  <c r="FB34" i="7" s="1"/>
  <c r="CL121" i="7"/>
  <c r="EP3" i="7"/>
  <c r="CO118" i="7"/>
  <c r="CO108" i="7"/>
  <c r="CM108" i="7"/>
  <c r="CL118" i="7"/>
  <c r="CK114" i="7"/>
  <c r="CK122" i="7"/>
  <c r="CQ115" i="7"/>
  <c r="CQ123" i="7"/>
  <c r="CL114" i="7"/>
  <c r="CL122" i="7"/>
  <c r="CP108" i="7"/>
  <c r="CP118" i="7"/>
  <c r="CZ187" i="7"/>
  <c r="CZ189" i="7"/>
  <c r="DA187" i="7"/>
  <c r="CN94" i="7"/>
  <c r="CR94" i="7"/>
  <c r="ER2" i="7"/>
  <c r="ES2" i="7" s="1"/>
  <c r="ET2" i="7" s="1"/>
  <c r="EU2" i="7" s="1"/>
  <c r="EV2" i="7" s="1"/>
  <c r="EW2" i="7" s="1"/>
  <c r="EX2" i="7" s="1"/>
  <c r="EY2" i="7" s="1"/>
  <c r="EZ2" i="7" s="1"/>
  <c r="FA2" i="7" s="1"/>
  <c r="FB2" i="7" s="1"/>
  <c r="CZ103" i="7"/>
  <c r="CZ120" i="7" s="1"/>
  <c r="DD20" i="7"/>
  <c r="DC20" i="7"/>
  <c r="DF20" i="7"/>
  <c r="DD19" i="7"/>
  <c r="DC19" i="7"/>
  <c r="DF19" i="7"/>
  <c r="DE19" i="7"/>
  <c r="DD18" i="7"/>
  <c r="DC18" i="7"/>
  <c r="DF18" i="7"/>
  <c r="DD17" i="7"/>
  <c r="DC17" i="7"/>
  <c r="DF17" i="7"/>
  <c r="DD16" i="7"/>
  <c r="DC16" i="7"/>
  <c r="DF16" i="7"/>
  <c r="DE16" i="7"/>
  <c r="DD15" i="7"/>
  <c r="DC15" i="7"/>
  <c r="DF15" i="7"/>
  <c r="DE15" i="7"/>
  <c r="DD12" i="7"/>
  <c r="DC12" i="7"/>
  <c r="DD11" i="7"/>
  <c r="DC11" i="7"/>
  <c r="DE10" i="7"/>
  <c r="DD10" i="7"/>
  <c r="DC10" i="7"/>
  <c r="DE9" i="7"/>
  <c r="DD9" i="7"/>
  <c r="DC9" i="7"/>
  <c r="DD8" i="7"/>
  <c r="DC8" i="7"/>
  <c r="DD7" i="7"/>
  <c r="DD132" i="7" s="1"/>
  <c r="DC7" i="7"/>
  <c r="DD14" i="7"/>
  <c r="DC14" i="7"/>
  <c r="DF14" i="7"/>
  <c r="DE14" i="7"/>
  <c r="DD5" i="7"/>
  <c r="DD130" i="7" s="1"/>
  <c r="DC5" i="7"/>
  <c r="DD4" i="7"/>
  <c r="DD131" i="7" s="1"/>
  <c r="DC4" i="7"/>
  <c r="DF12" i="7"/>
  <c r="DE12" i="7"/>
  <c r="DF11" i="7"/>
  <c r="DE11" i="7"/>
  <c r="DF10" i="7"/>
  <c r="DF9" i="7"/>
  <c r="DF8" i="7"/>
  <c r="DE4" i="7"/>
  <c r="DE131" i="7" s="1"/>
  <c r="DB130" i="7"/>
  <c r="DE5" i="7"/>
  <c r="DE130" i="7" s="1"/>
  <c r="EO6" i="7"/>
  <c r="EO102" i="7"/>
  <c r="EO101" i="7"/>
  <c r="EO100" i="7"/>
  <c r="EO99" i="7"/>
  <c r="EO98" i="7"/>
  <c r="EO97" i="7"/>
  <c r="EO96" i="7"/>
  <c r="EO95" i="7"/>
  <c r="EO94" i="7"/>
  <c r="EO93" i="7"/>
  <c r="EO92" i="7"/>
  <c r="EO91" i="7"/>
  <c r="EO90" i="7"/>
  <c r="EO89" i="7"/>
  <c r="EO88" i="7"/>
  <c r="EO87" i="7"/>
  <c r="EO86" i="7"/>
  <c r="EO85" i="7"/>
  <c r="EO84" i="7"/>
  <c r="EO83" i="7"/>
  <c r="EO82" i="7"/>
  <c r="EO81" i="7"/>
  <c r="EO80" i="7"/>
  <c r="EO79" i="7"/>
  <c r="EO78" i="7"/>
  <c r="EO77" i="7"/>
  <c r="EO76" i="7"/>
  <c r="EO75" i="7"/>
  <c r="EO74" i="7"/>
  <c r="EO73" i="7"/>
  <c r="EO72" i="7"/>
  <c r="EO71" i="7"/>
  <c r="EO70" i="7"/>
  <c r="EO69" i="7"/>
  <c r="EO68" i="7"/>
  <c r="EO67" i="7"/>
  <c r="EO66" i="7"/>
  <c r="EO65" i="7"/>
  <c r="EO64" i="7"/>
  <c r="EO63" i="7"/>
  <c r="EO62" i="7"/>
  <c r="EO60" i="7"/>
  <c r="EO59" i="7"/>
  <c r="EO58" i="7"/>
  <c r="EO57" i="7"/>
  <c r="EO56" i="7"/>
  <c r="EO55" i="7"/>
  <c r="EO54" i="7"/>
  <c r="EO53" i="7"/>
  <c r="EO52" i="7"/>
  <c r="EO51" i="7"/>
  <c r="EO50" i="7"/>
  <c r="EO49" i="7"/>
  <c r="EO48" i="7"/>
  <c r="EO47" i="7"/>
  <c r="EO46" i="7"/>
  <c r="EO45" i="7"/>
  <c r="EO44" i="7"/>
  <c r="EO43" i="7"/>
  <c r="EO42" i="7"/>
  <c r="EO41" i="7"/>
  <c r="EO40" i="7"/>
  <c r="EO39" i="7"/>
  <c r="EO38" i="7"/>
  <c r="EO37" i="7"/>
  <c r="EO36" i="7"/>
  <c r="EO35" i="7"/>
  <c r="EN102" i="7"/>
  <c r="EN101" i="7"/>
  <c r="EN100" i="7"/>
  <c r="EN99" i="7"/>
  <c r="EN98" i="7"/>
  <c r="EN97" i="7"/>
  <c r="EN96" i="7"/>
  <c r="EN95" i="7"/>
  <c r="EN94" i="7"/>
  <c r="EN93" i="7"/>
  <c r="EN92" i="7"/>
  <c r="EN91" i="7"/>
  <c r="EN90" i="7"/>
  <c r="EN89" i="7"/>
  <c r="EN88" i="7"/>
  <c r="EN87" i="7"/>
  <c r="EN86" i="7"/>
  <c r="EN85" i="7"/>
  <c r="EN84" i="7"/>
  <c r="EN83" i="7"/>
  <c r="EN82" i="7"/>
  <c r="EN81" i="7"/>
  <c r="EN80" i="7"/>
  <c r="EN79" i="7"/>
  <c r="EN78" i="7"/>
  <c r="EN77" i="7"/>
  <c r="EN76" i="7"/>
  <c r="EN75" i="7"/>
  <c r="EN74" i="7"/>
  <c r="EN73" i="7"/>
  <c r="EN72" i="7"/>
  <c r="EN71" i="7"/>
  <c r="EN70" i="7"/>
  <c r="EN69" i="7"/>
  <c r="EN68" i="7"/>
  <c r="EN67" i="7"/>
  <c r="EN66" i="7"/>
  <c r="EN65" i="7"/>
  <c r="EN64" i="7"/>
  <c r="EN63" i="7"/>
  <c r="EN62" i="7"/>
  <c r="EN60" i="7"/>
  <c r="EN59" i="7"/>
  <c r="EN58" i="7"/>
  <c r="EN57" i="7"/>
  <c r="EN56" i="7"/>
  <c r="EN55" i="7"/>
  <c r="EN54" i="7"/>
  <c r="EN53" i="7"/>
  <c r="EN52" i="7"/>
  <c r="EN51" i="7"/>
  <c r="EN50" i="7"/>
  <c r="EN49" i="7"/>
  <c r="EN48" i="7"/>
  <c r="EN47" i="7"/>
  <c r="EN46" i="7"/>
  <c r="EN45" i="7"/>
  <c r="EN44" i="7"/>
  <c r="EN43" i="7"/>
  <c r="EN42" i="7"/>
  <c r="EN41" i="7"/>
  <c r="EN40" i="7"/>
  <c r="EN39" i="7"/>
  <c r="EN38" i="7"/>
  <c r="EN37" i="7"/>
  <c r="EN36" i="7"/>
  <c r="EN35" i="7"/>
  <c r="EN33" i="7"/>
  <c r="EN32" i="7"/>
  <c r="EN31" i="7"/>
  <c r="EN30" i="7"/>
  <c r="EN29" i="7"/>
  <c r="EN28" i="7"/>
  <c r="EN27" i="7"/>
  <c r="EN26" i="7"/>
  <c r="EN25" i="7"/>
  <c r="EN24" i="7"/>
  <c r="EN23" i="7"/>
  <c r="EN22" i="7"/>
  <c r="EN21" i="7"/>
  <c r="EN20" i="7"/>
  <c r="EN19" i="7"/>
  <c r="EN18" i="7"/>
  <c r="EN17" i="7"/>
  <c r="EN16" i="7"/>
  <c r="EN15" i="7"/>
  <c r="EN14" i="7"/>
  <c r="EN12" i="7"/>
  <c r="EN11" i="7"/>
  <c r="EN10" i="7"/>
  <c r="EN9" i="7"/>
  <c r="EN8" i="7"/>
  <c r="EN7" i="7"/>
  <c r="EN132" i="7" s="1"/>
  <c r="EN6" i="7"/>
  <c r="EN5" i="7"/>
  <c r="EN130" i="7" s="1"/>
  <c r="EN4" i="7"/>
  <c r="EN131" i="7" s="1"/>
  <c r="EN3" i="7"/>
  <c r="EO33" i="7"/>
  <c r="EO32" i="7"/>
  <c r="EO31" i="7"/>
  <c r="EO30" i="7"/>
  <c r="EO29" i="7"/>
  <c r="EO28" i="7"/>
  <c r="EO27" i="7"/>
  <c r="EO26" i="7"/>
  <c r="EO25" i="7"/>
  <c r="EO24" i="7"/>
  <c r="EO23" i="7"/>
  <c r="EO22" i="7"/>
  <c r="EO21" i="7"/>
  <c r="CS103" i="7"/>
  <c r="CT103" i="7"/>
  <c r="CY155" i="7"/>
  <c r="CY148" i="7"/>
  <c r="CY141" i="7"/>
  <c r="CY144" i="7"/>
  <c r="CY138" i="7"/>
  <c r="CY103" i="7"/>
  <c r="CY105" i="7" s="1"/>
  <c r="CX105" i="7"/>
  <c r="CV103" i="7"/>
  <c r="CU103" i="7"/>
  <c r="BC48" i="7"/>
  <c r="BD48" i="7"/>
  <c r="BE48" i="7"/>
  <c r="BF48" i="7"/>
  <c r="BG48" i="7"/>
  <c r="BH48" i="7"/>
  <c r="BI48" i="7"/>
  <c r="BJ48" i="7"/>
  <c r="BK48" i="7"/>
  <c r="BL48" i="7"/>
  <c r="BM48" i="7"/>
  <c r="BN48" i="7"/>
  <c r="BO48" i="7"/>
  <c r="BP48" i="7"/>
  <c r="BQ48" i="7"/>
  <c r="BU48" i="7" s="1"/>
  <c r="BR48" i="7"/>
  <c r="BS48" i="7"/>
  <c r="BT48" i="7"/>
  <c r="EB48" i="7"/>
  <c r="EV116" i="7" l="1"/>
  <c r="DC103" i="7"/>
  <c r="EP10" i="7"/>
  <c r="EQ10" i="7" s="1"/>
  <c r="ER10" i="7" s="1"/>
  <c r="ES10" i="7" s="1"/>
  <c r="ET10" i="7" s="1"/>
  <c r="EU10" i="7" s="1"/>
  <c r="EV10" i="7" s="1"/>
  <c r="EW10" i="7" s="1"/>
  <c r="EX10" i="7" s="1"/>
  <c r="EY10" i="7" s="1"/>
  <c r="EZ10" i="7" s="1"/>
  <c r="FA10" i="7" s="1"/>
  <c r="FB10" i="7" s="1"/>
  <c r="EP9" i="7"/>
  <c r="EQ9" i="7" s="1"/>
  <c r="ER9" i="7" s="1"/>
  <c r="ES9" i="7" s="1"/>
  <c r="ET9" i="7" s="1"/>
  <c r="EU9" i="7" s="1"/>
  <c r="EV9" i="7" s="1"/>
  <c r="EW9" i="7" s="1"/>
  <c r="EX9" i="7" s="1"/>
  <c r="EY9" i="7" s="1"/>
  <c r="EZ9" i="7" s="1"/>
  <c r="FA9" i="7" s="1"/>
  <c r="FB9" i="7" s="1"/>
  <c r="EP11" i="7"/>
  <c r="EQ11" i="7" s="1"/>
  <c r="ER11" i="7" s="1"/>
  <c r="ES11" i="7" s="1"/>
  <c r="ET11" i="7" s="1"/>
  <c r="EU11" i="7" s="1"/>
  <c r="EV11" i="7" s="1"/>
  <c r="EW11" i="7" s="1"/>
  <c r="EX11" i="7" s="1"/>
  <c r="EY11" i="7" s="1"/>
  <c r="EZ11" i="7" s="1"/>
  <c r="FA11" i="7" s="1"/>
  <c r="FB11" i="7" s="1"/>
  <c r="EN103" i="7"/>
  <c r="DF4" i="7"/>
  <c r="DF131" i="7" s="1"/>
  <c r="DB131" i="7"/>
  <c r="EP16" i="7"/>
  <c r="EQ16" i="7" s="1"/>
  <c r="ER16" i="7" s="1"/>
  <c r="ES16" i="7" s="1"/>
  <c r="ET16" i="7" s="1"/>
  <c r="EU16" i="7" s="1"/>
  <c r="EV16" i="7" s="1"/>
  <c r="EW16" i="7" s="1"/>
  <c r="EX16" i="7" s="1"/>
  <c r="EY16" i="7" s="1"/>
  <c r="EZ16" i="7" s="1"/>
  <c r="FA16" i="7" s="1"/>
  <c r="FB16" i="7" s="1"/>
  <c r="EP14" i="7"/>
  <c r="EQ14" i="7" s="1"/>
  <c r="ER14" i="7" s="1"/>
  <c r="ES14" i="7" s="1"/>
  <c r="ET14" i="7" s="1"/>
  <c r="EU14" i="7" s="1"/>
  <c r="EV14" i="7" s="1"/>
  <c r="EW14" i="7" s="1"/>
  <c r="EX14" i="7" s="1"/>
  <c r="EY14" i="7" s="1"/>
  <c r="EZ14" i="7" s="1"/>
  <c r="FA14" i="7" s="1"/>
  <c r="FB14" i="7" s="1"/>
  <c r="DF7" i="7"/>
  <c r="DF132" i="7" s="1"/>
  <c r="DB132" i="7"/>
  <c r="CR103" i="7"/>
  <c r="CR105" i="7" s="1"/>
  <c r="EM94" i="7"/>
  <c r="EM103" i="7" s="1"/>
  <c r="DC132" i="7"/>
  <c r="EP12" i="7"/>
  <c r="EQ12" i="7" s="1"/>
  <c r="ER12" i="7" s="1"/>
  <c r="ES12" i="7" s="1"/>
  <c r="ET12" i="7" s="1"/>
  <c r="EU12" i="7" s="1"/>
  <c r="EV12" i="7" s="1"/>
  <c r="EW12" i="7" s="1"/>
  <c r="EX12" i="7" s="1"/>
  <c r="EY12" i="7" s="1"/>
  <c r="EZ12" i="7" s="1"/>
  <c r="FA12" i="7" s="1"/>
  <c r="FB12" i="7" s="1"/>
  <c r="CN103" i="7"/>
  <c r="CN105" i="7" s="1"/>
  <c r="EL94" i="7"/>
  <c r="EL103" i="7" s="1"/>
  <c r="EP4" i="7"/>
  <c r="DC131" i="7"/>
  <c r="EP15" i="7"/>
  <c r="EQ15" i="7" s="1"/>
  <c r="ER15" i="7" s="1"/>
  <c r="ES15" i="7" s="1"/>
  <c r="ET15" i="7" s="1"/>
  <c r="EU15" i="7" s="1"/>
  <c r="EV15" i="7" s="1"/>
  <c r="EW15" i="7" s="1"/>
  <c r="EX15" i="7" s="1"/>
  <c r="EY15" i="7" s="1"/>
  <c r="EZ15" i="7" s="1"/>
  <c r="FA15" i="7" s="1"/>
  <c r="FB15" i="7" s="1"/>
  <c r="CM121" i="7"/>
  <c r="CM112" i="7"/>
  <c r="EP19" i="7"/>
  <c r="EQ19" i="7" s="1"/>
  <c r="ER19" i="7" s="1"/>
  <c r="ES19" i="7" s="1"/>
  <c r="ET19" i="7" s="1"/>
  <c r="EU19" i="7" s="1"/>
  <c r="EV19" i="7" s="1"/>
  <c r="EW19" i="7" s="1"/>
  <c r="EX19" i="7" s="1"/>
  <c r="EY19" i="7" s="1"/>
  <c r="EZ19" i="7" s="1"/>
  <c r="FA19" i="7" s="1"/>
  <c r="FB19" i="7" s="1"/>
  <c r="CS119" i="7"/>
  <c r="CS127" i="7"/>
  <c r="CO121" i="7"/>
  <c r="CO112" i="7"/>
  <c r="DC130" i="7"/>
  <c r="CK115" i="7"/>
  <c r="CK123" i="7"/>
  <c r="CT120" i="7"/>
  <c r="CT127" i="7"/>
  <c r="CY118" i="7"/>
  <c r="CY108" i="7"/>
  <c r="CU105" i="7"/>
  <c r="CU108" i="7" s="1"/>
  <c r="CU127" i="7"/>
  <c r="CL115" i="7"/>
  <c r="CL123" i="7"/>
  <c r="CP121" i="7"/>
  <c r="CP112" i="7"/>
  <c r="CX108" i="7"/>
  <c r="CX112" i="7" s="1"/>
  <c r="EO12" i="7"/>
  <c r="EO8" i="7"/>
  <c r="EO20" i="7"/>
  <c r="EO17" i="7"/>
  <c r="EO15" i="7"/>
  <c r="EO18" i="7"/>
  <c r="EO9" i="7"/>
  <c r="CS105" i="7"/>
  <c r="CS120" i="7"/>
  <c r="CX127" i="7"/>
  <c r="CY137" i="7"/>
  <c r="CY127" i="7"/>
  <c r="DE18" i="7"/>
  <c r="EP18" i="7" s="1"/>
  <c r="EQ18" i="7" s="1"/>
  <c r="ER18" i="7" s="1"/>
  <c r="ES18" i="7" s="1"/>
  <c r="ET18" i="7" s="1"/>
  <c r="EU18" i="7" s="1"/>
  <c r="EV18" i="7" s="1"/>
  <c r="EW18" i="7" s="1"/>
  <c r="EX18" i="7" s="1"/>
  <c r="EY18" i="7" s="1"/>
  <c r="EZ18" i="7" s="1"/>
  <c r="FA18" i="7" s="1"/>
  <c r="FB18" i="7" s="1"/>
  <c r="EO5" i="7"/>
  <c r="EO130" i="7" s="1"/>
  <c r="EO16" i="7"/>
  <c r="DE17" i="7"/>
  <c r="EP17" i="7" s="1"/>
  <c r="EQ17" i="7" s="1"/>
  <c r="ER17" i="7" s="1"/>
  <c r="ES17" i="7" s="1"/>
  <c r="ET17" i="7" s="1"/>
  <c r="EU17" i="7" s="1"/>
  <c r="EV17" i="7" s="1"/>
  <c r="EW17" i="7" s="1"/>
  <c r="EX17" i="7" s="1"/>
  <c r="EY17" i="7" s="1"/>
  <c r="EZ17" i="7" s="1"/>
  <c r="FA17" i="7" s="1"/>
  <c r="FB17" i="7" s="1"/>
  <c r="EO7" i="7"/>
  <c r="EO132" i="7" s="1"/>
  <c r="EO19" i="7"/>
  <c r="DE7" i="7"/>
  <c r="DE132" i="7" s="1"/>
  <c r="DF5" i="7"/>
  <c r="DF130" i="7" s="1"/>
  <c r="DE20" i="7"/>
  <c r="EP20" i="7" s="1"/>
  <c r="EQ20" i="7" s="1"/>
  <c r="ER20" i="7" s="1"/>
  <c r="ES20" i="7" s="1"/>
  <c r="ET20" i="7" s="1"/>
  <c r="EU20" i="7" s="1"/>
  <c r="EV20" i="7" s="1"/>
  <c r="EW20" i="7" s="1"/>
  <c r="EX20" i="7" s="1"/>
  <c r="EY20" i="7" s="1"/>
  <c r="EZ20" i="7" s="1"/>
  <c r="FA20" i="7" s="1"/>
  <c r="FB20" i="7" s="1"/>
  <c r="DE8" i="7"/>
  <c r="EP8" i="7" s="1"/>
  <c r="EQ8" i="7" s="1"/>
  <c r="ER8" i="7" s="1"/>
  <c r="ES8" i="7" s="1"/>
  <c r="ET8" i="7" s="1"/>
  <c r="EU8" i="7" s="1"/>
  <c r="EV8" i="7" s="1"/>
  <c r="EW8" i="7" s="1"/>
  <c r="EX8" i="7" s="1"/>
  <c r="EY8" i="7" s="1"/>
  <c r="EZ8" i="7" s="1"/>
  <c r="FA8" i="7" s="1"/>
  <c r="FB8" i="7" s="1"/>
  <c r="CV105" i="7"/>
  <c r="EP6" i="7"/>
  <c r="EX6" i="7" s="1"/>
  <c r="EY6" i="7" s="1"/>
  <c r="EZ6" i="7" s="1"/>
  <c r="FA6" i="7" s="1"/>
  <c r="FB6" i="7" s="1"/>
  <c r="CZ127" i="7"/>
  <c r="CZ105" i="7"/>
  <c r="CZ119" i="7"/>
  <c r="EO14" i="7"/>
  <c r="EO4" i="7"/>
  <c r="DA103" i="7"/>
  <c r="EO11" i="7"/>
  <c r="EO10" i="7"/>
  <c r="DB103" i="7"/>
  <c r="DB105" i="7" s="1"/>
  <c r="CT105" i="7"/>
  <c r="CT119" i="7"/>
  <c r="EC48" i="7"/>
  <c r="FH48" i="7" s="1"/>
  <c r="CY159" i="7"/>
  <c r="CY161" i="7" s="1"/>
  <c r="ED48" i="7"/>
  <c r="CY146" i="7"/>
  <c r="EF48" i="7"/>
  <c r="CV119" i="7"/>
  <c r="CU119" i="7"/>
  <c r="CY119" i="7"/>
  <c r="CU120" i="7"/>
  <c r="CV120" i="7"/>
  <c r="CX120" i="7"/>
  <c r="CX119" i="7"/>
  <c r="CY120" i="7"/>
  <c r="CX118" i="7"/>
  <c r="EE48" i="7"/>
  <c r="BV48" i="7"/>
  <c r="EG48" i="7" s="1"/>
  <c r="EH48" i="7" s="1"/>
  <c r="BV10" i="7"/>
  <c r="BU10" i="7"/>
  <c r="BV5" i="7"/>
  <c r="BU5" i="7"/>
  <c r="BV71" i="7"/>
  <c r="BU71" i="7"/>
  <c r="BT94" i="7"/>
  <c r="BS94" i="7"/>
  <c r="BS109" i="7"/>
  <c r="BS23" i="7"/>
  <c r="BU54" i="7"/>
  <c r="BV54" i="7" s="1"/>
  <c r="BT23" i="7"/>
  <c r="EW116" i="7" l="1"/>
  <c r="EN127" i="7"/>
  <c r="EM105" i="7"/>
  <c r="EM120" i="7"/>
  <c r="EM119" i="7"/>
  <c r="EN105" i="7"/>
  <c r="EN120" i="7"/>
  <c r="EN119" i="7"/>
  <c r="DC105" i="7"/>
  <c r="DC108" i="7" s="1"/>
  <c r="DC112" i="7" s="1"/>
  <c r="CN119" i="7"/>
  <c r="EP5" i="7"/>
  <c r="CN120" i="7"/>
  <c r="CR127" i="7"/>
  <c r="CM122" i="7"/>
  <c r="CM114" i="7"/>
  <c r="EQ4" i="7"/>
  <c r="EP131" i="7"/>
  <c r="CR120" i="7"/>
  <c r="EO131" i="7"/>
  <c r="EO103" i="7"/>
  <c r="CO114" i="7"/>
  <c r="CO122" i="7"/>
  <c r="EP130" i="7"/>
  <c r="EP7" i="7"/>
  <c r="CR119" i="7"/>
  <c r="CV127" i="7"/>
  <c r="CU118" i="7"/>
  <c r="CX122" i="7"/>
  <c r="CX114" i="7"/>
  <c r="CX115" i="7" s="1"/>
  <c r="CX121" i="7"/>
  <c r="CP114" i="7"/>
  <c r="CP122" i="7"/>
  <c r="CT108" i="7"/>
  <c r="CT112" i="7" s="1"/>
  <c r="CN118" i="7"/>
  <c r="CN108" i="7"/>
  <c r="CN121" i="7" s="1"/>
  <c r="CV108" i="7"/>
  <c r="CV112" i="7" s="1"/>
  <c r="CS118" i="7"/>
  <c r="CS108" i="7"/>
  <c r="CR118" i="7"/>
  <c r="CR108" i="7"/>
  <c r="CZ118" i="7"/>
  <c r="CZ108" i="7"/>
  <c r="CZ121" i="7" s="1"/>
  <c r="CZ112" i="7"/>
  <c r="DA105" i="7"/>
  <c r="DA108" i="7" s="1"/>
  <c r="DA120" i="7"/>
  <c r="DA119" i="7"/>
  <c r="DB119" i="7"/>
  <c r="DB120" i="7"/>
  <c r="DB127" i="7"/>
  <c r="DD103" i="7"/>
  <c r="DD105" i="7" s="1"/>
  <c r="CV118" i="7"/>
  <c r="CX123" i="7"/>
  <c r="CT118" i="7"/>
  <c r="CY121" i="7"/>
  <c r="CY112" i="7"/>
  <c r="CU112" i="7"/>
  <c r="CU121" i="7"/>
  <c r="FI48" i="7"/>
  <c r="EI48" i="7"/>
  <c r="EJ48" i="7" s="1"/>
  <c r="EK48" i="7" s="1"/>
  <c r="FJ48" i="7" s="1"/>
  <c r="BP155" i="7"/>
  <c r="BP154" i="7"/>
  <c r="BP148" i="7"/>
  <c r="BP144" i="7"/>
  <c r="BP138" i="7"/>
  <c r="BO113" i="7"/>
  <c r="BO109" i="7"/>
  <c r="BP113" i="7"/>
  <c r="BP109" i="7"/>
  <c r="BQ158" i="7"/>
  <c r="BQ155" i="7"/>
  <c r="BQ148" i="7"/>
  <c r="BQ144" i="7"/>
  <c r="BQ138" i="7"/>
  <c r="BQ113" i="7"/>
  <c r="BQ94" i="7"/>
  <c r="BU94" i="7" s="1"/>
  <c r="BV107" i="7"/>
  <c r="BU107" i="7"/>
  <c r="BV106" i="7"/>
  <c r="BU106" i="7"/>
  <c r="BU129" i="7" s="1"/>
  <c r="BT129" i="7"/>
  <c r="BS129" i="7"/>
  <c r="BR113" i="7"/>
  <c r="BR94" i="7"/>
  <c r="BV94" i="7" s="1"/>
  <c r="BV52" i="7"/>
  <c r="BU52" i="7"/>
  <c r="EG4" i="7"/>
  <c r="EG86" i="7"/>
  <c r="EG85" i="7"/>
  <c r="EG84" i="7"/>
  <c r="EG83" i="7"/>
  <c r="EG82" i="7"/>
  <c r="EG81" i="7"/>
  <c r="EG80" i="7"/>
  <c r="EG79" i="7"/>
  <c r="EG102" i="7"/>
  <c r="BV32" i="7"/>
  <c r="BU32" i="7"/>
  <c r="BV78" i="7"/>
  <c r="BU78" i="7"/>
  <c r="BV77" i="7"/>
  <c r="BU77" i="7"/>
  <c r="BV76" i="7"/>
  <c r="BU76" i="7"/>
  <c r="BV75" i="7"/>
  <c r="BU75" i="7"/>
  <c r="BV74" i="7"/>
  <c r="BU74" i="7"/>
  <c r="BV39" i="7"/>
  <c r="BU39" i="7"/>
  <c r="BV14" i="7"/>
  <c r="BU14" i="7"/>
  <c r="BU18" i="7"/>
  <c r="BV18" i="7" s="1"/>
  <c r="BV57" i="7"/>
  <c r="BU57" i="7"/>
  <c r="BV73" i="7"/>
  <c r="BU73" i="7"/>
  <c r="BV72" i="7"/>
  <c r="BU72" i="7"/>
  <c r="BV70" i="7"/>
  <c r="BU70" i="7"/>
  <c r="BV69" i="7"/>
  <c r="BU69" i="7"/>
  <c r="BV51" i="7"/>
  <c r="BU51" i="7"/>
  <c r="BU68" i="7"/>
  <c r="BV31" i="7"/>
  <c r="BU31" i="7"/>
  <c r="BV49" i="7"/>
  <c r="BU49" i="7"/>
  <c r="BV64" i="7"/>
  <c r="BU64" i="7"/>
  <c r="BV33" i="7"/>
  <c r="BU33" i="7"/>
  <c r="BV38" i="7"/>
  <c r="BU38" i="7"/>
  <c r="BV63" i="7"/>
  <c r="BU63" i="7"/>
  <c r="BV19" i="7"/>
  <c r="BU19" i="7"/>
  <c r="BV56" i="7"/>
  <c r="BU56" i="7"/>
  <c r="BV55" i="7"/>
  <c r="BU55" i="7"/>
  <c r="BV28" i="7"/>
  <c r="BU28" i="7"/>
  <c r="BV62" i="7"/>
  <c r="BU62" i="7"/>
  <c r="BV46" i="7"/>
  <c r="BU46" i="7"/>
  <c r="BV53" i="7"/>
  <c r="BU53" i="7"/>
  <c r="BV27" i="7"/>
  <c r="BU27" i="7"/>
  <c r="BV37" i="7"/>
  <c r="BU37" i="7"/>
  <c r="BV26" i="7"/>
  <c r="BU26" i="7"/>
  <c r="BV47" i="7"/>
  <c r="BU47" i="7"/>
  <c r="BV59" i="7"/>
  <c r="BU59" i="7"/>
  <c r="BV22" i="7"/>
  <c r="BU22" i="7"/>
  <c r="BV60" i="7"/>
  <c r="BU60" i="7"/>
  <c r="BV58" i="7"/>
  <c r="BU58" i="7"/>
  <c r="BV130" i="7"/>
  <c r="BU130" i="7"/>
  <c r="BT130" i="7"/>
  <c r="BV99" i="7"/>
  <c r="BU99" i="7"/>
  <c r="BP94" i="7"/>
  <c r="EF12" i="7"/>
  <c r="BP23" i="7"/>
  <c r="BQ23" i="7"/>
  <c r="BU23" i="7" s="1"/>
  <c r="EF58" i="7"/>
  <c r="EF71" i="7"/>
  <c r="BR155" i="7"/>
  <c r="BR154" i="7"/>
  <c r="BR148" i="7"/>
  <c r="BR141" i="7"/>
  <c r="BR144" i="7"/>
  <c r="BR138" i="7"/>
  <c r="DC104" i="7" l="1"/>
  <c r="DC113" i="7"/>
  <c r="DC114" i="7" s="1"/>
  <c r="EO127" i="7"/>
  <c r="EO105" i="7"/>
  <c r="EO108" i="7" s="1"/>
  <c r="EO120" i="7"/>
  <c r="EO119" i="7"/>
  <c r="EN108" i="7"/>
  <c r="EN118" i="7"/>
  <c r="EM118" i="7"/>
  <c r="EM108" i="7"/>
  <c r="DD108" i="7"/>
  <c r="DD112" i="7" s="1"/>
  <c r="DD104" i="7"/>
  <c r="EQ7" i="7"/>
  <c r="EP132" i="7"/>
  <c r="EH131" i="7"/>
  <c r="EG131" i="7"/>
  <c r="CO115" i="7"/>
  <c r="CO123" i="7"/>
  <c r="EP103" i="7"/>
  <c r="EP124" i="7" s="1"/>
  <c r="ER4" i="7"/>
  <c r="EQ131" i="7"/>
  <c r="CM115" i="7"/>
  <c r="CM123" i="7"/>
  <c r="EQ130" i="7"/>
  <c r="ER5" i="7"/>
  <c r="CT121" i="7"/>
  <c r="CN112" i="7"/>
  <c r="CN114" i="7" s="1"/>
  <c r="CV114" i="7"/>
  <c r="CV122" i="7"/>
  <c r="CT114" i="7"/>
  <c r="CT122" i="7"/>
  <c r="CV121" i="7"/>
  <c r="CR112" i="7"/>
  <c r="CR121" i="7"/>
  <c r="CS112" i="7"/>
  <c r="CS121" i="7"/>
  <c r="DB108" i="7"/>
  <c r="DB121" i="7" s="1"/>
  <c r="DB118" i="7"/>
  <c r="CP115" i="7"/>
  <c r="CP123" i="7"/>
  <c r="DD119" i="7"/>
  <c r="DD120" i="7"/>
  <c r="DD118" i="7"/>
  <c r="DD127" i="7"/>
  <c r="DD121" i="7"/>
  <c r="DC119" i="7"/>
  <c r="DC120" i="7"/>
  <c r="DC121" i="7"/>
  <c r="DC118" i="7"/>
  <c r="DC127" i="7"/>
  <c r="DA118" i="7"/>
  <c r="EO118" i="7"/>
  <c r="DF103" i="7"/>
  <c r="DF105" i="7" s="1"/>
  <c r="DE103" i="7"/>
  <c r="DE105" i="7" s="1"/>
  <c r="CZ114" i="7"/>
  <c r="CZ163" i="7" s="1"/>
  <c r="CZ122" i="7"/>
  <c r="CU114" i="7"/>
  <c r="CU122" i="7"/>
  <c r="CY114" i="7"/>
  <c r="CY163" i="7" s="1"/>
  <c r="CY122" i="7"/>
  <c r="BQ146" i="7"/>
  <c r="BQ159" i="7"/>
  <c r="BQ161" i="7" s="1"/>
  <c r="BP159" i="7"/>
  <c r="BP161" i="7" s="1"/>
  <c r="EG33" i="7"/>
  <c r="EG49" i="7"/>
  <c r="EG67" i="7"/>
  <c r="EG69" i="7"/>
  <c r="EG73" i="7"/>
  <c r="BP137" i="7"/>
  <c r="EG56" i="7"/>
  <c r="EG38" i="7"/>
  <c r="EG65" i="7"/>
  <c r="EG31" i="7"/>
  <c r="EG51" i="7"/>
  <c r="EG63" i="7"/>
  <c r="EG64" i="7"/>
  <c r="EG66" i="7"/>
  <c r="EG68" i="7"/>
  <c r="EG70" i="7"/>
  <c r="EG57" i="7"/>
  <c r="EG10" i="7"/>
  <c r="EG22" i="7"/>
  <c r="EG76" i="7"/>
  <c r="EG27" i="7"/>
  <c r="EG72" i="7"/>
  <c r="EG58" i="7"/>
  <c r="EG14" i="7"/>
  <c r="EG75" i="7"/>
  <c r="EG78" i="7"/>
  <c r="BP146" i="7"/>
  <c r="EG28" i="7"/>
  <c r="EG19" i="7"/>
  <c r="BU12" i="7"/>
  <c r="BV12" i="7" s="1"/>
  <c r="EG77" i="7"/>
  <c r="EG26" i="7"/>
  <c r="EG39" i="7"/>
  <c r="EH39" i="7" s="1"/>
  <c r="EI39" i="7" s="1"/>
  <c r="EJ39" i="7" s="1"/>
  <c r="EK39" i="7" s="1"/>
  <c r="FJ39" i="7" s="1"/>
  <c r="BQ103" i="7"/>
  <c r="EG62" i="7"/>
  <c r="EG46" i="7"/>
  <c r="EG32" i="7"/>
  <c r="EG74" i="7"/>
  <c r="EG99" i="7"/>
  <c r="EG60" i="7"/>
  <c r="EG55" i="7"/>
  <c r="EG37" i="7"/>
  <c r="EG53" i="7"/>
  <c r="EG18" i="7"/>
  <c r="EH18" i="7" s="1"/>
  <c r="EI18" i="7" s="1"/>
  <c r="EJ18" i="7" s="1"/>
  <c r="EK18" i="7" s="1"/>
  <c r="BU101" i="7"/>
  <c r="BV101" i="7" s="1"/>
  <c r="BU9" i="7"/>
  <c r="BV9" i="7" s="1"/>
  <c r="EG54" i="7"/>
  <c r="EG71" i="7"/>
  <c r="EH71" i="7" s="1"/>
  <c r="EG59" i="7"/>
  <c r="EG47" i="7"/>
  <c r="EG52" i="7"/>
  <c r="BV129" i="7"/>
  <c r="BQ137" i="7"/>
  <c r="BR137" i="7"/>
  <c r="BR146" i="7"/>
  <c r="BR159" i="7"/>
  <c r="BR161" i="7" s="1"/>
  <c r="BR23" i="7"/>
  <c r="BV23" i="7" s="1"/>
  <c r="DC115" i="7" l="1"/>
  <c r="DC123" i="7"/>
  <c r="EP119" i="7"/>
  <c r="EP120" i="7"/>
  <c r="EM121" i="7"/>
  <c r="EM112" i="7"/>
  <c r="DC122" i="7"/>
  <c r="EN112" i="7"/>
  <c r="EN121" i="7"/>
  <c r="EO112" i="7"/>
  <c r="EO114" i="7" s="1"/>
  <c r="EO115" i="7" s="1"/>
  <c r="EO121" i="7"/>
  <c r="EP127" i="7"/>
  <c r="DE108" i="7"/>
  <c r="DE112" i="7" s="1"/>
  <c r="DE104" i="7"/>
  <c r="DF108" i="7"/>
  <c r="DF112" i="7" s="1"/>
  <c r="DD113" i="7"/>
  <c r="DD122" i="7" s="1"/>
  <c r="ES5" i="7"/>
  <c r="ER130" i="7"/>
  <c r="ES4" i="7"/>
  <c r="ER131" i="7"/>
  <c r="CN122" i="7"/>
  <c r="ER7" i="7"/>
  <c r="EQ132" i="7"/>
  <c r="DB112" i="7"/>
  <c r="CN115" i="7"/>
  <c r="CN123" i="7"/>
  <c r="CR122" i="7"/>
  <c r="CR114" i="7"/>
  <c r="CT115" i="7"/>
  <c r="CT123" i="7"/>
  <c r="CS122" i="7"/>
  <c r="CS114" i="7"/>
  <c r="CV115" i="7"/>
  <c r="CV123" i="7"/>
  <c r="EQ103" i="7"/>
  <c r="DF120" i="7"/>
  <c r="DF127" i="7"/>
  <c r="DF119" i="7"/>
  <c r="DA112" i="7"/>
  <c r="DA121" i="7"/>
  <c r="DE118" i="7"/>
  <c r="DE120" i="7"/>
  <c r="DE119" i="7"/>
  <c r="DE127" i="7"/>
  <c r="DE121" i="7"/>
  <c r="CZ123" i="7"/>
  <c r="CZ115" i="7"/>
  <c r="CY115" i="7"/>
  <c r="CY123" i="7"/>
  <c r="CU115" i="7"/>
  <c r="CU123" i="7"/>
  <c r="EG12" i="7"/>
  <c r="BV103" i="7"/>
  <c r="BV105" i="7" s="1"/>
  <c r="BQ105" i="7"/>
  <c r="BQ118" i="7" s="1"/>
  <c r="BQ135" i="7"/>
  <c r="BT103" i="7"/>
  <c r="BT105" i="7" s="1"/>
  <c r="BT108" i="7" s="1"/>
  <c r="BU103" i="7"/>
  <c r="BU105" i="7" s="1"/>
  <c r="EG101" i="7"/>
  <c r="EG9" i="7"/>
  <c r="BO5" i="7"/>
  <c r="BO94" i="7"/>
  <c r="EG94" i="7" s="1"/>
  <c r="BO23" i="7"/>
  <c r="EG23" i="7" s="1"/>
  <c r="BN94" i="7"/>
  <c r="BN5" i="7"/>
  <c r="BN23" i="7"/>
  <c r="BM129" i="7"/>
  <c r="BM23" i="7"/>
  <c r="E103" i="7"/>
  <c r="D103" i="7"/>
  <c r="C103" i="7"/>
  <c r="BM94" i="7"/>
  <c r="BM5" i="7"/>
  <c r="DD114" i="7" l="1"/>
  <c r="EQ124" i="7"/>
  <c r="EQ105" i="7"/>
  <c r="EQ120" i="7"/>
  <c r="EQ119" i="7"/>
  <c r="EN114" i="7"/>
  <c r="EN115" i="7" s="1"/>
  <c r="EN122" i="7"/>
  <c r="EM114" i="7"/>
  <c r="EM115" i="7" s="1"/>
  <c r="EM122" i="7"/>
  <c r="DF118" i="7"/>
  <c r="DD115" i="7"/>
  <c r="DD123" i="7"/>
  <c r="DF113" i="7"/>
  <c r="DF122" i="7" s="1"/>
  <c r="DF121" i="7"/>
  <c r="DF104" i="7"/>
  <c r="DE113" i="7"/>
  <c r="DE122" i="7" s="1"/>
  <c r="EQ127" i="7"/>
  <c r="ER132" i="7"/>
  <c r="ES7" i="7"/>
  <c r="ET4" i="7"/>
  <c r="ES131" i="7"/>
  <c r="ES130" i="7"/>
  <c r="ET5" i="7"/>
  <c r="CS115" i="7"/>
  <c r="CS123" i="7"/>
  <c r="CR115" i="7"/>
  <c r="CR123" i="7"/>
  <c r="DB122" i="7"/>
  <c r="DA114" i="7"/>
  <c r="DA122" i="7"/>
  <c r="BV119" i="7"/>
  <c r="BV120" i="7"/>
  <c r="BU119" i="7"/>
  <c r="BT120" i="7"/>
  <c r="BT119" i="7"/>
  <c r="BU127" i="7"/>
  <c r="BU120" i="7"/>
  <c r="BU104" i="7"/>
  <c r="BV108" i="7"/>
  <c r="BV118" i="7"/>
  <c r="EF5" i="7"/>
  <c r="BO103" i="7"/>
  <c r="BV104" i="7"/>
  <c r="BU108" i="7"/>
  <c r="BU118" i="7"/>
  <c r="BM103" i="7"/>
  <c r="BM105" i="7" s="1"/>
  <c r="BM118" i="7" s="1"/>
  <c r="DY71" i="7"/>
  <c r="BL175" i="7"/>
  <c r="BL172" i="7"/>
  <c r="BL169" i="7"/>
  <c r="BL167" i="7"/>
  <c r="BL166" i="7"/>
  <c r="BL164" i="7"/>
  <c r="BK173" i="7"/>
  <c r="BL170" i="7"/>
  <c r="BL168" i="7"/>
  <c r="BL165" i="7"/>
  <c r="BL155" i="7"/>
  <c r="BL154" i="7"/>
  <c r="BL148" i="7"/>
  <c r="BL138" i="7"/>
  <c r="BL144" i="7"/>
  <c r="BL129" i="7"/>
  <c r="BK129" i="7"/>
  <c r="BJ129" i="7"/>
  <c r="BL94" i="7"/>
  <c r="AD5" i="7"/>
  <c r="AH5" i="7"/>
  <c r="AL5" i="7"/>
  <c r="BH5" i="7"/>
  <c r="BI5" i="7"/>
  <c r="BJ5" i="7"/>
  <c r="DE114" i="7" l="1"/>
  <c r="EQ108" i="7"/>
  <c r="EQ118" i="7"/>
  <c r="EQ104" i="7"/>
  <c r="ER103" i="7"/>
  <c r="ER127" i="7" s="1"/>
  <c r="EP108" i="7"/>
  <c r="EP118" i="7"/>
  <c r="EP113" i="7"/>
  <c r="DE115" i="7"/>
  <c r="DE123" i="7"/>
  <c r="DF114" i="7"/>
  <c r="ET130" i="7"/>
  <c r="EU5" i="7"/>
  <c r="EU4" i="7"/>
  <c r="ET131" i="7"/>
  <c r="ET7" i="7"/>
  <c r="ES132" i="7"/>
  <c r="DB114" i="7"/>
  <c r="DA123" i="7"/>
  <c r="DA163" i="7"/>
  <c r="DA115" i="7"/>
  <c r="BL146" i="7"/>
  <c r="BL137" i="7"/>
  <c r="BV112" i="7"/>
  <c r="BV121" i="7"/>
  <c r="BT118" i="7"/>
  <c r="EG5" i="7"/>
  <c r="BS130" i="7"/>
  <c r="BS103" i="7"/>
  <c r="BS105" i="7" s="1"/>
  <c r="BU121" i="7"/>
  <c r="BU112" i="7"/>
  <c r="BM120" i="7"/>
  <c r="BM119" i="7"/>
  <c r="BM130" i="7"/>
  <c r="BL159" i="7"/>
  <c r="BL161" i="7" s="1"/>
  <c r="BL173" i="7"/>
  <c r="BL189" i="7" s="1"/>
  <c r="ED71" i="7"/>
  <c r="ED58" i="7"/>
  <c r="BL5" i="7"/>
  <c r="BL23" i="7"/>
  <c r="EQ121" i="7" l="1"/>
  <c r="EQ112" i="7"/>
  <c r="ER124" i="7"/>
  <c r="ER119" i="7"/>
  <c r="ER120" i="7"/>
  <c r="ER105" i="7"/>
  <c r="EP121" i="7"/>
  <c r="EP112" i="7"/>
  <c r="EP114" i="7" s="1"/>
  <c r="EP115" i="7" s="1"/>
  <c r="DF115" i="7"/>
  <c r="DF123" i="7"/>
  <c r="ES103" i="7"/>
  <c r="EU7" i="7"/>
  <c r="ET132" i="7"/>
  <c r="EU131" i="7"/>
  <c r="EV4" i="7"/>
  <c r="EU130" i="7"/>
  <c r="EV5" i="7"/>
  <c r="DB115" i="7"/>
  <c r="DB123" i="7"/>
  <c r="BS120" i="7"/>
  <c r="BS119" i="7"/>
  <c r="BT112" i="7"/>
  <c r="BT121" i="7"/>
  <c r="BV113" i="7"/>
  <c r="BV122" i="7" s="1"/>
  <c r="BU113" i="7"/>
  <c r="BU122" i="7" s="1"/>
  <c r="BL130" i="7"/>
  <c r="BL10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Q113" i="7" l="1"/>
  <c r="EQ114" i="7" s="1"/>
  <c r="EQ115" i="7" s="1"/>
  <c r="ES127" i="7"/>
  <c r="ES119" i="7"/>
  <c r="ES105" i="7"/>
  <c r="ES120" i="7"/>
  <c r="ER118" i="7"/>
  <c r="ER108" i="7"/>
  <c r="ER104" i="7"/>
  <c r="ES124" i="7"/>
  <c r="EW4" i="7"/>
  <c r="EV131" i="7"/>
  <c r="EV130" i="7"/>
  <c r="EW5" i="7"/>
  <c r="EV7" i="7"/>
  <c r="EU132" i="7"/>
  <c r="ET103" i="7"/>
  <c r="AA29" i="50"/>
  <c r="X32" i="50"/>
  <c r="Z29" i="50"/>
  <c r="Z32" i="50"/>
  <c r="I17" i="50"/>
  <c r="Z27" i="50"/>
  <c r="AA27" i="50"/>
  <c r="AC27" i="50"/>
  <c r="AC28" i="50"/>
  <c r="AC29" i="50"/>
  <c r="AB32" i="50"/>
  <c r="AB27" i="50"/>
  <c r="AB28" i="50"/>
  <c r="H17" i="50"/>
  <c r="H18" i="50"/>
  <c r="H22" i="50"/>
  <c r="BU114" i="7"/>
  <c r="BU123" i="7" s="1"/>
  <c r="BV114" i="7"/>
  <c r="BV115" i="7" s="1"/>
  <c r="BS118" i="7"/>
  <c r="BS108" i="7"/>
  <c r="BT114" i="7"/>
  <c r="BT122" i="7"/>
  <c r="X16" i="50"/>
  <c r="AB16" i="50"/>
  <c r="AA32" i="50"/>
  <c r="U16" i="50"/>
  <c r="Y27" i="50"/>
  <c r="I18" i="50"/>
  <c r="I19" i="50"/>
  <c r="H19" i="50"/>
  <c r="I22" i="50"/>
  <c r="Y29" i="50"/>
  <c r="Z16" i="50"/>
  <c r="AB29" i="50"/>
  <c r="V16" i="50"/>
  <c r="AA16" i="50"/>
  <c r="W16" i="50"/>
  <c r="Y16" i="50"/>
  <c r="ET127" i="7" l="1"/>
  <c r="ET119" i="7"/>
  <c r="ET120" i="7"/>
  <c r="ET105" i="7"/>
  <c r="ET124" i="7"/>
  <c r="ER112" i="7"/>
  <c r="ER121" i="7"/>
  <c r="ES108" i="7"/>
  <c r="ES118" i="7"/>
  <c r="ES104" i="7"/>
  <c r="EU103" i="7"/>
  <c r="EW7" i="7"/>
  <c r="EV132" i="7"/>
  <c r="EW130" i="7"/>
  <c r="EX5" i="7"/>
  <c r="EX4" i="7"/>
  <c r="EW131" i="7"/>
  <c r="BV123" i="7"/>
  <c r="Z26" i="50"/>
  <c r="BU115" i="7"/>
  <c r="BT115" i="7"/>
  <c r="BT123" i="7"/>
  <c r="BS112" i="7"/>
  <c r="BS121" i="7"/>
  <c r="AA26" i="50"/>
  <c r="AB26" i="50"/>
  <c r="H16" i="50"/>
  <c r="X26" i="50"/>
  <c r="AC26" i="50"/>
  <c r="Y26" i="50"/>
  <c r="I16" i="50"/>
  <c r="DL60" i="7"/>
  <c r="DK60" i="7" s="1"/>
  <c r="DJ60" i="7" s="1"/>
  <c r="F82" i="7"/>
  <c r="F60" i="7"/>
  <c r="G55" i="7"/>
  <c r="EU127" i="7" l="1"/>
  <c r="EU105" i="7"/>
  <c r="EU104" i="7" s="1"/>
  <c r="EU119" i="7"/>
  <c r="EU120" i="7"/>
  <c r="EU124" i="7"/>
  <c r="ES112" i="7"/>
  <c r="ES121" i="7"/>
  <c r="ER113" i="7"/>
  <c r="ER114" i="7" s="1"/>
  <c r="ER115" i="7" s="1"/>
  <c r="ET118" i="7"/>
  <c r="ET108" i="7"/>
  <c r="ET104" i="7"/>
  <c r="EY4" i="7"/>
  <c r="EX131" i="7"/>
  <c r="EX130" i="7"/>
  <c r="EY5" i="7"/>
  <c r="EX7" i="7"/>
  <c r="EW132" i="7"/>
  <c r="EV103" i="7"/>
  <c r="BS122" i="7"/>
  <c r="FJ4" i="7"/>
  <c r="DZ27" i="7"/>
  <c r="EB27" i="7"/>
  <c r="ED27" i="7"/>
  <c r="EV127" i="7" l="1"/>
  <c r="EV105" i="7"/>
  <c r="EV104" i="7"/>
  <c r="EV119" i="7"/>
  <c r="EV120" i="7"/>
  <c r="EV124" i="7"/>
  <c r="ES113" i="7"/>
  <c r="ES114" i="7" s="1"/>
  <c r="ES115" i="7" s="1"/>
  <c r="ET112" i="7"/>
  <c r="ET121" i="7"/>
  <c r="EU118" i="7"/>
  <c r="EU108" i="7"/>
  <c r="EX3" i="7"/>
  <c r="EW103" i="7"/>
  <c r="EY7" i="7"/>
  <c r="EX132" i="7"/>
  <c r="EY130" i="7"/>
  <c r="EZ5" i="7"/>
  <c r="EZ4" i="7"/>
  <c r="EY131" i="7"/>
  <c r="BS114" i="7"/>
  <c r="BS123" i="7" s="1"/>
  <c r="DT120" i="7"/>
  <c r="DS120" i="7"/>
  <c r="DR120" i="7"/>
  <c r="DQ120" i="7"/>
  <c r="DP120" i="7"/>
  <c r="DO120" i="7"/>
  <c r="DN120" i="7"/>
  <c r="DM120" i="7"/>
  <c r="ET113" i="7" l="1"/>
  <c r="ET114" i="7" s="1"/>
  <c r="ET115" i="7" s="1"/>
  <c r="EW127" i="7"/>
  <c r="EW105" i="7"/>
  <c r="EW119" i="7"/>
  <c r="EW120" i="7"/>
  <c r="EW124" i="7"/>
  <c r="EU112" i="7"/>
  <c r="EU121" i="7"/>
  <c r="EV118" i="7"/>
  <c r="EV108" i="7"/>
  <c r="EZ130" i="7"/>
  <c r="FA5" i="7"/>
  <c r="EZ7" i="7"/>
  <c r="EY132" i="7"/>
  <c r="FA4" i="7"/>
  <c r="EZ131" i="7"/>
  <c r="EY3" i="7"/>
  <c r="EX103" i="7"/>
  <c r="EX127" i="7" s="1"/>
  <c r="BS115" i="7"/>
  <c r="ED67" i="7"/>
  <c r="ED106" i="7"/>
  <c r="ED101" i="7"/>
  <c r="ED102" i="7"/>
  <c r="BK189" i="7"/>
  <c r="BJ155" i="7"/>
  <c r="BJ148" i="7"/>
  <c r="BJ144" i="7"/>
  <c r="BJ138" i="7"/>
  <c r="BI134" i="7"/>
  <c r="BH134" i="7"/>
  <c r="BG134" i="7"/>
  <c r="BF134" i="7"/>
  <c r="BE134" i="7"/>
  <c r="BD134" i="7"/>
  <c r="BK148" i="7"/>
  <c r="BK155" i="7"/>
  <c r="BK144" i="7"/>
  <c r="BK138" i="7"/>
  <c r="BB130" i="7"/>
  <c r="EE37" i="7"/>
  <c r="EE9" i="7"/>
  <c r="EV112" i="7" l="1"/>
  <c r="EV121" i="7"/>
  <c r="EU113" i="7"/>
  <c r="EU114" i="7" s="1"/>
  <c r="EU115" i="7" s="1"/>
  <c r="EW118" i="7"/>
  <c r="EW108" i="7"/>
  <c r="EW104" i="7"/>
  <c r="EZ3" i="7"/>
  <c r="EY103" i="7"/>
  <c r="EY127" i="7" s="1"/>
  <c r="FA130" i="7"/>
  <c r="FB5" i="7"/>
  <c r="FB4" i="7"/>
  <c r="FB131" i="7" s="1"/>
  <c r="FA131" i="7"/>
  <c r="FA7" i="7"/>
  <c r="EZ132" i="7"/>
  <c r="BJ137" i="7"/>
  <c r="BJ134" i="7" s="1"/>
  <c r="EE99" i="7"/>
  <c r="EE106" i="7"/>
  <c r="BK159" i="7"/>
  <c r="BK161" i="7" s="1"/>
  <c r="BK137" i="7"/>
  <c r="BK134" i="7" s="1"/>
  <c r="BJ159" i="7"/>
  <c r="BJ161" i="7" s="1"/>
  <c r="EF99" i="7"/>
  <c r="BK146" i="7"/>
  <c r="EE53" i="7"/>
  <c r="BJ146" i="7"/>
  <c r="EE116" i="7"/>
  <c r="ED116" i="7"/>
  <c r="ED12" i="7"/>
  <c r="ED4" i="7"/>
  <c r="ED99" i="7"/>
  <c r="EC102" i="7"/>
  <c r="BO129" i="7"/>
  <c r="BQ129" i="7"/>
  <c r="BP129" i="7"/>
  <c r="EW112" i="7" l="1"/>
  <c r="EW121" i="7"/>
  <c r="EV113" i="7"/>
  <c r="EV114" i="7"/>
  <c r="EV115" i="7" s="1"/>
  <c r="FB130" i="7"/>
  <c r="FB7" i="7"/>
  <c r="FB132" i="7" s="1"/>
  <c r="FA132" i="7"/>
  <c r="FA3" i="7"/>
  <c r="EZ103" i="7"/>
  <c r="EZ127" i="7" s="1"/>
  <c r="EF37" i="7"/>
  <c r="EH99" i="7"/>
  <c r="EI99" i="7" s="1"/>
  <c r="EJ99" i="7" s="1"/>
  <c r="EK99" i="7" s="1"/>
  <c r="BR129" i="7"/>
  <c r="EF106" i="7"/>
  <c r="EE102" i="7"/>
  <c r="BI94" i="7"/>
  <c r="BJ100" i="7"/>
  <c r="ED100" i="7" s="1"/>
  <c r="BN129" i="7"/>
  <c r="EE101" i="7"/>
  <c r="BK94" i="7"/>
  <c r="EW113" i="7" l="1"/>
  <c r="EW114" i="7"/>
  <c r="EW115" i="7" s="1"/>
  <c r="FB3" i="7"/>
  <c r="FB103" i="7" s="1"/>
  <c r="FA103" i="7"/>
  <c r="FA127" i="7" s="1"/>
  <c r="EF101" i="7"/>
  <c r="BK100" i="7"/>
  <c r="EE100" i="7" s="1"/>
  <c r="FB127" i="7" l="1"/>
  <c r="EF102" i="7"/>
  <c r="EH102" i="7" s="1"/>
  <c r="EI102" i="7" s="1"/>
  <c r="EJ102" i="7" s="1"/>
  <c r="EE94" i="7"/>
  <c r="EE107" i="7"/>
  <c r="EF62" i="7"/>
  <c r="EE62" i="7"/>
  <c r="EF49" i="7"/>
  <c r="EE49" i="7"/>
  <c r="EF19" i="7"/>
  <c r="EH19" i="7" s="1"/>
  <c r="EE19" i="7"/>
  <c r="EF65" i="7"/>
  <c r="EE65" i="7"/>
  <c r="EE55" i="7"/>
  <c r="EF64" i="7"/>
  <c r="EE64" i="7"/>
  <c r="EF31" i="7"/>
  <c r="EE31" i="7"/>
  <c r="EF94" i="7" l="1"/>
  <c r="EE28" i="7"/>
  <c r="EE57" i="7"/>
  <c r="EE14" i="7"/>
  <c r="EE70" i="7"/>
  <c r="EE68" i="7"/>
  <c r="EF55" i="7"/>
  <c r="EE51" i="7"/>
  <c r="EE69" i="7"/>
  <c r="EE73" i="7"/>
  <c r="EE72" i="7"/>
  <c r="EI19" i="7"/>
  <c r="EJ19" i="7" s="1"/>
  <c r="EK19" i="7" s="1"/>
  <c r="FJ19" i="7" s="1"/>
  <c r="FI19" i="7"/>
  <c r="ED10" i="7"/>
  <c r="EB5" i="7"/>
  <c r="BJ23" i="7"/>
  <c r="BK23" i="7"/>
  <c r="BK5" i="7"/>
  <c r="BK103" i="7" l="1"/>
  <c r="BJ103" i="7"/>
  <c r="EE71" i="7"/>
  <c r="EE52" i="7"/>
  <c r="EF46" i="7"/>
  <c r="EE46" i="7"/>
  <c r="EF27" i="7"/>
  <c r="EH27" i="7" s="1"/>
  <c r="EI27" i="7" s="1"/>
  <c r="EJ27" i="7" s="1"/>
  <c r="EK27" i="7" s="1"/>
  <c r="EE27" i="7"/>
  <c r="EE59" i="7"/>
  <c r="EF68" i="7"/>
  <c r="EH68" i="7" s="1"/>
  <c r="EI68" i="7" s="1"/>
  <c r="EJ68" i="7" s="1"/>
  <c r="EK68" i="7" s="1"/>
  <c r="FJ68" i="7" s="1"/>
  <c r="EF28" i="7"/>
  <c r="EF73" i="7"/>
  <c r="EH73" i="7" s="1"/>
  <c r="EI73" i="7" s="1"/>
  <c r="EJ73" i="7" s="1"/>
  <c r="EK73" i="7" s="1"/>
  <c r="FJ73" i="7" s="1"/>
  <c r="EF14" i="7"/>
  <c r="EH14" i="7" s="1"/>
  <c r="EI14" i="7" s="1"/>
  <c r="FJ14" i="7" s="1"/>
  <c r="EF57" i="7"/>
  <c r="EH57" i="7" s="1"/>
  <c r="EI57" i="7" s="1"/>
  <c r="EJ57" i="7" s="1"/>
  <c r="EK57" i="7" s="1"/>
  <c r="FJ57" i="7" s="1"/>
  <c r="EF70" i="7"/>
  <c r="EH70" i="7" s="1"/>
  <c r="EI70" i="7" s="1"/>
  <c r="EJ70" i="7" s="1"/>
  <c r="EK70" i="7" s="1"/>
  <c r="FJ70" i="7" s="1"/>
  <c r="EF72" i="7"/>
  <c r="EH72" i="7" s="1"/>
  <c r="EI72" i="7" s="1"/>
  <c r="EJ72" i="7" s="1"/>
  <c r="EK72" i="7" s="1"/>
  <c r="FJ72" i="7" s="1"/>
  <c r="EF69" i="7"/>
  <c r="EH69" i="7" s="1"/>
  <c r="EI69" i="7" s="1"/>
  <c r="EJ69" i="7" s="1"/>
  <c r="EK69" i="7" s="1"/>
  <c r="FJ69" i="7" s="1"/>
  <c r="EE10" i="7"/>
  <c r="EF22" i="7"/>
  <c r="EE22" i="7"/>
  <c r="EF51" i="7"/>
  <c r="EH51" i="7" s="1"/>
  <c r="EI51" i="7" s="1"/>
  <c r="EJ51" i="7" s="1"/>
  <c r="EK51" i="7" s="1"/>
  <c r="FJ51" i="7" s="1"/>
  <c r="BO130" i="7"/>
  <c r="BH94" i="7"/>
  <c r="BI23" i="7"/>
  <c r="BH23" i="7"/>
  <c r="BN103" i="7" l="1"/>
  <c r="BI103" i="7"/>
  <c r="BM127" i="7" s="1"/>
  <c r="EE56" i="7"/>
  <c r="BK135" i="7"/>
  <c r="BK119" i="7"/>
  <c r="BK120" i="7"/>
  <c r="BJ120" i="7"/>
  <c r="BJ135" i="7"/>
  <c r="BJ119" i="7"/>
  <c r="EE67" i="7"/>
  <c r="EE26" i="7"/>
  <c r="EE47" i="7"/>
  <c r="EF10" i="7"/>
  <c r="EF52" i="7"/>
  <c r="EF59" i="7"/>
  <c r="EE38" i="7"/>
  <c r="EE33" i="7"/>
  <c r="EE54" i="7"/>
  <c r="BK201" i="7"/>
  <c r="EE23" i="7"/>
  <c r="EE66" i="7"/>
  <c r="EE63" i="7"/>
  <c r="EF67" i="7"/>
  <c r="EH67" i="7" s="1"/>
  <c r="EI67" i="7" s="1"/>
  <c r="EJ67" i="7" s="1"/>
  <c r="EK67" i="7" s="1"/>
  <c r="FJ67" i="7" s="1"/>
  <c r="EF56" i="7"/>
  <c r="BN130" i="7"/>
  <c r="BR130" i="7"/>
  <c r="BJ105" i="7"/>
  <c r="BJ118" i="7" s="1"/>
  <c r="BK105" i="7"/>
  <c r="BG129" i="7"/>
  <c r="BH129" i="7"/>
  <c r="BI129" i="7"/>
  <c r="BH113" i="7"/>
  <c r="BG94" i="7"/>
  <c r="ED94" i="7" s="1"/>
  <c r="BH103" i="7"/>
  <c r="BI120" i="7" l="1"/>
  <c r="BN105" i="7"/>
  <c r="BN118" i="7" s="1"/>
  <c r="BN120" i="7"/>
  <c r="BN119" i="7"/>
  <c r="EF23" i="7"/>
  <c r="EH23" i="7" s="1"/>
  <c r="EI23" i="7" s="1"/>
  <c r="EJ23" i="7" s="1"/>
  <c r="EK23" i="7" s="1"/>
  <c r="BK118" i="7"/>
  <c r="EE58" i="7"/>
  <c r="EF26" i="7"/>
  <c r="EF47" i="7"/>
  <c r="EE5" i="7"/>
  <c r="EF66" i="7"/>
  <c r="EF63" i="7"/>
  <c r="EF33" i="7"/>
  <c r="EF38" i="7"/>
  <c r="EE60" i="7"/>
  <c r="BI105" i="7"/>
  <c r="BI135" i="7"/>
  <c r="BJ108" i="7"/>
  <c r="BJ121" i="7" s="1"/>
  <c r="BK108" i="7"/>
  <c r="BK121" i="7" s="1"/>
  <c r="BS127" i="7" l="1"/>
  <c r="BL127" i="7"/>
  <c r="BL119" i="7"/>
  <c r="BL135" i="7"/>
  <c r="BL120" i="7"/>
  <c r="BL105" i="7"/>
  <c r="BQ130" i="7"/>
  <c r="BK112" i="7"/>
  <c r="BK122" i="7" s="1"/>
  <c r="BP130" i="7"/>
  <c r="BH119" i="7"/>
  <c r="BH135" i="7"/>
  <c r="BN127" i="7"/>
  <c r="BH120" i="7"/>
  <c r="BH105" i="7"/>
  <c r="BH118" i="7" s="1"/>
  <c r="BG113" i="7"/>
  <c r="BG23" i="7"/>
  <c r="ED23" i="7" s="1"/>
  <c r="BG5" i="7"/>
  <c r="BO120" i="7" l="1"/>
  <c r="BO105" i="7"/>
  <c r="BO119" i="7"/>
  <c r="BK130" i="7"/>
  <c r="BG103" i="7"/>
  <c r="BP103" i="7"/>
  <c r="BM108" i="7"/>
  <c r="BM121" i="7" s="1"/>
  <c r="BL108" i="7"/>
  <c r="BL121" i="7" s="1"/>
  <c r="BL118" i="7"/>
  <c r="EE105" i="7"/>
  <c r="BO127" i="7"/>
  <c r="ED5" i="7"/>
  <c r="BK114" i="7"/>
  <c r="BK123" i="7" s="1"/>
  <c r="EF53" i="7"/>
  <c r="BH108" i="7"/>
  <c r="BH121" i="7" s="1"/>
  <c r="BN108" i="7"/>
  <c r="BN121" i="7" s="1"/>
  <c r="DT127" i="7"/>
  <c r="DS127" i="7"/>
  <c r="DR127" i="7"/>
  <c r="DQ127" i="7"/>
  <c r="DP127" i="7"/>
  <c r="DO127" i="7"/>
  <c r="DN127" i="7"/>
  <c r="EC101" i="7"/>
  <c r="BP119" i="7" l="1"/>
  <c r="BP135" i="7"/>
  <c r="BP120" i="7"/>
  <c r="BT127" i="7"/>
  <c r="BO108" i="7"/>
  <c r="BO121" i="7" s="1"/>
  <c r="BO118" i="7"/>
  <c r="BR103" i="7"/>
  <c r="BL112" i="7"/>
  <c r="BL122" i="7" s="1"/>
  <c r="EE108" i="7"/>
  <c r="BP127" i="7"/>
  <c r="EF60" i="7"/>
  <c r="BQ127" i="7"/>
  <c r="BQ120" i="7"/>
  <c r="EF54" i="7"/>
  <c r="EH101" i="7"/>
  <c r="EI101" i="7" s="1"/>
  <c r="EJ101" i="7" s="1"/>
  <c r="EK101" i="7" s="1"/>
  <c r="BK163" i="7"/>
  <c r="BQ119" i="7"/>
  <c r="BQ108" i="7"/>
  <c r="BH112" i="7"/>
  <c r="BH122" i="7" s="1"/>
  <c r="BK115" i="7"/>
  <c r="BK203" i="7" s="1"/>
  <c r="EC111" i="7"/>
  <c r="ED111" i="7" s="1"/>
  <c r="EC106" i="7"/>
  <c r="BV127" i="7" l="1"/>
  <c r="BR135" i="7"/>
  <c r="BR105" i="7"/>
  <c r="BR118" i="7" s="1"/>
  <c r="EF103" i="7"/>
  <c r="BR127" i="7"/>
  <c r="BR120" i="7"/>
  <c r="BR119" i="7"/>
  <c r="BH114" i="7"/>
  <c r="BH163" i="7" s="1"/>
  <c r="BR108" i="7"/>
  <c r="BR121" i="7" s="1"/>
  <c r="BQ121" i="7"/>
  <c r="ED75" i="7"/>
  <c r="EE75" i="7" s="1"/>
  <c r="EE103" i="7" s="1"/>
  <c r="EE104" i="7" s="1"/>
  <c r="FH102" i="7"/>
  <c r="EC80" i="7"/>
  <c r="EC100" i="7"/>
  <c r="EC99" i="7"/>
  <c r="EC28" i="7"/>
  <c r="EC19" i="7"/>
  <c r="FH19" i="7" s="1"/>
  <c r="EC31" i="7"/>
  <c r="EC49" i="7"/>
  <c r="EC64" i="7"/>
  <c r="EC33" i="7"/>
  <c r="EC75" i="7"/>
  <c r="BF129" i="7"/>
  <c r="BF94" i="7"/>
  <c r="BF23" i="7"/>
  <c r="BF5" i="7"/>
  <c r="BJ130" i="7" l="1"/>
  <c r="BF103" i="7"/>
  <c r="BJ127" i="7" s="1"/>
  <c r="BH123" i="7"/>
  <c r="BH115" i="7"/>
  <c r="BF130" i="7"/>
  <c r="BL114" i="7"/>
  <c r="BL115" i="7" s="1"/>
  <c r="BL123" i="7" l="1"/>
  <c r="BL163" i="7"/>
  <c r="BF119" i="7"/>
  <c r="BF135" i="7"/>
  <c r="BL133" i="7"/>
  <c r="BF105" i="7"/>
  <c r="BF108" i="7" s="1"/>
  <c r="BF120" i="7"/>
  <c r="DV94" i="7"/>
  <c r="BE5" i="7"/>
  <c r="BD5" i="7"/>
  <c r="BC5" i="7"/>
  <c r="BE130" i="7" l="1"/>
  <c r="BI130" i="7"/>
  <c r="BM112" i="7"/>
  <c r="BM122" i="7" s="1"/>
  <c r="BL134" i="7"/>
  <c r="BC130" i="7"/>
  <c r="BG130" i="7"/>
  <c r="BD130" i="7"/>
  <c r="BH130" i="7"/>
  <c r="EC5" i="7"/>
  <c r="BF118" i="7"/>
  <c r="BF121" i="7"/>
  <c r="BF112" i="7"/>
  <c r="ED55" i="7"/>
  <c r="FJ18" i="7"/>
  <c r="FI18" i="7"/>
  <c r="BE113" i="7"/>
  <c r="BE94" i="7"/>
  <c r="BE129" i="7"/>
  <c r="BD129" i="7"/>
  <c r="BE23" i="7"/>
  <c r="BD94" i="7"/>
  <c r="BD23" i="7"/>
  <c r="AK94" i="7"/>
  <c r="AK113" i="7"/>
  <c r="AL94" i="7"/>
  <c r="AL103" i="7" s="1"/>
  <c r="AL113" i="7"/>
  <c r="AO94" i="7"/>
  <c r="AZ94" i="7"/>
  <c r="AM94" i="7"/>
  <c r="AM103" i="7" s="1"/>
  <c r="AN94" i="7"/>
  <c r="AN103" i="7" s="1"/>
  <c r="AP94" i="7"/>
  <c r="AQ94" i="7"/>
  <c r="AQ58" i="7"/>
  <c r="AQ103" i="7" s="1"/>
  <c r="AR113" i="7"/>
  <c r="AR94" i="7"/>
  <c r="AR103" i="7" s="1"/>
  <c r="AS94" i="7"/>
  <c r="AS71" i="7"/>
  <c r="AS63" i="7"/>
  <c r="AS67" i="7"/>
  <c r="AS60" i="7"/>
  <c r="AS58" i="7"/>
  <c r="AT94" i="7"/>
  <c r="BE116" i="7"/>
  <c r="EC116" i="7" s="1"/>
  <c r="AU94" i="7"/>
  <c r="AU27" i="7"/>
  <c r="AU53" i="7"/>
  <c r="AU38" i="7"/>
  <c r="AU22" i="7"/>
  <c r="AU84" i="7"/>
  <c r="AU54" i="7"/>
  <c r="AU59" i="7"/>
  <c r="AU70" i="7"/>
  <c r="AU19" i="7"/>
  <c r="AU37" i="7"/>
  <c r="AU47" i="7"/>
  <c r="AU52" i="7"/>
  <c r="AU57" i="7"/>
  <c r="AU72" i="7"/>
  <c r="AU69" i="7"/>
  <c r="AU55" i="7"/>
  <c r="AU66" i="7"/>
  <c r="AU71" i="7"/>
  <c r="AU63" i="7"/>
  <c r="AU67" i="7"/>
  <c r="AU46" i="7"/>
  <c r="AU60" i="7"/>
  <c r="AU58" i="7"/>
  <c r="BC173" i="7"/>
  <c r="BC189" i="7" s="1"/>
  <c r="BC155" i="7"/>
  <c r="BC151" i="7"/>
  <c r="BC148" i="7"/>
  <c r="BC144" i="7"/>
  <c r="BC138" i="7"/>
  <c r="EB116" i="7"/>
  <c r="EB80" i="7"/>
  <c r="EB101" i="7"/>
  <c r="EB100" i="7"/>
  <c r="EB99" i="7"/>
  <c r="EB86" i="7"/>
  <c r="EB81" i="7"/>
  <c r="EB57" i="7"/>
  <c r="EB72" i="7"/>
  <c r="EB70" i="7"/>
  <c r="EB69" i="7"/>
  <c r="EB19" i="7"/>
  <c r="EB55" i="7"/>
  <c r="EB62" i="7"/>
  <c r="EB65" i="7"/>
  <c r="EB38" i="7"/>
  <c r="EB63" i="7"/>
  <c r="EB67" i="7"/>
  <c r="EB84" i="7"/>
  <c r="EB37" i="7"/>
  <c r="EB46" i="7"/>
  <c r="EB22" i="7"/>
  <c r="EB75" i="7"/>
  <c r="EB66" i="7"/>
  <c r="EB26" i="7"/>
  <c r="EB47" i="7"/>
  <c r="EB54" i="7"/>
  <c r="EB56" i="7"/>
  <c r="EB53" i="7"/>
  <c r="EB59" i="7"/>
  <c r="EB10" i="7"/>
  <c r="AW94" i="7"/>
  <c r="AY94" i="7"/>
  <c r="AY58" i="7"/>
  <c r="BA94" i="7"/>
  <c r="AV94" i="7"/>
  <c r="AV19" i="7"/>
  <c r="AV55" i="7"/>
  <c r="AV62" i="7"/>
  <c r="AV38" i="7"/>
  <c r="AV63" i="7"/>
  <c r="AV67" i="7"/>
  <c r="AV84" i="7"/>
  <c r="AV37" i="7"/>
  <c r="AV46" i="7"/>
  <c r="AV27" i="7"/>
  <c r="AV22" i="7"/>
  <c r="AV66" i="7"/>
  <c r="AV47" i="7"/>
  <c r="AV54" i="7"/>
  <c r="AV53" i="7"/>
  <c r="AV59" i="7"/>
  <c r="AV60" i="7"/>
  <c r="AV52" i="7"/>
  <c r="AV71" i="7"/>
  <c r="AV58" i="7"/>
  <c r="AV113" i="7"/>
  <c r="AZ113" i="7"/>
  <c r="AZ102" i="7"/>
  <c r="BA102" i="7"/>
  <c r="BB94" i="7"/>
  <c r="BA113" i="7"/>
  <c r="BB60" i="7"/>
  <c r="BB52" i="7"/>
  <c r="BB71" i="7"/>
  <c r="BB58" i="7"/>
  <c r="AX113" i="7"/>
  <c r="AX102" i="7"/>
  <c r="BA194" i="7"/>
  <c r="BA195" i="7"/>
  <c r="EA101" i="7"/>
  <c r="EA102" i="7"/>
  <c r="BD195" i="7"/>
  <c r="BC38" i="7"/>
  <c r="EC38" i="7" s="1"/>
  <c r="BC55" i="7"/>
  <c r="BC62" i="7"/>
  <c r="EC62" i="7" s="1"/>
  <c r="BC65" i="7"/>
  <c r="EC65" i="7" s="1"/>
  <c r="BC10" i="7"/>
  <c r="BC60" i="7"/>
  <c r="BC59" i="7"/>
  <c r="BC53" i="7"/>
  <c r="BC56" i="7"/>
  <c r="EC56" i="7" s="1"/>
  <c r="BC54" i="7"/>
  <c r="BC47" i="7"/>
  <c r="EC47" i="7" s="1"/>
  <c r="BC26" i="7"/>
  <c r="EC26" i="7" s="1"/>
  <c r="BC66" i="7"/>
  <c r="EC66" i="7" s="1"/>
  <c r="BC22" i="7"/>
  <c r="EC22" i="7" s="1"/>
  <c r="BC63" i="7"/>
  <c r="EC63" i="7" s="1"/>
  <c r="BC67" i="7"/>
  <c r="EC67" i="7" s="1"/>
  <c r="BC37" i="7"/>
  <c r="EC37" i="7" s="1"/>
  <c r="BC46" i="7"/>
  <c r="EC46" i="7" s="1"/>
  <c r="BC27" i="7"/>
  <c r="EC27" i="7" s="1"/>
  <c r="BC52" i="7"/>
  <c r="BC71" i="7"/>
  <c r="BC58" i="7"/>
  <c r="EC58" i="7" s="1"/>
  <c r="BC113" i="7"/>
  <c r="EC107" i="7"/>
  <c r="BB195" i="7"/>
  <c r="BC195" i="7"/>
  <c r="BC194" i="7"/>
  <c r="BB193" i="7"/>
  <c r="BB194" i="7" s="1"/>
  <c r="EA116" i="7"/>
  <c r="EA111" i="7"/>
  <c r="EA109" i="7"/>
  <c r="EA107" i="7"/>
  <c r="EA106" i="7"/>
  <c r="BB23" i="7"/>
  <c r="EB111" i="7"/>
  <c r="FI4" i="7"/>
  <c r="FI9" i="7"/>
  <c r="BD193" i="7"/>
  <c r="EC193" i="7" s="1"/>
  <c r="ED193" i="7" s="1"/>
  <c r="EE193" i="7" s="1"/>
  <c r="EF193" i="7" s="1"/>
  <c r="Q18" i="47"/>
  <c r="Q19" i="47"/>
  <c r="Q20" i="47"/>
  <c r="BC94" i="7"/>
  <c r="BC23" i="7"/>
  <c r="EC10" i="7" l="1"/>
  <c r="FH10" i="7" s="1"/>
  <c r="BD103" i="7"/>
  <c r="AY103" i="7"/>
  <c r="AU103" i="7"/>
  <c r="BA103" i="7"/>
  <c r="BB103" i="7"/>
  <c r="BE103" i="7"/>
  <c r="EC71" i="7"/>
  <c r="BC103" i="7"/>
  <c r="BC135" i="7" s="1"/>
  <c r="AO103" i="7"/>
  <c r="AO201" i="7" s="1"/>
  <c r="AV103" i="7"/>
  <c r="AT103" i="7"/>
  <c r="AT120" i="7" s="1"/>
  <c r="DZ71" i="7"/>
  <c r="AS103" i="7"/>
  <c r="AZ103" i="7"/>
  <c r="EB71" i="7"/>
  <c r="EA58" i="7"/>
  <c r="EA27" i="7"/>
  <c r="DZ58" i="7"/>
  <c r="EB58" i="7"/>
  <c r="EA71" i="7"/>
  <c r="EC52" i="7"/>
  <c r="EA60" i="7"/>
  <c r="EC94" i="7"/>
  <c r="FH94" i="7" s="1"/>
  <c r="EC113" i="7"/>
  <c r="EA53" i="7"/>
  <c r="ED64" i="7"/>
  <c r="EH64" i="7" s="1"/>
  <c r="EI64" i="7" s="1"/>
  <c r="EJ64" i="7" s="1"/>
  <c r="EK64" i="7" s="1"/>
  <c r="FJ64" i="7" s="1"/>
  <c r="ED31" i="7"/>
  <c r="EH31" i="7" s="1"/>
  <c r="EI31" i="7" s="1"/>
  <c r="EJ31" i="7" s="1"/>
  <c r="EK31" i="7" s="1"/>
  <c r="FJ31" i="7" s="1"/>
  <c r="EC53" i="7"/>
  <c r="EB60" i="7"/>
  <c r="BF122" i="7"/>
  <c r="BF114" i="7"/>
  <c r="EC23" i="7"/>
  <c r="EC59" i="7"/>
  <c r="EC54" i="7"/>
  <c r="EC60" i="7"/>
  <c r="EC55" i="7"/>
  <c r="EA59" i="7"/>
  <c r="ED33" i="7"/>
  <c r="EH33" i="7" s="1"/>
  <c r="EI33" i="7" s="1"/>
  <c r="EJ33" i="7" s="1"/>
  <c r="EK33" i="7" s="1"/>
  <c r="FJ33" i="7" s="1"/>
  <c r="ED49" i="7"/>
  <c r="EH49" i="7" s="1"/>
  <c r="EI49" i="7" s="1"/>
  <c r="EJ49" i="7" s="1"/>
  <c r="EK49" i="7" s="1"/>
  <c r="FJ49" i="7" s="1"/>
  <c r="EB52" i="7"/>
  <c r="ED52" i="7"/>
  <c r="BC137" i="7"/>
  <c r="BC134" i="7" s="1"/>
  <c r="EA52" i="7"/>
  <c r="BC159" i="7"/>
  <c r="BC161" i="7" s="1"/>
  <c r="BC146" i="7"/>
  <c r="EB113" i="7"/>
  <c r="EB94" i="7"/>
  <c r="EB102" i="7"/>
  <c r="AN201" i="7"/>
  <c r="EB23" i="7"/>
  <c r="BD194" i="7"/>
  <c r="EG193" i="7"/>
  <c r="EH193" i="7" s="1"/>
  <c r="BB157" i="7"/>
  <c r="BB148" i="7"/>
  <c r="BB144" i="7"/>
  <c r="BB138" i="7"/>
  <c r="AK27" i="7"/>
  <c r="AJ27" i="7"/>
  <c r="AI27" i="7"/>
  <c r="AH27" i="7"/>
  <c r="AG27" i="7"/>
  <c r="AF27" i="7"/>
  <c r="AE27" i="7"/>
  <c r="AD27" i="7"/>
  <c r="AC27" i="7"/>
  <c r="AB27" i="7"/>
  <c r="AK53" i="7"/>
  <c r="AJ53" i="7"/>
  <c r="AI53" i="7"/>
  <c r="AH53" i="7"/>
  <c r="AG53" i="7"/>
  <c r="AF53" i="7"/>
  <c r="AE53" i="7"/>
  <c r="AD53" i="7"/>
  <c r="AC53" i="7"/>
  <c r="AB53" i="7"/>
  <c r="AK38" i="7"/>
  <c r="AJ38" i="7"/>
  <c r="AI38" i="7"/>
  <c r="AE38" i="7"/>
  <c r="AK86" i="7"/>
  <c r="AJ86" i="7"/>
  <c r="AI86" i="7"/>
  <c r="AH86" i="7"/>
  <c r="AG86" i="7"/>
  <c r="AF86" i="7"/>
  <c r="AE86" i="7"/>
  <c r="AD86" i="7"/>
  <c r="AC86" i="7"/>
  <c r="AB86" i="7"/>
  <c r="DU84" i="7"/>
  <c r="AK84" i="7"/>
  <c r="AJ84" i="7"/>
  <c r="AI84" i="7"/>
  <c r="AH84" i="7"/>
  <c r="AG84" i="7"/>
  <c r="AF84" i="7"/>
  <c r="AE84" i="7"/>
  <c r="AD84" i="7"/>
  <c r="AC84" i="7"/>
  <c r="AB84" i="7"/>
  <c r="AK54" i="7"/>
  <c r="AJ54" i="7"/>
  <c r="AI54" i="7"/>
  <c r="AH54" i="7"/>
  <c r="AG54" i="7"/>
  <c r="AF54" i="7"/>
  <c r="AE54" i="7"/>
  <c r="AD54" i="7"/>
  <c r="AC54" i="7"/>
  <c r="AB54"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H59" i="7"/>
  <c r="I59" i="7"/>
  <c r="J59" i="7"/>
  <c r="DU52" i="7"/>
  <c r="AK52" i="7"/>
  <c r="AJ52" i="7"/>
  <c r="AI52" i="7"/>
  <c r="AH52" i="7"/>
  <c r="AG52" i="7"/>
  <c r="AF52" i="7"/>
  <c r="AE52" i="7"/>
  <c r="AD52" i="7"/>
  <c r="AC52" i="7"/>
  <c r="AB52" i="7"/>
  <c r="AK66" i="7"/>
  <c r="AJ66" i="7"/>
  <c r="AI66" i="7"/>
  <c r="AG66" i="7"/>
  <c r="AF66" i="7"/>
  <c r="AE66" i="7"/>
  <c r="AD66" i="7"/>
  <c r="AC66" i="7"/>
  <c r="AB66" i="7"/>
  <c r="AA66" i="7"/>
  <c r="Z66" i="7"/>
  <c r="Y66" i="7"/>
  <c r="X66" i="7"/>
  <c r="W66" i="7"/>
  <c r="V66" i="7"/>
  <c r="U66" i="7"/>
  <c r="T66" i="7"/>
  <c r="DW67" i="7"/>
  <c r="DU57" i="7"/>
  <c r="AK57" i="7"/>
  <c r="AJ57" i="7"/>
  <c r="AI57" i="7"/>
  <c r="AH57" i="7"/>
  <c r="AG57" i="7"/>
  <c r="AF57" i="7"/>
  <c r="AE57" i="7"/>
  <c r="AD57" i="7"/>
  <c r="AC57" i="7"/>
  <c r="AB57" i="7"/>
  <c r="AA57" i="7"/>
  <c r="DW65" i="7"/>
  <c r="DV65" i="7"/>
  <c r="DU65" i="7"/>
  <c r="DT65" i="7"/>
  <c r="DS65" i="7"/>
  <c r="DR65" i="7"/>
  <c r="DQ65" i="7"/>
  <c r="AK72" i="7"/>
  <c r="AJ72" i="7"/>
  <c r="AI72" i="7"/>
  <c r="AH72" i="7"/>
  <c r="AG72" i="7"/>
  <c r="AF72" i="7"/>
  <c r="AE72" i="7"/>
  <c r="AD72" i="7"/>
  <c r="AC72" i="7"/>
  <c r="AB72" i="7"/>
  <c r="A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DP55" i="7"/>
  <c r="F55" i="7" s="1"/>
  <c r="DU47" i="7"/>
  <c r="AK47" i="7"/>
  <c r="AJ47" i="7"/>
  <c r="AI47" i="7"/>
  <c r="AH47" i="7"/>
  <c r="AG47" i="7"/>
  <c r="AF47" i="7"/>
  <c r="AE47" i="7"/>
  <c r="AD47" i="7"/>
  <c r="AC47" i="7"/>
  <c r="AB47" i="7"/>
  <c r="DU37" i="7"/>
  <c r="AJ37" i="7"/>
  <c r="AI37" i="7"/>
  <c r="AH37" i="7"/>
  <c r="AG37" i="7"/>
  <c r="AF37" i="7"/>
  <c r="AE37" i="7"/>
  <c r="AD37" i="7"/>
  <c r="AC37" i="7"/>
  <c r="AB37" i="7"/>
  <c r="AA37"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DP70" i="7"/>
  <c r="F70" i="7" s="1"/>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DP19" i="7"/>
  <c r="F19" i="7" s="1"/>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DP63" i="7"/>
  <c r="F63" i="7" s="1"/>
  <c r="AK60" i="7"/>
  <c r="AJ60" i="7"/>
  <c r="AI60" i="7"/>
  <c r="AH60" i="7"/>
  <c r="AG60" i="7"/>
  <c r="AF60" i="7"/>
  <c r="AE60" i="7"/>
  <c r="AD60" i="7"/>
  <c r="AC60" i="7"/>
  <c r="AB60" i="7"/>
  <c r="AA60" i="7"/>
  <c r="Z60" i="7"/>
  <c r="Y60" i="7"/>
  <c r="X60" i="7"/>
  <c r="W60" i="7"/>
  <c r="V60" i="7"/>
  <c r="U60" i="7"/>
  <c r="T60" i="7"/>
  <c r="S60" i="7"/>
  <c r="R60" i="7"/>
  <c r="Q60" i="7"/>
  <c r="P60" i="7"/>
  <c r="O60" i="7"/>
  <c r="J60" i="7"/>
  <c r="I60" i="7"/>
  <c r="H60" i="7"/>
  <c r="G60" i="7"/>
  <c r="N60" i="7"/>
  <c r="M60" i="7"/>
  <c r="L60" i="7"/>
  <c r="K60"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AX94" i="7"/>
  <c r="AX103" i="7" s="1"/>
  <c r="AZ175" i="7"/>
  <c r="BA175" i="7" s="1"/>
  <c r="BB175" i="7" s="1"/>
  <c r="AZ172" i="7"/>
  <c r="BA172" i="7" s="1"/>
  <c r="BB172" i="7" s="1"/>
  <c r="AZ169" i="7"/>
  <c r="BA169" i="7" s="1"/>
  <c r="BB169" i="7" s="1"/>
  <c r="AZ168" i="7"/>
  <c r="BA168" i="7" s="1"/>
  <c r="BB168" i="7" s="1"/>
  <c r="AZ167" i="7"/>
  <c r="BA167" i="7" s="1"/>
  <c r="BB167" i="7" s="1"/>
  <c r="AZ166" i="7"/>
  <c r="BA166" i="7" s="1"/>
  <c r="BB166" i="7" s="1"/>
  <c r="AZ165" i="7"/>
  <c r="BA165" i="7" s="1"/>
  <c r="BB165" i="7" s="1"/>
  <c r="AZ164" i="7"/>
  <c r="BA164" i="7" s="1"/>
  <c r="BB164" i="7" s="1"/>
  <c r="AZ155" i="7"/>
  <c r="AZ148" i="7"/>
  <c r="AZ144" i="7"/>
  <c r="AZ138" i="7"/>
  <c r="AY173" i="7"/>
  <c r="AY189" i="7" s="1"/>
  <c r="AY155" i="7"/>
  <c r="AY148" i="7"/>
  <c r="AY144" i="7"/>
  <c r="AY138" i="7"/>
  <c r="AW102" i="7"/>
  <c r="AW103" i="7" s="1"/>
  <c r="BA155" i="7"/>
  <c r="BA151" i="7"/>
  <c r="BA144" i="7"/>
  <c r="BA148" i="7"/>
  <c r="BA138" i="7"/>
  <c r="AX137" i="7"/>
  <c r="DV130" i="7"/>
  <c r="DW130" i="7"/>
  <c r="DX130" i="7"/>
  <c r="DY130" i="7"/>
  <c r="DZ130" i="7"/>
  <c r="EA130" i="7"/>
  <c r="EB130" i="7"/>
  <c r="B38" i="21"/>
  <c r="B39" i="21" s="1"/>
  <c r="B40" i="21" s="1"/>
  <c r="B41" i="21" s="1"/>
  <c r="B42" i="21" s="1"/>
  <c r="B43" i="21" s="1"/>
  <c r="B44" i="21" s="1"/>
  <c r="B45" i="21" s="1"/>
  <c r="BA129" i="7"/>
  <c r="AZ129" i="7"/>
  <c r="AX104" i="7"/>
  <c r="AY107" i="7"/>
  <c r="AY106" i="7"/>
  <c r="BC129" i="7" s="1"/>
  <c r="AY104" i="7"/>
  <c r="AW155" i="7"/>
  <c r="AW148" i="7"/>
  <c r="AW113" i="7"/>
  <c r="EA113" i="7" s="1"/>
  <c r="AV165" i="7"/>
  <c r="AW165" i="7" s="1"/>
  <c r="AV166" i="7"/>
  <c r="AW166" i="7" s="1"/>
  <c r="AV167" i="7"/>
  <c r="AW167" i="7" s="1"/>
  <c r="AV168" i="7"/>
  <c r="AW168" i="7" s="1"/>
  <c r="AV169" i="7"/>
  <c r="AW169" i="7" s="1"/>
  <c r="AV172" i="7"/>
  <c r="AW172" i="7" s="1"/>
  <c r="AU173" i="7"/>
  <c r="AU138" i="7"/>
  <c r="AU148" i="7"/>
  <c r="AU144" i="7"/>
  <c r="AV144" i="7"/>
  <c r="AV138" i="7"/>
  <c r="AV148" i="7"/>
  <c r="AW138" i="7"/>
  <c r="EA37" i="7"/>
  <c r="EA38" i="7"/>
  <c r="EA65" i="7"/>
  <c r="EA57" i="7"/>
  <c r="FJ9" i="7"/>
  <c r="AT138" i="7"/>
  <c r="AT148" i="7"/>
  <c r="AT113" i="7"/>
  <c r="AW144" i="7"/>
  <c r="AT144" i="7"/>
  <c r="AW129" i="7"/>
  <c r="DZ93" i="7"/>
  <c r="DZ87" i="7"/>
  <c r="DZ37" i="7"/>
  <c r="DZ38" i="7"/>
  <c r="DZ65" i="7"/>
  <c r="DZ57" i="7"/>
  <c r="DY102" i="7"/>
  <c r="DZ102" i="7" s="1"/>
  <c r="EA19" i="7"/>
  <c r="EA69" i="7"/>
  <c r="DZ69" i="7"/>
  <c r="DZ116" i="7"/>
  <c r="EA72" i="7"/>
  <c r="EA70" i="7"/>
  <c r="EA63" i="7"/>
  <c r="EA55" i="7"/>
  <c r="EA67" i="7"/>
  <c r="EA47" i="7"/>
  <c r="EA66" i="7"/>
  <c r="EA84" i="7"/>
  <c r="EA22" i="7"/>
  <c r="EA54" i="7"/>
  <c r="AP58" i="7"/>
  <c r="AP103" i="7" s="1"/>
  <c r="DZ52" i="7"/>
  <c r="DZ59" i="7"/>
  <c r="DZ53" i="7"/>
  <c r="DZ54" i="7"/>
  <c r="DZ22" i="7"/>
  <c r="DZ84" i="7"/>
  <c r="DZ66" i="7"/>
  <c r="DZ47" i="7"/>
  <c r="DZ67" i="7"/>
  <c r="DZ55" i="7"/>
  <c r="DZ63" i="7"/>
  <c r="DZ70" i="7"/>
  <c r="DZ19" i="7"/>
  <c r="DZ72" i="7"/>
  <c r="AQ104" i="7"/>
  <c r="AR104" i="7"/>
  <c r="AQ106" i="7"/>
  <c r="AR106" i="7"/>
  <c r="AR129" i="7" s="1"/>
  <c r="AQ107" i="7"/>
  <c r="AR107" i="7"/>
  <c r="AR111" i="7"/>
  <c r="DZ109" i="7" s="1"/>
  <c r="AS137" i="7"/>
  <c r="DV102" i="7"/>
  <c r="DV59" i="7"/>
  <c r="DY94" i="7"/>
  <c r="DZ94" i="7" s="1"/>
  <c r="DZ101" i="7"/>
  <c r="DY60" i="7"/>
  <c r="DX94" i="7"/>
  <c r="DX102" i="7"/>
  <c r="DW94" i="7"/>
  <c r="DW102" i="7"/>
  <c r="DU59" i="7"/>
  <c r="AI67" i="7"/>
  <c r="AI87" i="7"/>
  <c r="AI93" i="7"/>
  <c r="AI96" i="7"/>
  <c r="AI97" i="7"/>
  <c r="AI98" i="7"/>
  <c r="AI91" i="7"/>
  <c r="AI94" i="7"/>
  <c r="AI104" i="7"/>
  <c r="AH87" i="7"/>
  <c r="AH93" i="7"/>
  <c r="AH96" i="7"/>
  <c r="AH97" i="7"/>
  <c r="AH98" i="7"/>
  <c r="AH91" i="7"/>
  <c r="AH94" i="7"/>
  <c r="AD104" i="7"/>
  <c r="AC104" i="7"/>
  <c r="AB10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13" i="7"/>
  <c r="AQ138" i="7"/>
  <c r="AQ148" i="7"/>
  <c r="AN105" i="7"/>
  <c r="AN118" i="7" s="1"/>
  <c r="AN111" i="7"/>
  <c r="AM111" i="7"/>
  <c r="AR173" i="7"/>
  <c r="AR138" i="7"/>
  <c r="AR148" i="7"/>
  <c r="EA46" i="7"/>
  <c r="DZ46" i="7"/>
  <c r="DZ60" i="7"/>
  <c r="AT129" i="7"/>
  <c r="AS129" i="7"/>
  <c r="AX129" i="7"/>
  <c r="AN120" i="7"/>
  <c r="AE107" i="7"/>
  <c r="AF107" i="7"/>
  <c r="AE106" i="7"/>
  <c r="AO116" i="7"/>
  <c r="AN11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11" i="7"/>
  <c r="AQ3" i="22"/>
  <c r="AP3" i="22"/>
  <c r="N3" i="22"/>
  <c r="M3" i="22"/>
  <c r="L3" i="22"/>
  <c r="K3" i="22"/>
  <c r="AO3" i="22"/>
  <c r="AN3" i="22"/>
  <c r="AM3" i="22"/>
  <c r="AL3" i="22"/>
  <c r="AK3" i="22"/>
  <c r="AJ3" i="22"/>
  <c r="AI3" i="22"/>
  <c r="AH3" i="22"/>
  <c r="AG3" i="22"/>
  <c r="AF3" i="22"/>
  <c r="AE3" i="22"/>
  <c r="AD3" i="22"/>
  <c r="AI106" i="7"/>
  <c r="Y106" i="7"/>
  <c r="X116" i="7"/>
  <c r="Y116" i="7" s="1"/>
  <c r="Z116" i="7" s="1"/>
  <c r="AE114" i="7"/>
  <c r="AE123" i="7" s="1"/>
  <c r="AF114" i="7"/>
  <c r="AF123" i="7" s="1"/>
  <c r="AG114" i="7"/>
  <c r="AG123" i="7" s="1"/>
  <c r="AH114" i="7"/>
  <c r="AH123" i="7" s="1"/>
  <c r="AE122" i="7"/>
  <c r="AF122" i="7"/>
  <c r="AG122" i="7"/>
  <c r="AH122" i="7"/>
  <c r="DT105" i="7"/>
  <c r="DT108" i="7" s="1"/>
  <c r="DT121" i="7" s="1"/>
  <c r="DS105" i="7"/>
  <c r="DS108" i="7" s="1"/>
  <c r="DR105" i="7"/>
  <c r="DR108" i="7" s="1"/>
  <c r="DQ105" i="7"/>
  <c r="DQ108" i="7" s="1"/>
  <c r="DP105" i="7"/>
  <c r="DP118" i="7" s="1"/>
  <c r="DO105" i="7"/>
  <c r="DO108" i="7" s="1"/>
  <c r="DN105" i="7"/>
  <c r="DN118" i="7" s="1"/>
  <c r="DM105" i="7"/>
  <c r="DM108" i="7" s="1"/>
  <c r="DT119" i="7"/>
  <c r="DS119" i="7"/>
  <c r="DR119" i="7"/>
  <c r="DQ119" i="7"/>
  <c r="DP119" i="7"/>
  <c r="DO119" i="7"/>
  <c r="DN119" i="7"/>
  <c r="DM119" i="7"/>
  <c r="BB129" i="7"/>
  <c r="AO119" i="7" l="1"/>
  <c r="AO120" i="7"/>
  <c r="AO105" i="7"/>
  <c r="AO108" i="7" s="1"/>
  <c r="AO121" i="7" s="1"/>
  <c r="O103" i="7"/>
  <c r="AA103" i="7"/>
  <c r="AA105" i="7" s="1"/>
  <c r="AA108" i="7" s="1"/>
  <c r="G103" i="7"/>
  <c r="S103" i="7"/>
  <c r="R103" i="7"/>
  <c r="AE103" i="7"/>
  <c r="AE105" i="7" s="1"/>
  <c r="AE108" i="7" s="1"/>
  <c r="AE121" i="7" s="1"/>
  <c r="N103" i="7"/>
  <c r="Z103" i="7"/>
  <c r="Z105" i="7" s="1"/>
  <c r="Z118" i="7" s="1"/>
  <c r="F103" i="7"/>
  <c r="AT146" i="7"/>
  <c r="P103" i="7"/>
  <c r="AB103" i="7"/>
  <c r="AB105" i="7" s="1"/>
  <c r="AB108" i="7" s="1"/>
  <c r="AK103" i="7"/>
  <c r="Q103" i="7"/>
  <c r="AC103" i="7"/>
  <c r="AC105" i="7" s="1"/>
  <c r="AC108" i="7" s="1"/>
  <c r="AD103" i="7"/>
  <c r="AD105" i="7" s="1"/>
  <c r="AD108" i="7" s="1"/>
  <c r="AT119" i="7"/>
  <c r="H103" i="7"/>
  <c r="T103" i="7"/>
  <c r="T105" i="7" s="1"/>
  <c r="T108" i="7" s="1"/>
  <c r="T112" i="7" s="1"/>
  <c r="T114" i="7" s="1"/>
  <c r="AF103" i="7"/>
  <c r="AF105" i="7" s="1"/>
  <c r="AF108" i="7" s="1"/>
  <c r="AF121" i="7" s="1"/>
  <c r="I103" i="7"/>
  <c r="U103" i="7"/>
  <c r="AG103" i="7"/>
  <c r="AF120" i="7" s="1"/>
  <c r="J103" i="7"/>
  <c r="V103" i="7"/>
  <c r="AH103" i="7"/>
  <c r="AH105" i="7" s="1"/>
  <c r="AH108" i="7" s="1"/>
  <c r="AH121" i="7" s="1"/>
  <c r="K103" i="7"/>
  <c r="W103" i="7"/>
  <c r="W105" i="7" s="1"/>
  <c r="W118" i="7" s="1"/>
  <c r="AI103" i="7"/>
  <c r="AI105" i="7" s="1"/>
  <c r="AI108" i="7" s="1"/>
  <c r="L103" i="7"/>
  <c r="X103" i="7"/>
  <c r="X105" i="7" s="1"/>
  <c r="X118" i="7" s="1"/>
  <c r="AJ103" i="7"/>
  <c r="AN127" i="7" s="1"/>
  <c r="M103" i="7"/>
  <c r="Y103" i="7"/>
  <c r="Y105" i="7" s="1"/>
  <c r="Y118" i="7" s="1"/>
  <c r="T13" i="40"/>
  <c r="S15" i="40"/>
  <c r="C3" i="24"/>
  <c r="D11" i="25"/>
  <c r="DQ58" i="7"/>
  <c r="DR58" i="7"/>
  <c r="DS58" i="7"/>
  <c r="DT58" i="7"/>
  <c r="DU58" i="7"/>
  <c r="DV58" i="7"/>
  <c r="DW58" i="7"/>
  <c r="BF123" i="7"/>
  <c r="BF163" i="7"/>
  <c r="BM114" i="7"/>
  <c r="EC103" i="7"/>
  <c r="E3" i="24"/>
  <c r="EE130" i="7"/>
  <c r="BB137" i="7"/>
  <c r="BB134" i="7" s="1"/>
  <c r="BB201" i="7"/>
  <c r="BF127" i="7"/>
  <c r="FH58" i="7"/>
  <c r="FH53" i="7"/>
  <c r="AU146" i="7"/>
  <c r="AZ137" i="7"/>
  <c r="AZ134" i="7" s="1"/>
  <c r="AQ120" i="7"/>
  <c r="BC201" i="7"/>
  <c r="BD105" i="7"/>
  <c r="BD118" i="7" s="1"/>
  <c r="BD119" i="7"/>
  <c r="BD135" i="7"/>
  <c r="BD120" i="7"/>
  <c r="FH80" i="7"/>
  <c r="BB196" i="7"/>
  <c r="BB197" i="7" s="1"/>
  <c r="BB119" i="7"/>
  <c r="EB103" i="7"/>
  <c r="BB120" i="7"/>
  <c r="AP105" i="7"/>
  <c r="AQ129" i="7"/>
  <c r="AQ119" i="7"/>
  <c r="AX134" i="7"/>
  <c r="EB107" i="7"/>
  <c r="AY120" i="7"/>
  <c r="AX119" i="7"/>
  <c r="AX120" i="7"/>
  <c r="AY119" i="7"/>
  <c r="EB106" i="7"/>
  <c r="BC119" i="7"/>
  <c r="BC120" i="7"/>
  <c r="AM201" i="7"/>
  <c r="AW146" i="7"/>
  <c r="AX201" i="7"/>
  <c r="EA87" i="7"/>
  <c r="BA196" i="7"/>
  <c r="BA197" i="7" s="1"/>
  <c r="BD127" i="7"/>
  <c r="BC105" i="7"/>
  <c r="BC196" i="7"/>
  <c r="AY129" i="7"/>
  <c r="FJ12" i="7"/>
  <c r="FI12" i="7"/>
  <c r="ED53" i="7"/>
  <c r="FI102" i="7"/>
  <c r="FH62" i="7"/>
  <c r="FH56" i="7"/>
  <c r="EC130" i="7"/>
  <c r="FH5" i="7"/>
  <c r="BB105" i="7"/>
  <c r="BB118" i="7" s="1"/>
  <c r="EI193" i="7"/>
  <c r="FH99" i="7"/>
  <c r="EH10" i="7"/>
  <c r="DY103" i="7"/>
  <c r="DY120" i="7" s="1"/>
  <c r="DT63" i="7"/>
  <c r="DZ98" i="7"/>
  <c r="AV146" i="7"/>
  <c r="AU137" i="7"/>
  <c r="AU134" i="7" s="1"/>
  <c r="AY146" i="7"/>
  <c r="DR60" i="7"/>
  <c r="DS60" i="7"/>
  <c r="DV60" i="7"/>
  <c r="DW60" i="7"/>
  <c r="DR63" i="7"/>
  <c r="DV63" i="7"/>
  <c r="DV81" i="7"/>
  <c r="AY137" i="7"/>
  <c r="AY134" i="7" s="1"/>
  <c r="BA146" i="7"/>
  <c r="DT112" i="7"/>
  <c r="DT114" i="7" s="1"/>
  <c r="DT123" i="7" s="1"/>
  <c r="DT118" i="7"/>
  <c r="AU129" i="7"/>
  <c r="AZ173" i="7"/>
  <c r="AZ189" i="7" s="1"/>
  <c r="DX103" i="7"/>
  <c r="DX120" i="7" s="1"/>
  <c r="AW137" i="7"/>
  <c r="AW134" i="7" s="1"/>
  <c r="AT137" i="7"/>
  <c r="AV137" i="7"/>
  <c r="AV134" i="7" s="1"/>
  <c r="EA97" i="7"/>
  <c r="DZ91" i="7"/>
  <c r="EA93" i="7"/>
  <c r="DQ60" i="7"/>
  <c r="DT60" i="7"/>
  <c r="DU60" i="7"/>
  <c r="DQ63" i="7"/>
  <c r="DS63" i="7"/>
  <c r="DU63" i="7"/>
  <c r="DW63" i="7"/>
  <c r="DW81" i="7"/>
  <c r="AZ146" i="7"/>
  <c r="DO118" i="7"/>
  <c r="AV173" i="7"/>
  <c r="AN108" i="7"/>
  <c r="AN121" i="7" s="1"/>
  <c r="AV129" i="7"/>
  <c r="DZ97" i="7"/>
  <c r="EA98" i="7"/>
  <c r="EA96" i="7"/>
  <c r="AW159" i="7"/>
  <c r="T15" i="40"/>
  <c r="U13" i="40"/>
  <c r="N13" i="40"/>
  <c r="M5" i="40"/>
  <c r="M7" i="40" s="1"/>
  <c r="AY159" i="7"/>
  <c r="AM119" i="7"/>
  <c r="EA91" i="7"/>
  <c r="FH52" i="7"/>
  <c r="BA159" i="7"/>
  <c r="AZ159" i="7"/>
  <c r="DZ96" i="7"/>
  <c r="AR137" i="7"/>
  <c r="AQ137" i="7"/>
  <c r="DZ107" i="7"/>
  <c r="BA137" i="7"/>
  <c r="BA134" i="7" s="1"/>
  <c r="BB173" i="7"/>
  <c r="BB189" i="7" s="1"/>
  <c r="BB146" i="7"/>
  <c r="DS118" i="7"/>
  <c r="DM118" i="7"/>
  <c r="DZ106" i="7"/>
  <c r="DQ118" i="7"/>
  <c r="BB159" i="7"/>
  <c r="BB161" i="7" s="1"/>
  <c r="BB135" i="7"/>
  <c r="AQ105" i="7"/>
  <c r="DN108" i="7"/>
  <c r="DQ69" i="7"/>
  <c r="DT70" i="7"/>
  <c r="DU69" i="7"/>
  <c r="DW69" i="7"/>
  <c r="DT66" i="7"/>
  <c r="DW52" i="7"/>
  <c r="DS19" i="7"/>
  <c r="DW19" i="7"/>
  <c r="DR70" i="7"/>
  <c r="DS70" i="7"/>
  <c r="AU105" i="7"/>
  <c r="AU118" i="7" s="1"/>
  <c r="DQ19" i="7"/>
  <c r="DR19" i="7"/>
  <c r="DV37" i="7"/>
  <c r="DW47" i="7"/>
  <c r="DV66" i="7"/>
  <c r="DW66" i="7"/>
  <c r="DV52" i="7"/>
  <c r="DV84" i="7"/>
  <c r="DW84" i="7"/>
  <c r="DW86" i="7"/>
  <c r="DU19" i="7"/>
  <c r="DV19" i="7"/>
  <c r="DV70" i="7"/>
  <c r="DW70" i="7"/>
  <c r="DV47" i="7"/>
  <c r="DS69" i="7"/>
  <c r="DT69" i="7"/>
  <c r="DV57" i="7"/>
  <c r="DW57" i="7"/>
  <c r="K7" i="19"/>
  <c r="BA173" i="7"/>
  <c r="BA189" i="7" s="1"/>
  <c r="DP108" i="7"/>
  <c r="DR118" i="7"/>
  <c r="DQ81" i="7"/>
  <c r="DR81" i="7"/>
  <c r="DS81" i="7"/>
  <c r="DT81" i="7"/>
  <c r="DU81" i="7"/>
  <c r="DT19" i="7"/>
  <c r="DQ70" i="7"/>
  <c r="DU70" i="7"/>
  <c r="DW37" i="7"/>
  <c r="DR69" i="7"/>
  <c r="DV69" i="7"/>
  <c r="DU66" i="7"/>
  <c r="DV86" i="7"/>
  <c r="DR112" i="7"/>
  <c r="DR121" i="7"/>
  <c r="AW173" i="7"/>
  <c r="DM121" i="7"/>
  <c r="DM112" i="7"/>
  <c r="DO121" i="7"/>
  <c r="DO112" i="7"/>
  <c r="DQ112" i="7"/>
  <c r="DQ121" i="7"/>
  <c r="DS121" i="7"/>
  <c r="DS112" i="7"/>
  <c r="AO112" i="7" l="1"/>
  <c r="AO122" i="7" s="1"/>
  <c r="AO118" i="7"/>
  <c r="W108" i="7"/>
  <c r="Z108" i="7"/>
  <c r="X108" i="7"/>
  <c r="Y108" i="7"/>
  <c r="BM115" i="7"/>
  <c r="BM123" i="7"/>
  <c r="EB120" i="7"/>
  <c r="EC120" i="7"/>
  <c r="EE109" i="7"/>
  <c r="EC119" i="7"/>
  <c r="AG119" i="7"/>
  <c r="ED63" i="7"/>
  <c r="EH63" i="7" s="1"/>
  <c r="ED65" i="7"/>
  <c r="EH65" i="7" s="1"/>
  <c r="EF130" i="7"/>
  <c r="ED28" i="7"/>
  <c r="EH28" i="7" s="1"/>
  <c r="EI28" i="7" s="1"/>
  <c r="EJ28" i="7" s="1"/>
  <c r="EK28" i="7" s="1"/>
  <c r="FJ28" i="7" s="1"/>
  <c r="ED46" i="7"/>
  <c r="EH46" i="7" s="1"/>
  <c r="FI23" i="7"/>
  <c r="ED26" i="7"/>
  <c r="EH26" i="7" s="1"/>
  <c r="ED130" i="7"/>
  <c r="BB198" i="7"/>
  <c r="EC127" i="7"/>
  <c r="DY119" i="7"/>
  <c r="DY127" i="7"/>
  <c r="EH53" i="7"/>
  <c r="EI53" i="7" s="1"/>
  <c r="EJ53" i="7" s="1"/>
  <c r="EK53" i="7" s="1"/>
  <c r="BC118" i="7"/>
  <c r="ED47" i="7"/>
  <c r="ED54" i="7"/>
  <c r="EH54" i="7" s="1"/>
  <c r="EI54" i="7" s="1"/>
  <c r="EJ54" i="7" s="1"/>
  <c r="EK54" i="7" s="1"/>
  <c r="ED56" i="7"/>
  <c r="EH56" i="7" s="1"/>
  <c r="EI56" i="7" s="1"/>
  <c r="EJ56" i="7" s="1"/>
  <c r="EK56" i="7" s="1"/>
  <c r="FH54" i="7"/>
  <c r="ED59" i="7"/>
  <c r="AF119" i="7"/>
  <c r="AE119" i="7"/>
  <c r="FI80" i="7"/>
  <c r="FH23" i="7"/>
  <c r="AQ108" i="7"/>
  <c r="AQ118" i="7"/>
  <c r="DT115" i="7"/>
  <c r="AG105" i="7"/>
  <c r="AG108" i="7" s="1"/>
  <c r="AG121" i="7" s="1"/>
  <c r="AO127" i="7"/>
  <c r="AK120" i="7"/>
  <c r="AK201" i="7"/>
  <c r="AK119" i="7"/>
  <c r="AK105" i="7"/>
  <c r="AL120" i="7"/>
  <c r="AL201" i="7"/>
  <c r="AL119" i="7"/>
  <c r="AL105" i="7"/>
  <c r="AU120" i="7"/>
  <c r="AU119" i="7"/>
  <c r="AS201" i="7"/>
  <c r="AS120" i="7"/>
  <c r="AS119" i="7"/>
  <c r="AP119" i="7"/>
  <c r="AP201" i="7"/>
  <c r="AP127" i="7"/>
  <c r="AR120" i="7"/>
  <c r="AR201" i="7"/>
  <c r="AR119" i="7"/>
  <c r="AU127" i="7"/>
  <c r="AQ201" i="7"/>
  <c r="AQ127" i="7"/>
  <c r="AR105" i="7"/>
  <c r="AV127" i="7"/>
  <c r="AR127" i="7"/>
  <c r="AS105" i="7"/>
  <c r="AS127" i="7"/>
  <c r="AW127" i="7"/>
  <c r="AT105" i="7"/>
  <c r="AT201" i="7"/>
  <c r="AT127" i="7"/>
  <c r="AY127" i="7"/>
  <c r="AU201" i="7"/>
  <c r="AZ127" i="7"/>
  <c r="AZ119" i="7"/>
  <c r="AZ120" i="7"/>
  <c r="BA119" i="7"/>
  <c r="BA120" i="7"/>
  <c r="AV201" i="7"/>
  <c r="AV120" i="7"/>
  <c r="AV119" i="7"/>
  <c r="AX127" i="7"/>
  <c r="AW119" i="7"/>
  <c r="AW120" i="7"/>
  <c r="EB119" i="7"/>
  <c r="FH66" i="7"/>
  <c r="FH38" i="7"/>
  <c r="AE120" i="7"/>
  <c r="AV105" i="7"/>
  <c r="AZ201" i="7"/>
  <c r="FH55" i="7"/>
  <c r="EH55" i="7"/>
  <c r="BC197" i="7"/>
  <c r="BC198" i="7"/>
  <c r="FH63" i="7"/>
  <c r="BA201" i="7"/>
  <c r="BB108" i="7"/>
  <c r="BB121" i="7" s="1"/>
  <c r="FH100" i="7"/>
  <c r="AY201" i="7"/>
  <c r="AW201" i="7"/>
  <c r="FH27" i="7"/>
  <c r="FH46" i="7"/>
  <c r="FH67" i="7"/>
  <c r="FH26" i="7"/>
  <c r="FH71" i="7"/>
  <c r="FH65" i="7"/>
  <c r="FH59" i="7"/>
  <c r="FI10" i="7"/>
  <c r="FJ102" i="7"/>
  <c r="DY105" i="7"/>
  <c r="DY118" i="7" s="1"/>
  <c r="BA127" i="7"/>
  <c r="BA135" i="7"/>
  <c r="EJ193" i="7"/>
  <c r="BC127" i="7"/>
  <c r="DZ103" i="7"/>
  <c r="DZ120" i="7" s="1"/>
  <c r="EA103" i="7"/>
  <c r="DU103" i="7"/>
  <c r="DU120" i="7" s="1"/>
  <c r="DT122" i="7"/>
  <c r="BA105" i="7"/>
  <c r="BA118" i="7" s="1"/>
  <c r="AM120" i="7"/>
  <c r="AP120" i="7"/>
  <c r="DX105" i="7"/>
  <c r="DX108" i="7" s="1"/>
  <c r="DX121" i="7" s="1"/>
  <c r="DX119" i="7"/>
  <c r="AH119" i="7"/>
  <c r="AN112" i="7"/>
  <c r="AN114" i="7" s="1"/>
  <c r="AY105" i="7"/>
  <c r="AW135" i="7"/>
  <c r="AZ135" i="7"/>
  <c r="AZ105" i="7"/>
  <c r="AZ118" i="7" s="1"/>
  <c r="AM105" i="7"/>
  <c r="AM108" i="7" s="1"/>
  <c r="AY135" i="7"/>
  <c r="AW105" i="7"/>
  <c r="AW118" i="7" s="1"/>
  <c r="AL127" i="7"/>
  <c r="O13" i="40"/>
  <c r="O5" i="40" s="1"/>
  <c r="O7" i="40" s="1"/>
  <c r="N5" i="40"/>
  <c r="N7" i="40" s="1"/>
  <c r="V13" i="40"/>
  <c r="U15" i="40"/>
  <c r="AG120" i="7"/>
  <c r="DV103" i="7"/>
  <c r="DV120" i="7" s="1"/>
  <c r="AU108" i="7"/>
  <c r="DW103" i="7"/>
  <c r="AH120" i="7"/>
  <c r="AM127" i="7"/>
  <c r="DN121" i="7"/>
  <c r="DN112" i="7"/>
  <c r="AP108" i="7"/>
  <c r="AP118" i="7"/>
  <c r="AX105" i="7"/>
  <c r="AX118" i="7" s="1"/>
  <c r="BB127" i="7"/>
  <c r="DP112" i="7"/>
  <c r="DP121" i="7"/>
  <c r="EB201" i="7"/>
  <c r="DS114" i="7"/>
  <c r="DS122" i="7"/>
  <c r="DO114" i="7"/>
  <c r="DO122" i="7"/>
  <c r="DM122" i="7"/>
  <c r="DM114" i="7"/>
  <c r="DQ114" i="7"/>
  <c r="DQ122" i="7"/>
  <c r="DR122" i="7"/>
  <c r="DR114" i="7"/>
  <c r="AO114" i="7" l="1"/>
  <c r="AO115" i="7" s="1"/>
  <c r="FJ10" i="7"/>
  <c r="EB127" i="7"/>
  <c r="EA120" i="7"/>
  <c r="DX127" i="7"/>
  <c r="DW120" i="7"/>
  <c r="BM134" i="7"/>
  <c r="BN112" i="7"/>
  <c r="BN122" i="7" s="1"/>
  <c r="EH5" i="7"/>
  <c r="EH130" i="7" s="1"/>
  <c r="ED19" i="7"/>
  <c r="ED22" i="7"/>
  <c r="EH22" i="7" s="1"/>
  <c r="FI54" i="7"/>
  <c r="FI56" i="7"/>
  <c r="DU105" i="7"/>
  <c r="DU127" i="7"/>
  <c r="FI53" i="7"/>
  <c r="DV105" i="7"/>
  <c r="DV118" i="7" s="1"/>
  <c r="DV127" i="7"/>
  <c r="EA201" i="7"/>
  <c r="EA127" i="7"/>
  <c r="DW105" i="7"/>
  <c r="DW108" i="7" s="1"/>
  <c r="DW127" i="7"/>
  <c r="DZ201" i="7"/>
  <c r="DZ127" i="7"/>
  <c r="ED66" i="7"/>
  <c r="EH66" i="7" s="1"/>
  <c r="FI66" i="7" s="1"/>
  <c r="ED37" i="7"/>
  <c r="EH37" i="7" s="1"/>
  <c r="EI37" i="7" s="1"/>
  <c r="EJ37" i="7" s="1"/>
  <c r="EK37" i="7" s="1"/>
  <c r="ED62" i="7"/>
  <c r="EH62" i="7" s="1"/>
  <c r="EI62" i="7" s="1"/>
  <c r="EJ62" i="7" s="1"/>
  <c r="EK62" i="7" s="1"/>
  <c r="EH59" i="7"/>
  <c r="EI59" i="7" s="1"/>
  <c r="EJ59" i="7" s="1"/>
  <c r="EK59" i="7" s="1"/>
  <c r="FJ23" i="7"/>
  <c r="BB112" i="7"/>
  <c r="BB122" i="7" s="1"/>
  <c r="ED38" i="7"/>
  <c r="EH38" i="7" s="1"/>
  <c r="EI38" i="7" s="1"/>
  <c r="EJ38" i="7" s="1"/>
  <c r="EK38" i="7" s="1"/>
  <c r="FJ38"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12" i="7"/>
  <c r="AQ121" i="7"/>
  <c r="DY108" i="7"/>
  <c r="DY121" i="7" s="1"/>
  <c r="AK108" i="7"/>
  <c r="AK118" i="7"/>
  <c r="AL108" i="7"/>
  <c r="AL118" i="7"/>
  <c r="AU112" i="7"/>
  <c r="AU122" i="7" s="1"/>
  <c r="AU121" i="7"/>
  <c r="AT108" i="7"/>
  <c r="AT118" i="7"/>
  <c r="AS108" i="7"/>
  <c r="AS118" i="7"/>
  <c r="AR108" i="7"/>
  <c r="AR118" i="7"/>
  <c r="EB105" i="7"/>
  <c r="EB108" i="7" s="1"/>
  <c r="AY118" i="7"/>
  <c r="AV108" i="7"/>
  <c r="AV118" i="7"/>
  <c r="EI63" i="7"/>
  <c r="EJ63" i="7" s="1"/>
  <c r="EK63" i="7" s="1"/>
  <c r="FJ63" i="7" s="1"/>
  <c r="FI63" i="7"/>
  <c r="FH60" i="7"/>
  <c r="BA198" i="7"/>
  <c r="FI55" i="7"/>
  <c r="EI55" i="7"/>
  <c r="EJ55" i="7" s="1"/>
  <c r="EK55" i="7" s="1"/>
  <c r="FJ55" i="7" s="1"/>
  <c r="AW108" i="7"/>
  <c r="AW121" i="7" s="1"/>
  <c r="EA105" i="7"/>
  <c r="EA108" i="7" s="1"/>
  <c r="EA112" i="7" s="1"/>
  <c r="EA114" i="7" s="1"/>
  <c r="EA115" i="7" s="1"/>
  <c r="EA203" i="7" s="1"/>
  <c r="EH47" i="7"/>
  <c r="FH47" i="7"/>
  <c r="FI99" i="7"/>
  <c r="FH37" i="7"/>
  <c r="FH22" i="7"/>
  <c r="FH101" i="7"/>
  <c r="EK102" i="7"/>
  <c r="EC195" i="7"/>
  <c r="EC194" i="7"/>
  <c r="EI65" i="7"/>
  <c r="EJ65" i="7" s="1"/>
  <c r="EK65" i="7" s="1"/>
  <c r="FI65" i="7"/>
  <c r="FJ80" i="7"/>
  <c r="EI26" i="7"/>
  <c r="EJ26" i="7" s="1"/>
  <c r="EK26" i="7" s="1"/>
  <c r="FJ26" i="7" s="1"/>
  <c r="FI26" i="7"/>
  <c r="EI46" i="7"/>
  <c r="EJ46" i="7" s="1"/>
  <c r="EK46" i="7" s="1"/>
  <c r="FI46" i="7"/>
  <c r="EA119" i="7"/>
  <c r="DZ105" i="7"/>
  <c r="DZ119" i="7"/>
  <c r="DU119" i="7"/>
  <c r="BA108" i="7"/>
  <c r="BA121" i="7" s="1"/>
  <c r="AZ108" i="7"/>
  <c r="AZ121" i="7" s="1"/>
  <c r="EK193" i="7"/>
  <c r="AY108" i="7"/>
  <c r="AY121" i="7" s="1"/>
  <c r="BC108" i="7"/>
  <c r="BC121" i="7" s="1"/>
  <c r="AN122" i="7"/>
  <c r="DW119" i="7"/>
  <c r="AM118" i="7"/>
  <c r="DX112" i="7"/>
  <c r="DX114" i="7" s="1"/>
  <c r="DX115" i="7" s="1"/>
  <c r="DX118" i="7"/>
  <c r="DV119" i="7"/>
  <c r="V15" i="40"/>
  <c r="W13" i="40"/>
  <c r="DN122" i="7"/>
  <c r="DN114" i="7"/>
  <c r="AX108" i="7"/>
  <c r="AX121" i="7" s="1"/>
  <c r="AP112" i="7"/>
  <c r="AP121" i="7"/>
  <c r="DP114" i="7"/>
  <c r="DP122" i="7"/>
  <c r="AN123" i="7"/>
  <c r="AN115" i="7"/>
  <c r="AM121" i="7"/>
  <c r="AM112" i="7"/>
  <c r="DO115" i="7"/>
  <c r="DO123" i="7"/>
  <c r="DS115" i="7"/>
  <c r="DS123" i="7"/>
  <c r="DR123" i="7"/>
  <c r="DR115" i="7"/>
  <c r="DQ123" i="7"/>
  <c r="DQ115" i="7"/>
  <c r="DM115" i="7"/>
  <c r="DM123" i="7"/>
  <c r="AO123" i="7" l="1"/>
  <c r="FJ59" i="7"/>
  <c r="EE118" i="7"/>
  <c r="EE120" i="7"/>
  <c r="DU118" i="7"/>
  <c r="DU108" i="7"/>
  <c r="DU112" i="7" s="1"/>
  <c r="BN114" i="7"/>
  <c r="BN123" i="7" s="1"/>
  <c r="EG130" i="7"/>
  <c r="DY112" i="7"/>
  <c r="DY122" i="7" s="1"/>
  <c r="AU114" i="7"/>
  <c r="AU123" i="7" s="1"/>
  <c r="FI5" i="7"/>
  <c r="DW118" i="7"/>
  <c r="BB114" i="7"/>
  <c r="BB123" i="7" s="1"/>
  <c r="ED60" i="7"/>
  <c r="FI59" i="7"/>
  <c r="FI62" i="7"/>
  <c r="DV108" i="7"/>
  <c r="DV112" i="7" s="1"/>
  <c r="FI38" i="7"/>
  <c r="BK127" i="7"/>
  <c r="EI66" i="7"/>
  <c r="EJ66" i="7" s="1"/>
  <c r="EK66" i="7" s="1"/>
  <c r="BA112" i="7"/>
  <c r="BA122" i="7" s="1"/>
  <c r="BE120" i="7"/>
  <c r="BE135" i="7"/>
  <c r="BE127" i="7"/>
  <c r="BE119" i="7"/>
  <c r="BE105" i="7"/>
  <c r="EC105" i="7" s="1"/>
  <c r="AQ122" i="7"/>
  <c r="AI114" i="7"/>
  <c r="AQ114" i="7"/>
  <c r="BE201" i="7"/>
  <c r="BF115" i="7"/>
  <c r="BF201" i="7"/>
  <c r="AK112" i="7"/>
  <c r="AK121" i="7"/>
  <c r="AL112" i="7"/>
  <c r="AL121" i="7"/>
  <c r="AT121" i="7"/>
  <c r="AT112" i="7"/>
  <c r="AS112" i="7"/>
  <c r="AS121" i="7"/>
  <c r="AR112" i="7"/>
  <c r="AR121" i="7"/>
  <c r="AV112" i="7"/>
  <c r="AV121" i="7"/>
  <c r="EB112" i="7"/>
  <c r="EB114" i="7" s="1"/>
  <c r="EB115" i="7" s="1"/>
  <c r="EB104" i="7"/>
  <c r="AZ112" i="7"/>
  <c r="AZ122" i="7" s="1"/>
  <c r="AY112" i="7"/>
  <c r="AY122" i="7" s="1"/>
  <c r="EA118" i="7"/>
  <c r="EA121" i="7"/>
  <c r="AW112" i="7"/>
  <c r="AW122" i="7" s="1"/>
  <c r="BC112" i="7"/>
  <c r="BC122" i="7" s="1"/>
  <c r="ED195" i="7"/>
  <c r="ED194" i="7"/>
  <c r="DX122" i="7"/>
  <c r="FH108" i="7"/>
  <c r="FI101" i="7"/>
  <c r="EI22" i="7"/>
  <c r="EJ22" i="7" s="1"/>
  <c r="EK22" i="7" s="1"/>
  <c r="FJ22" i="7" s="1"/>
  <c r="FI22" i="7"/>
  <c r="FJ99" i="7"/>
  <c r="EI47" i="7"/>
  <c r="EJ47" i="7" s="1"/>
  <c r="EK47" i="7" s="1"/>
  <c r="FI47" i="7"/>
  <c r="DZ108" i="7"/>
  <c r="DZ118" i="7"/>
  <c r="DX123" i="7"/>
  <c r="AX112" i="7"/>
  <c r="AX122" i="7" s="1"/>
  <c r="W15" i="40"/>
  <c r="X13" i="40"/>
  <c r="DN115" i="7"/>
  <c r="DN123" i="7"/>
  <c r="AP113" i="7"/>
  <c r="AP122" i="7" s="1"/>
  <c r="AM122" i="7"/>
  <c r="AM114" i="7"/>
  <c r="DP123" i="7"/>
  <c r="DP115" i="7"/>
  <c r="EA123" i="7"/>
  <c r="DW121" i="7"/>
  <c r="DW112" i="7"/>
  <c r="AU115" i="7" l="1"/>
  <c r="AU203" i="7" s="1"/>
  <c r="DU121" i="7"/>
  <c r="EC118" i="7"/>
  <c r="EC104" i="7"/>
  <c r="EI130" i="7"/>
  <c r="FI67" i="7"/>
  <c r="DY114" i="7"/>
  <c r="DY123" i="7" s="1"/>
  <c r="BB115" i="7"/>
  <c r="BB203" i="7" s="1"/>
  <c r="BB163" i="7"/>
  <c r="BB191" i="7" s="1"/>
  <c r="BG135" i="7"/>
  <c r="BN115" i="7"/>
  <c r="EJ130" i="7"/>
  <c r="AU163" i="7"/>
  <c r="AU191" i="7" s="1"/>
  <c r="EI71" i="7"/>
  <c r="FI71" i="7"/>
  <c r="DV121" i="7"/>
  <c r="BE118" i="7"/>
  <c r="EC108" i="7"/>
  <c r="EC121" i="7" s="1"/>
  <c r="BG127" i="7"/>
  <c r="BG119" i="7"/>
  <c r="BG105" i="7"/>
  <c r="ED105" i="7" s="1"/>
  <c r="BG120" i="7"/>
  <c r="FJ27" i="7"/>
  <c r="FI27" i="7"/>
  <c r="BH127" i="7"/>
  <c r="BA114" i="7"/>
  <c r="BA123" i="7" s="1"/>
  <c r="AZ114" i="7"/>
  <c r="AZ123" i="7" s="1"/>
  <c r="BE108" i="7"/>
  <c r="BE121" i="7" s="1"/>
  <c r="AQ123" i="7"/>
  <c r="AQ115" i="7"/>
  <c r="AQ163" i="7"/>
  <c r="EH94" i="7"/>
  <c r="FI94" i="7" s="1"/>
  <c r="AK114" i="7"/>
  <c r="AK122" i="7"/>
  <c r="AL114" i="7"/>
  <c r="AL122" i="7"/>
  <c r="AT122" i="7"/>
  <c r="AT114" i="7"/>
  <c r="AS122" i="7"/>
  <c r="AS114" i="7"/>
  <c r="AR122" i="7"/>
  <c r="AR114" i="7"/>
  <c r="AV114" i="7"/>
  <c r="AV122" i="7"/>
  <c r="AY114" i="7"/>
  <c r="AY123" i="7" s="1"/>
  <c r="AW114" i="7"/>
  <c r="AW123" i="7" s="1"/>
  <c r="FJ101" i="7"/>
  <c r="EE195" i="7"/>
  <c r="EE194" i="7"/>
  <c r="DZ121" i="7"/>
  <c r="DZ112" i="7"/>
  <c r="DZ113" i="7" s="1"/>
  <c r="DZ114" i="7" s="1"/>
  <c r="EC196" i="7"/>
  <c r="EC197" i="7" s="1"/>
  <c r="EC201" i="7"/>
  <c r="BC114" i="7"/>
  <c r="AX114" i="7"/>
  <c r="AX123" i="7" s="1"/>
  <c r="X15" i="40"/>
  <c r="Y13" i="40"/>
  <c r="AP114" i="7"/>
  <c r="AM123" i="7"/>
  <c r="AM115" i="7"/>
  <c r="DU122" i="7"/>
  <c r="DU114" i="7"/>
  <c r="DW114" i="7"/>
  <c r="DW122" i="7"/>
  <c r="DV114" i="7"/>
  <c r="DV122" i="7"/>
  <c r="EH52" i="7" l="1"/>
  <c r="FI52" i="7" s="1"/>
  <c r="DY115" i="7"/>
  <c r="BF133" i="7"/>
  <c r="BN134" i="7"/>
  <c r="BA163" i="7"/>
  <c r="BA191" i="7" s="1"/>
  <c r="EJ71" i="7"/>
  <c r="BI127" i="7"/>
  <c r="BI119" i="7"/>
  <c r="BA115" i="7"/>
  <c r="BA203" i="7" s="1"/>
  <c r="BG118" i="7"/>
  <c r="BG108" i="7"/>
  <c r="AZ115" i="7"/>
  <c r="AZ203" i="7" s="1"/>
  <c r="AZ163" i="7"/>
  <c r="AZ191" i="7" s="1"/>
  <c r="BE112" i="7"/>
  <c r="BE114" i="7" s="1"/>
  <c r="BE163" i="7" s="1"/>
  <c r="AY115" i="7"/>
  <c r="AY203" i="7" s="1"/>
  <c r="AY163" i="7"/>
  <c r="AY191" i="7" s="1"/>
  <c r="AK115" i="7"/>
  <c r="AK123" i="7"/>
  <c r="AL115" i="7"/>
  <c r="AL123" i="7"/>
  <c r="BC123" i="7"/>
  <c r="BC163" i="7"/>
  <c r="BC191" i="7" s="1"/>
  <c r="AT123" i="7"/>
  <c r="AT163" i="7"/>
  <c r="AT115" i="7"/>
  <c r="AT203" i="7" s="1"/>
  <c r="AS123" i="7"/>
  <c r="AS163" i="7"/>
  <c r="AS115" i="7"/>
  <c r="AS203" i="7" s="1"/>
  <c r="AR123" i="7"/>
  <c r="AR163" i="7"/>
  <c r="AR115" i="7"/>
  <c r="AR203" i="7" s="1"/>
  <c r="AV123" i="7"/>
  <c r="AV163" i="7"/>
  <c r="AV191" i="7" s="1"/>
  <c r="AV115" i="7"/>
  <c r="AV203" i="7" s="1"/>
  <c r="AW115" i="7"/>
  <c r="AW203" i="7" s="1"/>
  <c r="AW163" i="7"/>
  <c r="AW191" i="7" s="1"/>
  <c r="AX115" i="7"/>
  <c r="AX163" i="7"/>
  <c r="EI94" i="7"/>
  <c r="FJ94" i="7" s="1"/>
  <c r="EF195" i="7"/>
  <c r="EF194" i="7"/>
  <c r="FJ5" i="7"/>
  <c r="DZ123" i="7"/>
  <c r="DZ115" i="7"/>
  <c r="EH58" i="7"/>
  <c r="BC115" i="7"/>
  <c r="Y15" i="40"/>
  <c r="Z13" i="40"/>
  <c r="AP115" i="7"/>
  <c r="AP123" i="7"/>
  <c r="DV115" i="7"/>
  <c r="DV123" i="7"/>
  <c r="DW115" i="7"/>
  <c r="DW123" i="7"/>
  <c r="DU115" i="7"/>
  <c r="DU123" i="7"/>
  <c r="EI52" i="7" l="1"/>
  <c r="EJ52" i="7" s="1"/>
  <c r="EK52" i="7" s="1"/>
  <c r="FI58" i="7"/>
  <c r="BO112" i="7"/>
  <c r="BO122" i="7" s="1"/>
  <c r="EK71" i="7"/>
  <c r="BI108" i="7"/>
  <c r="BI118" i="7"/>
  <c r="BE122" i="7"/>
  <c r="BA133" i="7"/>
  <c r="BG112" i="7"/>
  <c r="BG121" i="7"/>
  <c r="ED103" i="7"/>
  <c r="BE115" i="7"/>
  <c r="BE133" i="7" s="1"/>
  <c r="BE123" i="7"/>
  <c r="EC112" i="7"/>
  <c r="AX203" i="7"/>
  <c r="BB133" i="7"/>
  <c r="BC203" i="7"/>
  <c r="BC133" i="7"/>
  <c r="EG195" i="7"/>
  <c r="EG194" i="7"/>
  <c r="EJ94" i="7"/>
  <c r="EK94" i="7" s="1"/>
  <c r="EI58" i="7"/>
  <c r="Z15" i="40"/>
  <c r="AA13" i="40"/>
  <c r="EH60" i="7"/>
  <c r="FI60" i="7" s="1"/>
  <c r="ED118" i="7" l="1"/>
  <c r="ED120" i="7"/>
  <c r="BO114" i="7"/>
  <c r="BJ112" i="7"/>
  <c r="BJ122" i="7" s="1"/>
  <c r="BI121" i="7"/>
  <c r="BI112" i="7"/>
  <c r="BG114" i="7"/>
  <c r="BG163" i="7" s="1"/>
  <c r="BG122" i="7"/>
  <c r="EC114" i="7"/>
  <c r="EC123" i="7" s="1"/>
  <c r="EC122" i="7"/>
  <c r="ED119" i="7"/>
  <c r="ED127" i="7"/>
  <c r="ED201" i="7"/>
  <c r="ED196" i="7"/>
  <c r="ED197" i="7" s="1"/>
  <c r="EH195" i="7"/>
  <c r="EH194" i="7"/>
  <c r="EJ58" i="7"/>
  <c r="AA15" i="40"/>
  <c r="AB13" i="40"/>
  <c r="EI60" i="7"/>
  <c r="BO123" i="7" l="1"/>
  <c r="BO115" i="7"/>
  <c r="BO134" i="7"/>
  <c r="BI114" i="7"/>
  <c r="BI163" i="7" s="1"/>
  <c r="EC192" i="7"/>
  <c r="EC115" i="7"/>
  <c r="BG123" i="7"/>
  <c r="BG115" i="7"/>
  <c r="ED104" i="7"/>
  <c r="ED108" i="7"/>
  <c r="ED121" i="7" s="1"/>
  <c r="EE119" i="7"/>
  <c r="EE201" i="7"/>
  <c r="EE196" i="7"/>
  <c r="EE197" i="7" s="1"/>
  <c r="EE127" i="7"/>
  <c r="EG103" i="7"/>
  <c r="EI195" i="7"/>
  <c r="EI194" i="7"/>
  <c r="EK58" i="7"/>
  <c r="AB15" i="40"/>
  <c r="AC13" i="40"/>
  <c r="EJ60" i="7"/>
  <c r="BO133" i="7" l="1"/>
  <c r="BS133" i="7"/>
  <c r="FJ71" i="7"/>
  <c r="BG133" i="7"/>
  <c r="BK133" i="7"/>
  <c r="BI122" i="7"/>
  <c r="BJ114" i="7"/>
  <c r="BJ123" i="7" s="1"/>
  <c r="BI115" i="7"/>
  <c r="BI123" i="7"/>
  <c r="ED112" i="7"/>
  <c r="ED113" i="7" s="1"/>
  <c r="ED114" i="7" s="1"/>
  <c r="ED115" i="7" s="1"/>
  <c r="ED133" i="7" s="1"/>
  <c r="EE121" i="7"/>
  <c r="EF119" i="7"/>
  <c r="EF196" i="7"/>
  <c r="EF197" i="7" s="1"/>
  <c r="EF127" i="7"/>
  <c r="EH103" i="7"/>
  <c r="EJ195" i="7"/>
  <c r="EJ194" i="7"/>
  <c r="AC15" i="40"/>
  <c r="AD13" i="40"/>
  <c r="EK60" i="7"/>
  <c r="BJ163" i="7" l="1"/>
  <c r="BI133" i="7"/>
  <c r="BM133" i="7"/>
  <c r="BJ115" i="7"/>
  <c r="BJ133" i="7" s="1"/>
  <c r="EF121" i="7"/>
  <c r="EG121" i="7"/>
  <c r="ED123" i="7"/>
  <c r="ED192" i="7"/>
  <c r="EG196" i="7"/>
  <c r="EG197" i="7" s="1"/>
  <c r="EG119" i="7"/>
  <c r="EG127" i="7"/>
  <c r="EI103" i="7"/>
  <c r="FI108" i="7"/>
  <c r="EK195" i="7"/>
  <c r="EK194" i="7"/>
  <c r="FJ52" i="7"/>
  <c r="AD15" i="40"/>
  <c r="AE13" i="40"/>
  <c r="BN133" i="7" l="1"/>
  <c r="EE112" i="7"/>
  <c r="EE113" i="7" s="1"/>
  <c r="EJ103" i="7"/>
  <c r="EH196" i="7"/>
  <c r="EH197" i="7" s="1"/>
  <c r="EH119" i="7"/>
  <c r="EH127" i="7"/>
  <c r="FJ58" i="7"/>
  <c r="FJ60" i="7"/>
  <c r="AE15" i="40"/>
  <c r="AF13" i="40"/>
  <c r="BP134" i="7" l="1"/>
  <c r="EE114" i="7"/>
  <c r="EH121" i="7"/>
  <c r="EI196" i="7"/>
  <c r="EI197" i="7" s="1"/>
  <c r="EI119" i="7"/>
  <c r="EI127" i="7"/>
  <c r="EK103" i="7"/>
  <c r="AF15" i="40"/>
  <c r="AG13" i="40"/>
  <c r="BQ112" i="7" l="1"/>
  <c r="EE115" i="7"/>
  <c r="EE133" i="7" s="1"/>
  <c r="EE123" i="7"/>
  <c r="EE192" i="7"/>
  <c r="EI121" i="7"/>
  <c r="EJ196" i="7"/>
  <c r="EJ197" i="7" s="1"/>
  <c r="EJ119" i="7"/>
  <c r="EJ127" i="7"/>
  <c r="EJ121" i="7"/>
  <c r="EM127" i="7"/>
  <c r="AG15" i="40"/>
  <c r="AH13" i="40"/>
  <c r="BQ122" i="7" l="1"/>
  <c r="EK196" i="7"/>
  <c r="EK197" i="7" s="1"/>
  <c r="EK127" i="7"/>
  <c r="AH15" i="40"/>
  <c r="AI13" i="40"/>
  <c r="BQ114" i="7" l="1"/>
  <c r="EL127" i="7"/>
  <c r="FJ108" i="7"/>
  <c r="AI15" i="40"/>
  <c r="AJ13" i="40"/>
  <c r="EF192" i="7"/>
  <c r="EF123" i="7"/>
  <c r="BQ115" i="7" l="1"/>
  <c r="BQ123" i="7"/>
  <c r="AK13" i="40"/>
  <c r="AK15" i="40" s="1"/>
  <c r="AJ15" i="40"/>
  <c r="BQ133" i="7" l="1"/>
  <c r="BU133" i="7"/>
  <c r="BQ134" i="7"/>
  <c r="BR112" i="7" l="1"/>
  <c r="EG123" i="7"/>
  <c r="EG192" i="7"/>
  <c r="BR122" i="7" l="1"/>
  <c r="BR114" i="7" l="1"/>
  <c r="EH123" i="7"/>
  <c r="EH192" i="7"/>
  <c r="BR115" i="7" l="1"/>
  <c r="BR123" i="7"/>
  <c r="BR134" i="7"/>
  <c r="BR133" i="7" l="1"/>
  <c r="BV133" i="7"/>
  <c r="EI123" i="7" l="1"/>
  <c r="EI192" i="7"/>
  <c r="EJ123" i="7" l="1"/>
  <c r="EJ192" i="7"/>
  <c r="EK192" i="7" l="1"/>
  <c r="EB121" i="7" l="1"/>
  <c r="FE114" i="7" l="1"/>
  <c r="FF114" i="7" s="1"/>
  <c r="FG114" i="7" s="1"/>
  <c r="EB122" i="7"/>
  <c r="EB123" i="7" l="1"/>
  <c r="EB192" i="7"/>
  <c r="FH114" i="7" l="1"/>
  <c r="FI114" i="7" s="1"/>
  <c r="FJ114" i="7" s="1"/>
  <c r="FK114" i="7" s="1"/>
  <c r="FL114" i="7" s="1"/>
  <c r="FM114" i="7" s="1"/>
  <c r="FN114" i="7" s="1"/>
  <c r="FO114" i="7" s="1"/>
  <c r="FP114" i="7" s="1"/>
  <c r="FQ114" i="7" s="1"/>
  <c r="FR114" i="7" s="1"/>
  <c r="FS114" i="7" s="1"/>
  <c r="FT114" i="7" s="1"/>
  <c r="FU114" i="7" s="1"/>
  <c r="FV114" i="7" s="1"/>
  <c r="FW114" i="7" s="1"/>
  <c r="FX114" i="7" s="1"/>
  <c r="FY114" i="7" s="1"/>
  <c r="FZ114" i="7" s="1"/>
  <c r="GA114" i="7" s="1"/>
  <c r="GB114" i="7" s="1"/>
  <c r="GC114" i="7" s="1"/>
  <c r="GD114" i="7" s="1"/>
  <c r="GE114" i="7" s="1"/>
  <c r="GF114" i="7" s="1"/>
  <c r="GG114" i="7" s="1"/>
  <c r="GH114" i="7" s="1"/>
  <c r="GI114" i="7" s="1"/>
  <c r="GJ114" i="7" s="1"/>
  <c r="GK114" i="7" s="1"/>
  <c r="GL114" i="7" s="1"/>
  <c r="GM114" i="7" s="1"/>
  <c r="GN114" i="7" s="1"/>
  <c r="GO114" i="7" s="1"/>
  <c r="GP114" i="7" s="1"/>
  <c r="GQ114" i="7" s="1"/>
  <c r="GR114" i="7" s="1"/>
  <c r="GS114" i="7" s="1"/>
  <c r="GT114" i="7" s="1"/>
  <c r="GU114" i="7" s="1"/>
  <c r="GV114" i="7" s="1"/>
  <c r="FI139" i="7" s="1"/>
  <c r="FI140" i="7" s="1"/>
  <c r="EC133" i="7"/>
  <c r="EB203" i="7"/>
  <c r="FI118" i="7" l="1"/>
  <c r="BD196" i="7"/>
  <c r="BD108" i="7"/>
  <c r="BD201" i="7"/>
  <c r="BD112" i="7" l="1"/>
  <c r="BD122" i="7" s="1"/>
  <c r="BD121" i="7"/>
  <c r="BD198" i="7"/>
  <c r="BD197" i="7"/>
  <c r="BD114" i="7" l="1"/>
  <c r="BD123" i="7" l="1"/>
  <c r="BD163" i="7"/>
  <c r="BD115" i="7"/>
  <c r="BD133" i="7" l="1"/>
  <c r="BH133" i="7"/>
  <c r="BP105" i="7" l="1"/>
  <c r="BP108" i="7" l="1"/>
  <c r="BP121" i="7" s="1"/>
  <c r="BP118" i="7"/>
  <c r="EF105" i="7"/>
  <c r="EF118" i="7" s="1"/>
  <c r="BP112" i="7" l="1"/>
  <c r="BP122" i="7" s="1"/>
  <c r="EF104" i="7"/>
  <c r="BP114" i="7" l="1"/>
  <c r="BP123" i="7" s="1"/>
  <c r="BP115" i="7" l="1"/>
  <c r="BP133" i="7" s="1"/>
  <c r="BT133" i="7" l="1"/>
  <c r="CW103" i="7"/>
  <c r="CW127" i="7" l="1"/>
  <c r="CW105" i="7"/>
  <c r="DA127" i="7"/>
  <c r="CW120" i="7"/>
  <c r="CW119" i="7"/>
  <c r="CW108" i="7" l="1"/>
  <c r="CW112" i="7" s="1"/>
  <c r="CW118" i="7"/>
  <c r="CW121" i="7" l="1"/>
  <c r="CW122" i="7"/>
  <c r="CW114" i="7"/>
  <c r="CW115" i="7" s="1"/>
  <c r="CW12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3"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O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B5" authorId="3" shapeId="0" xr:uid="{00000000-0006-0000-0400-00000C000000}">
      <text>
        <r>
          <rPr>
            <b/>
            <sz val="9"/>
            <color indexed="81"/>
            <rFont val="Tahoma"/>
            <family val="2"/>
          </rPr>
          <t>MSMB - Andre:</t>
        </r>
        <r>
          <rPr>
            <sz val="9"/>
            <color indexed="81"/>
            <rFont val="Tahoma"/>
            <family val="2"/>
          </rPr>
          <t xml:space="preserve">
2888 FY?</t>
        </r>
      </text>
    </comment>
    <comment ref="EO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B10" authorId="3" shapeId="0" xr:uid="{00000000-0006-0000-0400-00000F000000}">
      <text>
        <r>
          <rPr>
            <b/>
            <sz val="9"/>
            <color indexed="81"/>
            <rFont val="Tahoma"/>
            <family val="2"/>
          </rPr>
          <t>MSMB - Andre:</t>
        </r>
        <r>
          <rPr>
            <sz val="9"/>
            <color indexed="81"/>
            <rFont val="Tahoma"/>
            <family val="2"/>
          </rPr>
          <t xml:space="preserve">
3717 FY?</t>
        </r>
      </text>
    </comment>
    <comment ref="DM14"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N14"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O14"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19"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19"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19"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M19"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N19"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O19"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P19"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DX19" authorId="5" shapeId="0" xr:uid="{00000000-0006-0000-0400-000065000000}">
      <text>
        <r>
          <rPr>
            <sz val="8"/>
            <color indexed="81"/>
            <rFont val="Tahoma"/>
            <family val="2"/>
          </rPr>
          <t>Teva generic 11/05
zmax approval 6/2005</t>
        </r>
      </text>
    </comment>
    <comment ref="AS22" authorId="6" shapeId="0" xr:uid="{00000000-0006-0000-0400-000046000000}">
      <text>
        <r>
          <rPr>
            <b/>
            <sz val="8"/>
            <color indexed="81"/>
            <rFont val="Tahoma"/>
            <family val="2"/>
          </rPr>
          <t>Martin Shkreli:</t>
        </r>
        <r>
          <rPr>
            <sz val="8"/>
            <color indexed="81"/>
            <rFont val="Tahoma"/>
            <family val="2"/>
          </rPr>
          <t xml:space="preserve">
5% px increase on 7/14</t>
        </r>
      </text>
    </comment>
    <comment ref="AT22" authorId="7" shapeId="0" xr:uid="{00000000-0006-0000-0400-000047000000}">
      <text>
        <r>
          <rPr>
            <b/>
            <sz val="8"/>
            <color indexed="81"/>
            <rFont val="Tahoma"/>
            <family val="2"/>
          </rPr>
          <t>Bloomberg:</t>
        </r>
        <r>
          <rPr>
            <sz val="8"/>
            <color indexed="81"/>
            <rFont val="Tahoma"/>
            <family val="2"/>
          </rPr>
          <t xml:space="preserve">
5% 1/1/08 PX INC</t>
        </r>
      </text>
    </comment>
    <comment ref="BL23" authorId="0" shapeId="0" xr:uid="{00000000-0006-0000-0400-000044000000}">
      <text>
        <r>
          <rPr>
            <sz val="9"/>
            <color indexed="81"/>
            <rFont val="Tahoma"/>
            <family val="2"/>
          </rPr>
          <t xml:space="preserve">BeneFix 193
ReFacto 138
</t>
        </r>
      </text>
    </comment>
    <comment ref="EB23" authorId="1" shapeId="0" xr:uid="{00000000-0006-0000-0400-000045000000}">
      <text>
        <r>
          <rPr>
            <b/>
            <sz val="9"/>
            <color indexed="81"/>
            <rFont val="Tahoma"/>
            <family val="2"/>
          </rPr>
          <t>MSMB:</t>
        </r>
        <r>
          <rPr>
            <sz val="9"/>
            <color indexed="81"/>
            <rFont val="Tahoma"/>
            <family val="2"/>
          </rPr>
          <t xml:space="preserve">
980 non-gaap?</t>
        </r>
      </text>
    </comment>
    <comment ref="EB26" authorId="3" shapeId="0" xr:uid="{00000000-0006-0000-0400-00004B000000}">
      <text>
        <r>
          <rPr>
            <b/>
            <sz val="9"/>
            <color indexed="81"/>
            <rFont val="Tahoma"/>
            <family val="2"/>
          </rPr>
          <t>MSMB - Andre:</t>
        </r>
        <r>
          <rPr>
            <sz val="9"/>
            <color indexed="81"/>
            <rFont val="Tahoma"/>
            <family val="2"/>
          </rPr>
          <t xml:space="preserve">
1017 FY?</t>
        </r>
      </text>
    </comment>
    <comment ref="AV37" authorId="6" shapeId="0" xr:uid="{00000000-0006-0000-0400-00004C000000}">
      <text>
        <r>
          <rPr>
            <b/>
            <sz val="8"/>
            <color indexed="81"/>
            <rFont val="Tahoma"/>
            <family val="2"/>
          </rPr>
          <t>Martin Shkreli:</t>
        </r>
        <r>
          <rPr>
            <sz val="8"/>
            <color indexed="81"/>
            <rFont val="Tahoma"/>
            <family val="2"/>
          </rPr>
          <t xml:space="preserve">
6% px increase 5/08</t>
        </r>
      </text>
    </comment>
    <comment ref="BK37" authorId="0" shapeId="0" xr:uid="{00000000-0006-0000-0400-00004D000000}">
      <text>
        <r>
          <rPr>
            <b/>
            <sz val="9"/>
            <color indexed="81"/>
            <rFont val="Tahoma"/>
            <family val="2"/>
          </rPr>
          <t>Martin:</t>
        </r>
        <r>
          <rPr>
            <sz val="9"/>
            <color indexed="81"/>
            <rFont val="Tahoma"/>
            <family val="2"/>
          </rPr>
          <t xml:space="preserve">
US expiry</t>
        </r>
      </text>
    </comment>
    <comment ref="AU38" authorId="6" shapeId="0" xr:uid="{00000000-0006-0000-0400-000071000000}">
      <text>
        <r>
          <rPr>
            <b/>
            <sz val="8"/>
            <color indexed="81"/>
            <rFont val="Tahoma"/>
            <family val="2"/>
          </rPr>
          <t>Martin Shkreli:</t>
        </r>
        <r>
          <rPr>
            <sz val="8"/>
            <color indexed="81"/>
            <rFont val="Tahoma"/>
            <family val="2"/>
          </rPr>
          <t xml:space="preserve">
5% increase 1/1/08</t>
        </r>
      </text>
    </comment>
    <comment ref="AV38" authorId="6" shapeId="0" xr:uid="{00000000-0006-0000-0400-000072000000}">
      <text>
        <r>
          <rPr>
            <b/>
            <sz val="8"/>
            <color indexed="81"/>
            <rFont val="Tahoma"/>
            <family val="2"/>
          </rPr>
          <t>Martin Shkreli:</t>
        </r>
        <r>
          <rPr>
            <sz val="8"/>
            <color indexed="81"/>
            <rFont val="Tahoma"/>
            <family val="2"/>
          </rPr>
          <t xml:space="preserve">
+7% price increase 5/08</t>
        </r>
      </text>
    </comment>
    <comment ref="ED38" authorId="1" shapeId="0" xr:uid="{00000000-0006-0000-0400-000073000000}">
      <text>
        <r>
          <rPr>
            <b/>
            <sz val="9"/>
            <color indexed="81"/>
            <rFont val="Tahoma"/>
            <family val="2"/>
          </rPr>
          <t>MSMB:</t>
        </r>
        <r>
          <rPr>
            <sz val="9"/>
            <color indexed="81"/>
            <rFont val="Tahoma"/>
            <family val="2"/>
          </rPr>
          <t xml:space="preserve">
4/11 expiry</t>
        </r>
      </text>
    </comment>
    <comment ref="EA39" authorId="6" shapeId="0" xr:uid="{00000000-0006-0000-0400-00008A000000}">
      <text>
        <r>
          <rPr>
            <b/>
            <sz val="8"/>
            <color indexed="81"/>
            <rFont val="Tahoma"/>
            <family val="2"/>
          </rPr>
          <t>Martin Shkreli:</t>
        </r>
        <r>
          <rPr>
            <sz val="8"/>
            <color indexed="81"/>
            <rFont val="Tahoma"/>
            <family val="2"/>
          </rPr>
          <t xml:space="preserve">
Approved 10/31/08</t>
        </r>
      </text>
    </comment>
    <comment ref="CW40"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46" authorId="6" shapeId="0" xr:uid="{00000000-0006-0000-0400-000052000000}">
      <text>
        <r>
          <rPr>
            <b/>
            <sz val="8"/>
            <color indexed="81"/>
            <rFont val="Tahoma"/>
            <family val="2"/>
          </rPr>
          <t>Martin Shkreli:</t>
        </r>
        <r>
          <rPr>
            <sz val="8"/>
            <color indexed="81"/>
            <rFont val="Tahoma"/>
            <family val="2"/>
          </rPr>
          <t xml:space="preserve">
7/14/07 price increase</t>
        </r>
      </text>
    </comment>
    <comment ref="AT46" authorId="7" shapeId="0" xr:uid="{00000000-0006-0000-0400-000053000000}">
      <text>
        <r>
          <rPr>
            <b/>
            <sz val="8"/>
            <color indexed="81"/>
            <rFont val="Tahoma"/>
            <family val="2"/>
          </rPr>
          <t>Bloomberg:</t>
        </r>
        <r>
          <rPr>
            <sz val="8"/>
            <color indexed="81"/>
            <rFont val="Tahoma"/>
            <family val="2"/>
          </rPr>
          <t xml:space="preserve">
7% px inc 1/1/08</t>
        </r>
      </text>
    </comment>
    <comment ref="EC4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47" authorId="6" shapeId="0" xr:uid="{00000000-0006-0000-0400-000042000000}">
      <text>
        <r>
          <rPr>
            <b/>
            <sz val="8"/>
            <color indexed="81"/>
            <rFont val="Tahoma"/>
            <family val="2"/>
          </rPr>
          <t>Martin Shkreli:</t>
        </r>
        <r>
          <rPr>
            <sz val="8"/>
            <color indexed="81"/>
            <rFont val="Tahoma"/>
            <family val="2"/>
          </rPr>
          <t xml:space="preserve">
6% price increase 5/08</t>
        </r>
      </text>
    </comment>
    <comment ref="EF47" authorId="0" shapeId="0" xr:uid="{00000000-0006-0000-0400-000043000000}">
      <text>
        <r>
          <rPr>
            <b/>
            <sz val="9"/>
            <color indexed="81"/>
            <rFont val="Tahoma"/>
            <family val="2"/>
          </rPr>
          <t>Martin:</t>
        </r>
        <r>
          <rPr>
            <sz val="9"/>
            <color indexed="81"/>
            <rFont val="Tahoma"/>
            <family val="2"/>
          </rPr>
          <t xml:space="preserve">
1353 actual</t>
        </r>
      </text>
    </comment>
    <comment ref="BE4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48" authorId="0" shapeId="0" xr:uid="{00000000-0006-0000-0400-000049000000}">
      <text>
        <r>
          <rPr>
            <sz val="9"/>
            <color indexed="81"/>
            <rFont val="Tahoma"/>
            <family val="2"/>
          </rPr>
          <t>Pristiq 158
Effexor 106</t>
        </r>
      </text>
    </comment>
    <comment ref="EB48" authorId="3" shapeId="0" xr:uid="{00000000-0006-0000-0400-00004A000000}">
      <text>
        <r>
          <rPr>
            <b/>
            <sz val="9"/>
            <color indexed="81"/>
            <rFont val="Tahoma"/>
            <family val="2"/>
          </rPr>
          <t>MSMB - Andre:</t>
        </r>
        <r>
          <rPr>
            <sz val="9"/>
            <color indexed="81"/>
            <rFont val="Tahoma"/>
            <family val="2"/>
          </rPr>
          <t xml:space="preserve">
3,065 full year?</t>
        </r>
      </text>
    </comment>
    <comment ref="AA52" authorId="9" shapeId="0" xr:uid="{00000000-0006-0000-0400-000010000000}">
      <text>
        <r>
          <rPr>
            <b/>
            <sz val="8"/>
            <color indexed="81"/>
            <rFont val="Tahoma"/>
            <family val="2"/>
          </rPr>
          <t>Marek Biestek:</t>
        </r>
        <r>
          <rPr>
            <sz val="8"/>
            <color indexed="81"/>
            <rFont val="Tahoma"/>
            <family val="2"/>
          </rPr>
          <t xml:space="preserve">
REPORTED 28M</t>
        </r>
      </text>
    </comment>
    <comment ref="AI52" authorId="0" shapeId="0" xr:uid="{00000000-0006-0000-0400-000011000000}">
      <text>
        <r>
          <rPr>
            <b/>
            <sz val="9"/>
            <color indexed="81"/>
            <rFont val="Tahoma"/>
            <family val="2"/>
          </rPr>
          <t>Martin:</t>
        </r>
        <r>
          <rPr>
            <sz val="9"/>
            <color indexed="81"/>
            <rFont val="Tahoma"/>
            <family val="2"/>
          </rPr>
          <t xml:space="preserve">
Bextra 56</t>
        </r>
      </text>
    </comment>
    <comment ref="AS5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52" authorId="7" shapeId="0" xr:uid="{00000000-0006-0000-0400-000013000000}">
      <text>
        <r>
          <rPr>
            <b/>
            <sz val="8"/>
            <color indexed="81"/>
            <rFont val="Tahoma"/>
            <family val="2"/>
          </rPr>
          <t>Bloomberg:</t>
        </r>
        <r>
          <rPr>
            <sz val="8"/>
            <color indexed="81"/>
            <rFont val="Tahoma"/>
            <family val="2"/>
          </rPr>
          <t xml:space="preserve">
7% price increase 1/1/08</t>
        </r>
      </text>
    </comment>
    <comment ref="BD52" authorId="1" shapeId="0" xr:uid="{00000000-0006-0000-0400-000014000000}">
      <text>
        <r>
          <rPr>
            <b/>
            <sz val="9"/>
            <color indexed="81"/>
            <rFont val="Tahoma"/>
            <family val="2"/>
          </rPr>
          <t>MSMB:</t>
        </r>
        <r>
          <rPr>
            <sz val="9"/>
            <color indexed="81"/>
            <rFont val="Tahoma"/>
            <family val="2"/>
          </rPr>
          <t xml:space="preserve">
551 consensus</t>
        </r>
      </text>
    </comment>
    <comment ref="DV52" authorId="6" shapeId="0" xr:uid="{00000000-0006-0000-0400-000015000000}">
      <text>
        <r>
          <rPr>
            <b/>
            <sz val="8"/>
            <color indexed="81"/>
            <rFont val="Tahoma"/>
            <family val="2"/>
          </rPr>
          <t>Martin Shkreli:</t>
        </r>
        <r>
          <rPr>
            <sz val="8"/>
            <color indexed="81"/>
            <rFont val="Tahoma"/>
            <family val="2"/>
          </rPr>
          <t xml:space="preserve">
1883 from PHA</t>
        </r>
      </text>
    </comment>
    <comment ref="DY5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G5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53" authorId="0" shapeId="0" xr:uid="{00000000-0006-0000-0400-00004E000000}">
      <text>
        <r>
          <rPr>
            <b/>
            <sz val="9"/>
            <color indexed="81"/>
            <rFont val="Tahoma"/>
            <family val="2"/>
          </rPr>
          <t>Martin:</t>
        </r>
        <r>
          <rPr>
            <sz val="9"/>
            <color indexed="81"/>
            <rFont val="Tahoma"/>
            <family val="2"/>
          </rPr>
          <t xml:space="preserve">
US expiry</t>
        </r>
      </text>
    </comment>
    <comment ref="DU53" authorId="6" shapeId="0" xr:uid="{00000000-0006-0000-0400-00004F000000}">
      <text>
        <r>
          <rPr>
            <b/>
            <sz val="8"/>
            <color indexed="81"/>
            <rFont val="Tahoma"/>
            <family val="2"/>
          </rPr>
          <t>Martin Shkreli:</t>
        </r>
        <r>
          <rPr>
            <sz val="8"/>
            <color indexed="81"/>
            <rFont val="Tahoma"/>
            <family val="2"/>
          </rPr>
          <t xml:space="preserve">
PHA drug.
PFE 0</t>
        </r>
      </text>
    </comment>
    <comment ref="DV53" authorId="6" shapeId="0" xr:uid="{00000000-0006-0000-0400-000050000000}">
      <text>
        <r>
          <rPr>
            <b/>
            <sz val="8"/>
            <color indexed="81"/>
            <rFont val="Tahoma"/>
            <family val="2"/>
          </rPr>
          <t>Martin Shkreli:</t>
        </r>
        <r>
          <rPr>
            <sz val="8"/>
            <color indexed="81"/>
            <rFont val="Tahoma"/>
            <family val="2"/>
          </rPr>
          <t xml:space="preserve">
668 PHA?</t>
        </r>
      </text>
    </comment>
    <comment ref="ED53" authorId="5" shapeId="0" xr:uid="{00000000-0006-0000-0400-000051000000}">
      <text>
        <r>
          <rPr>
            <b/>
            <sz val="8"/>
            <color indexed="81"/>
            <rFont val="Tahoma"/>
            <family val="2"/>
          </rPr>
          <t>mshkreli:</t>
        </r>
        <r>
          <rPr>
            <sz val="8"/>
            <color indexed="81"/>
            <rFont val="Tahoma"/>
            <family val="2"/>
          </rPr>
          <t xml:space="preserve">
March 2011</t>
        </r>
      </text>
    </comment>
    <comment ref="D5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5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5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M5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N5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O5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P5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DY5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B56" authorId="3" shapeId="0" xr:uid="{00000000-0006-0000-0400-00005D000000}">
      <text>
        <r>
          <rPr>
            <b/>
            <sz val="9"/>
            <color indexed="81"/>
            <rFont val="Tahoma"/>
            <family val="2"/>
          </rPr>
          <t>MSMB - Andre:</t>
        </r>
        <r>
          <rPr>
            <sz val="9"/>
            <color indexed="81"/>
            <rFont val="Tahoma"/>
            <family val="2"/>
          </rPr>
          <t xml:space="preserve">
1214 FY?</t>
        </r>
      </text>
    </comment>
    <comment ref="C58" authorId="0" shapeId="0" xr:uid="{00000000-0006-0000-0400-000018000000}">
      <text>
        <r>
          <rPr>
            <sz val="9"/>
            <color indexed="81"/>
            <rFont val="Tahoma"/>
            <family val="2"/>
          </rPr>
          <t>Source document: WLA quarterly press release</t>
        </r>
      </text>
    </comment>
    <comment ref="D5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5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5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5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5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5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58" authorId="7" shapeId="0" xr:uid="{00000000-0006-0000-0400-00001F000000}">
      <text>
        <r>
          <rPr>
            <b/>
            <sz val="8"/>
            <color indexed="81"/>
            <rFont val="Tahoma"/>
            <family val="2"/>
          </rPr>
          <t>Bloomberg:</t>
        </r>
        <r>
          <rPr>
            <sz val="8"/>
            <color indexed="81"/>
            <rFont val="Tahoma"/>
            <family val="2"/>
          </rPr>
          <t xml:space="preserve">
US -4%, Intl +13%</t>
        </r>
      </text>
    </comment>
    <comment ref="BB58" authorId="1" shapeId="0" xr:uid="{00000000-0006-0000-0400-000020000000}">
      <text>
        <r>
          <rPr>
            <b/>
            <sz val="9"/>
            <color indexed="81"/>
            <rFont val="Tahoma"/>
            <family val="2"/>
          </rPr>
          <t>MSMB:</t>
        </r>
        <r>
          <rPr>
            <sz val="9"/>
            <color indexed="81"/>
            <rFont val="Tahoma"/>
            <family val="2"/>
          </rPr>
          <t xml:space="preserve">
237m in EM, up 7% operationally</t>
        </r>
      </text>
    </comment>
    <comment ref="BD5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5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58" authorId="0" shapeId="0" xr:uid="{00000000-0006-0000-0400-000023000000}">
      <text>
        <r>
          <rPr>
            <b/>
            <sz val="9"/>
            <color indexed="81"/>
            <rFont val="Tahoma"/>
            <family val="2"/>
          </rPr>
          <t>Martin:</t>
        </r>
        <r>
          <rPr>
            <sz val="9"/>
            <color indexed="81"/>
            <rFont val="Tahoma"/>
            <family val="2"/>
          </rPr>
          <t xml:space="preserve">
LOE</t>
        </r>
      </text>
    </comment>
    <comment ref="DX58" authorId="6" shapeId="0" xr:uid="{00000000-0006-0000-0400-000024000000}">
      <text>
        <r>
          <rPr>
            <b/>
            <sz val="8"/>
            <color indexed="81"/>
            <rFont val="Tahoma"/>
            <family val="2"/>
          </rPr>
          <t>Martin Shkreli:</t>
        </r>
        <r>
          <rPr>
            <sz val="8"/>
            <color indexed="81"/>
            <rFont val="Tahoma"/>
            <family val="2"/>
          </rPr>
          <t xml:space="preserve">
Zocor generic ex-US?</t>
        </r>
      </text>
    </comment>
    <comment ref="DY58" authorId="6" shapeId="0" xr:uid="{00000000-0006-0000-0400-000025000000}">
      <text>
        <r>
          <rPr>
            <sz val="8"/>
            <color indexed="81"/>
            <rFont val="Tahoma"/>
            <family val="2"/>
          </rPr>
          <t>Zocor generic US 6/2006
13B guidance now noted to be ambitious</t>
        </r>
      </text>
    </comment>
    <comment ref="DZ5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D5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E5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K5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5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5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5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59" authorId="7" shapeId="0" xr:uid="{00000000-0006-0000-0400-00002D000000}">
      <text>
        <r>
          <rPr>
            <b/>
            <sz val="8"/>
            <color indexed="81"/>
            <rFont val="Tahoma"/>
            <family val="2"/>
          </rPr>
          <t>Bloomberg:</t>
        </r>
        <r>
          <rPr>
            <sz val="8"/>
            <color indexed="81"/>
            <rFont val="Tahoma"/>
            <family val="2"/>
          </rPr>
          <t xml:space="preserve">
9% price increase 1/1/08</t>
        </r>
      </text>
    </comment>
    <comment ref="AV59" authorId="6" shapeId="0" xr:uid="{00000000-0006-0000-0400-00002E000000}">
      <text>
        <r>
          <rPr>
            <b/>
            <sz val="8"/>
            <color indexed="81"/>
            <rFont val="Tahoma"/>
            <family val="2"/>
          </rPr>
          <t>Martin Shkreli:</t>
        </r>
        <r>
          <rPr>
            <sz val="8"/>
            <color indexed="81"/>
            <rFont val="Tahoma"/>
            <family val="2"/>
          </rPr>
          <t xml:space="preserve">
9% 5/2008 increase</t>
        </r>
      </text>
    </comment>
    <comment ref="BD59" authorId="0" shapeId="0" xr:uid="{00000000-0006-0000-0400-00002F000000}">
      <text>
        <r>
          <rPr>
            <b/>
            <sz val="9"/>
            <color indexed="81"/>
            <rFont val="Tahoma"/>
            <family val="2"/>
          </rPr>
          <t>Martin:</t>
        </r>
        <r>
          <rPr>
            <sz val="9"/>
            <color indexed="81"/>
            <rFont val="Tahoma"/>
            <family val="2"/>
          </rPr>
          <t xml:space="preserve">
June: LOE in Brazil</t>
        </r>
      </text>
    </comment>
    <comment ref="EF59" authorId="0" shapeId="0" xr:uid="{00000000-0006-0000-0400-000030000000}">
      <text>
        <r>
          <rPr>
            <b/>
            <sz val="9"/>
            <color indexed="81"/>
            <rFont val="Tahoma"/>
            <family val="2"/>
          </rPr>
          <t>Martin:</t>
        </r>
        <r>
          <rPr>
            <sz val="9"/>
            <color indexed="81"/>
            <rFont val="Tahoma"/>
            <family val="2"/>
          </rPr>
          <t xml:space="preserve">
1881 actual</t>
        </r>
      </text>
    </comment>
    <comment ref="EL59" authorId="0" shapeId="0" xr:uid="{00000000-0006-0000-0400-000031000000}">
      <text>
        <r>
          <rPr>
            <b/>
            <sz val="9"/>
            <color indexed="81"/>
            <rFont val="Tahoma"/>
            <family val="2"/>
          </rPr>
          <t>Martin:</t>
        </r>
        <r>
          <rPr>
            <sz val="9"/>
            <color indexed="81"/>
            <rFont val="Tahoma"/>
            <family val="2"/>
          </rPr>
          <t xml:space="preserve">
Expiry after case won 8/15/11</t>
        </r>
      </text>
    </comment>
    <comment ref="C6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6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6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60" authorId="0" shapeId="0" xr:uid="{00000000-0006-0000-0400-000035000000}">
      <text>
        <r>
          <rPr>
            <b/>
            <sz val="9"/>
            <color indexed="81"/>
            <rFont val="Tahoma"/>
            <family val="2"/>
          </rPr>
          <t>Martin:</t>
        </r>
        <r>
          <rPr>
            <sz val="9"/>
            <color indexed="81"/>
            <rFont val="Tahoma"/>
            <family val="2"/>
          </rPr>
          <t xml:space="preserve">
10-Q has 567</t>
        </r>
      </text>
    </comment>
    <comment ref="H6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60" authorId="6" shapeId="0" xr:uid="{00000000-0006-0000-0400-000037000000}">
      <text>
        <r>
          <rPr>
            <b/>
            <sz val="8"/>
            <color indexed="81"/>
            <rFont val="Tahoma"/>
            <family val="2"/>
          </rPr>
          <t>Martin Shkreli:</t>
        </r>
        <r>
          <rPr>
            <sz val="8"/>
            <color indexed="81"/>
            <rFont val="Tahoma"/>
            <family val="2"/>
          </rPr>
          <t xml:space="preserve">
only one generic?</t>
        </r>
      </text>
    </comment>
    <comment ref="AU60" authorId="7" shapeId="0" xr:uid="{00000000-0006-0000-0400-000038000000}">
      <text>
        <r>
          <rPr>
            <b/>
            <sz val="8"/>
            <color indexed="81"/>
            <rFont val="Tahoma"/>
            <family val="2"/>
          </rPr>
          <t>Bloomberg:</t>
        </r>
        <r>
          <rPr>
            <sz val="8"/>
            <color indexed="81"/>
            <rFont val="Tahoma"/>
            <family val="2"/>
          </rPr>
          <t xml:space="preserve">
italy loses exclusivity</t>
        </r>
      </text>
    </comment>
    <comment ref="AW60" authorId="7" shapeId="0" xr:uid="{00000000-0006-0000-0400-000039000000}">
      <text>
        <r>
          <rPr>
            <b/>
            <sz val="8"/>
            <color indexed="81"/>
            <rFont val="Tahoma"/>
            <family val="2"/>
          </rPr>
          <t>Bloomberg:</t>
        </r>
        <r>
          <rPr>
            <sz val="8"/>
            <color indexed="81"/>
            <rFont val="Tahoma"/>
            <family val="2"/>
          </rPr>
          <t xml:space="preserve">
Japan loses exclusivity</t>
        </r>
      </text>
    </comment>
    <comment ref="DJ6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K6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L6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M6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N6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O6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P6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DY6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DX62" authorId="5" shapeId="0" xr:uid="{00000000-0006-0000-0400-000066000000}">
      <text>
        <r>
          <rPr>
            <b/>
            <sz val="8"/>
            <color indexed="81"/>
            <rFont val="Tahoma"/>
            <family val="2"/>
          </rPr>
          <t>mshkreli:</t>
        </r>
        <r>
          <rPr>
            <sz val="8"/>
            <color indexed="81"/>
            <rFont val="Tahoma"/>
            <family val="2"/>
          </rPr>
          <t xml:space="preserve">
launched 8/05</t>
        </r>
      </text>
    </comment>
    <comment ref="C6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6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6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6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6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M6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N6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O6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P6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DX63" authorId="5" shapeId="0" xr:uid="{00000000-0006-0000-0400-000070000000}">
      <text>
        <r>
          <rPr>
            <b/>
            <sz val="8"/>
            <color indexed="81"/>
            <rFont val="Tahoma"/>
            <family val="2"/>
          </rPr>
          <t>mshkreli:</t>
        </r>
        <r>
          <rPr>
            <sz val="8"/>
            <color indexed="81"/>
            <rFont val="Tahoma"/>
            <family val="2"/>
          </rPr>
          <t xml:space="preserve">
foreign patents???</t>
        </r>
      </text>
    </comment>
    <comment ref="BF65" authorId="0" shapeId="0" xr:uid="{00000000-0006-0000-0400-000074000000}">
      <text>
        <r>
          <rPr>
            <b/>
            <sz val="9"/>
            <color indexed="81"/>
            <rFont val="Tahoma"/>
            <family val="2"/>
          </rPr>
          <t>Martin:</t>
        </r>
        <r>
          <rPr>
            <sz val="9"/>
            <color indexed="81"/>
            <rFont val="Tahoma"/>
            <family val="2"/>
          </rPr>
          <t xml:space="preserve">
November 2010 US expiry</t>
        </r>
      </text>
    </comment>
    <comment ref="AS66" authorId="6" shapeId="0" xr:uid="{00000000-0006-0000-0400-000075000000}">
      <text>
        <r>
          <rPr>
            <b/>
            <sz val="8"/>
            <color indexed="81"/>
            <rFont val="Tahoma"/>
            <family val="2"/>
          </rPr>
          <t>Martin Shkreli:</t>
        </r>
        <r>
          <rPr>
            <sz val="8"/>
            <color indexed="81"/>
            <rFont val="Tahoma"/>
            <family val="2"/>
          </rPr>
          <t xml:space="preserve">
5-10% px increase 7/14</t>
        </r>
      </text>
    </comment>
    <comment ref="AT66" authorId="7" shapeId="0" xr:uid="{00000000-0006-0000-0400-000076000000}">
      <text>
        <r>
          <rPr>
            <b/>
            <sz val="8"/>
            <color indexed="81"/>
            <rFont val="Tahoma"/>
            <family val="2"/>
          </rPr>
          <t>Bloomberg:</t>
        </r>
        <r>
          <rPr>
            <sz val="8"/>
            <color indexed="81"/>
            <rFont val="Tahoma"/>
            <family val="2"/>
          </rPr>
          <t xml:space="preserve">
9% price increase 1/1/08</t>
        </r>
      </text>
    </comment>
    <comment ref="BK66" authorId="0" shapeId="0" xr:uid="{00000000-0006-0000-0400-000077000000}">
      <text>
        <r>
          <rPr>
            <b/>
            <sz val="9"/>
            <color indexed="81"/>
            <rFont val="Tahoma"/>
            <family val="2"/>
          </rPr>
          <t>Martin:</t>
        </r>
        <r>
          <rPr>
            <sz val="9"/>
            <color indexed="81"/>
            <rFont val="Tahoma"/>
            <family val="2"/>
          </rPr>
          <t xml:space="preserve">
US expiry</t>
        </r>
      </text>
    </comment>
    <comment ref="C7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7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7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7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M7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N7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O7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P7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71" authorId="7" shapeId="0" xr:uid="{00000000-0006-0000-0400-000004000000}">
      <text>
        <r>
          <rPr>
            <b/>
            <sz val="8"/>
            <color indexed="81"/>
            <rFont val="Tahoma"/>
            <family val="2"/>
          </rPr>
          <t>Bloomberg:</t>
        </r>
        <r>
          <rPr>
            <sz val="8"/>
            <color indexed="81"/>
            <rFont val="Tahoma"/>
            <family val="2"/>
          </rPr>
          <t xml:space="preserve">
7% price increase on 1/1/08</t>
        </r>
      </text>
    </comment>
    <comment ref="AV71" authorId="6" shapeId="0" xr:uid="{00000000-0006-0000-0400-000005000000}">
      <text>
        <r>
          <rPr>
            <b/>
            <sz val="8"/>
            <color indexed="81"/>
            <rFont val="Tahoma"/>
            <family val="2"/>
          </rPr>
          <t>Martin Shkreli:</t>
        </r>
        <r>
          <rPr>
            <sz val="8"/>
            <color indexed="81"/>
            <rFont val="Tahoma"/>
            <family val="2"/>
          </rPr>
          <t xml:space="preserve">
5% px in on 5/2/08</t>
        </r>
      </text>
    </comment>
    <comment ref="BC71" authorId="1" shapeId="0" xr:uid="{00000000-0006-0000-0400-000006000000}">
      <text>
        <r>
          <rPr>
            <b/>
            <sz val="9"/>
            <color indexed="81"/>
            <rFont val="Tahoma"/>
            <family val="2"/>
          </rPr>
          <t>MSMB:</t>
        </r>
        <r>
          <rPr>
            <sz val="9"/>
            <color indexed="81"/>
            <rFont val="Tahoma"/>
            <family val="2"/>
          </rPr>
          <t xml:space="preserve">
US down 16%?!</t>
        </r>
      </text>
    </comment>
    <comment ref="BD71" authorId="1" shapeId="0" xr:uid="{00000000-0006-0000-0400-000007000000}">
      <text>
        <r>
          <rPr>
            <b/>
            <sz val="9"/>
            <color indexed="81"/>
            <rFont val="Tahoma"/>
            <family val="2"/>
          </rPr>
          <t>MSMB:</t>
        </r>
        <r>
          <rPr>
            <sz val="9"/>
            <color indexed="81"/>
            <rFont val="Tahoma"/>
            <family val="2"/>
          </rPr>
          <t xml:space="preserve">
706 consensus</t>
        </r>
      </text>
    </comment>
    <comment ref="DY71" authorId="6" shapeId="0" xr:uid="{00000000-0006-0000-0400-000008000000}">
      <text>
        <r>
          <rPr>
            <sz val="8"/>
            <color indexed="81"/>
            <rFont val="Tahoma"/>
            <family val="2"/>
          </rPr>
          <t>&gt;1B guidace, was over 900m</t>
        </r>
      </text>
    </comment>
    <comment ref="DU72" authorId="6" shapeId="0" xr:uid="{00000000-0006-0000-0400-000081000000}">
      <text>
        <r>
          <rPr>
            <b/>
            <sz val="8"/>
            <color indexed="81"/>
            <rFont val="Tahoma"/>
            <family val="2"/>
          </rPr>
          <t>Martin Shkreli:</t>
        </r>
        <r>
          <rPr>
            <sz val="8"/>
            <color indexed="81"/>
            <rFont val="Tahoma"/>
            <family val="2"/>
          </rPr>
          <t xml:space="preserve">
PHA drug. PFE 0.</t>
        </r>
      </text>
    </comment>
    <comment ref="DV72" authorId="6" shapeId="0" xr:uid="{00000000-0006-0000-0400-000082000000}">
      <text>
        <r>
          <rPr>
            <b/>
            <sz val="8"/>
            <color indexed="81"/>
            <rFont val="Tahoma"/>
            <family val="2"/>
          </rPr>
          <t>Martin Shkreli:</t>
        </r>
        <r>
          <rPr>
            <sz val="8"/>
            <color indexed="81"/>
            <rFont val="Tahoma"/>
            <family val="2"/>
          </rPr>
          <t xml:space="preserve">
319 with PHA</t>
        </r>
      </text>
    </comment>
    <comment ref="DY7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M7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N7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O7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DW81" authorId="5" shapeId="0" xr:uid="{00000000-0006-0000-0400-00008B000000}">
      <text>
        <r>
          <rPr>
            <sz val="8"/>
            <color indexed="81"/>
            <rFont val="Tahoma"/>
            <family val="2"/>
          </rPr>
          <t>12/04 TEVA/RBXY agree to launch.
2/05 PFE granted injunction.
PRX/MYL have launched generics however</t>
        </r>
      </text>
    </comment>
    <comment ref="D8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8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8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M8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N8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O8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P8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8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84" authorId="7" shapeId="0" xr:uid="{00000000-0006-0000-0400-000094000000}">
      <text>
        <r>
          <rPr>
            <b/>
            <sz val="8"/>
            <color indexed="81"/>
            <rFont val="Tahoma"/>
            <family val="2"/>
          </rPr>
          <t>Bloomberg:</t>
        </r>
        <r>
          <rPr>
            <sz val="8"/>
            <color indexed="81"/>
            <rFont val="Tahoma"/>
            <family val="2"/>
          </rPr>
          <t xml:space="preserve">
Feb 08 expiry</t>
        </r>
      </text>
    </comment>
    <comment ref="DV84" authorId="6" shapeId="0" xr:uid="{00000000-0006-0000-0400-000095000000}">
      <text>
        <r>
          <rPr>
            <b/>
            <sz val="8"/>
            <color indexed="81"/>
            <rFont val="Tahoma"/>
            <family val="2"/>
          </rPr>
          <t>Martin Shkreli:</t>
        </r>
        <r>
          <rPr>
            <sz val="8"/>
            <color indexed="81"/>
            <rFont val="Tahoma"/>
            <family val="2"/>
          </rPr>
          <t xml:space="preserve">
416 with PHA</t>
        </r>
      </text>
    </comment>
    <comment ref="DZ84" authorId="5" shapeId="0" xr:uid="{00000000-0006-0000-0400-000096000000}">
      <text>
        <r>
          <rPr>
            <b/>
            <sz val="8"/>
            <color indexed="81"/>
            <rFont val="Tahoma"/>
            <family val="2"/>
          </rPr>
          <t>mshkreli:</t>
        </r>
        <r>
          <rPr>
            <sz val="8"/>
            <color indexed="81"/>
            <rFont val="Tahoma"/>
            <family val="2"/>
          </rPr>
          <t xml:space="preserve">
August 2007 expiry</t>
        </r>
      </text>
    </comment>
    <comment ref="G8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M8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N8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O8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P8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93" authorId="6" shapeId="0" xr:uid="{00000000-0006-0000-0400-00009C000000}">
      <text>
        <r>
          <rPr>
            <b/>
            <sz val="8"/>
            <color indexed="81"/>
            <rFont val="Tahoma"/>
            <family val="2"/>
          </rPr>
          <t>Martin Shkreli:</t>
        </r>
        <r>
          <rPr>
            <sz val="8"/>
            <color indexed="81"/>
            <rFont val="Tahoma"/>
            <family val="2"/>
          </rPr>
          <t xml:space="preserve">
Unasyn, Sulperazon</t>
        </r>
      </text>
    </comment>
    <comment ref="AU9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9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9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9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9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9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94"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94"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DW94" authorId="6" shapeId="0" xr:uid="{00000000-0006-0000-0400-0000A7000000}">
      <text>
        <r>
          <rPr>
            <b/>
            <sz val="8"/>
            <color indexed="81"/>
            <rFont val="Tahoma"/>
            <family val="2"/>
          </rPr>
          <t>Martin Shkreli:</t>
        </r>
        <r>
          <rPr>
            <sz val="8"/>
            <color indexed="81"/>
            <rFont val="Tahoma"/>
            <family val="2"/>
          </rPr>
          <t xml:space="preserve">
189m endocrine</t>
        </r>
      </text>
    </comment>
    <comment ref="DX9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DY9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96" authorId="12" shapeId="0" xr:uid="{00000000-0006-0000-0400-00009D000000}">
      <text>
        <r>
          <rPr>
            <sz val="8"/>
            <color indexed="81"/>
            <rFont val="Tahoma"/>
            <family val="2"/>
          </rPr>
          <t>Dynastat</t>
        </r>
      </text>
    </comment>
    <comment ref="DW96" authorId="6" shapeId="0" xr:uid="{00000000-0006-0000-0400-00009E000000}">
      <text>
        <r>
          <rPr>
            <b/>
            <sz val="8"/>
            <color indexed="81"/>
            <rFont val="Tahoma"/>
            <family val="2"/>
          </rPr>
          <t>Martin Shkreli:</t>
        </r>
        <r>
          <rPr>
            <sz val="8"/>
            <color indexed="81"/>
            <rFont val="Tahoma"/>
            <family val="2"/>
          </rPr>
          <t xml:space="preserve">
MWD: 615</t>
        </r>
      </text>
    </comment>
    <comment ref="B9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DU98" authorId="6" shapeId="0" xr:uid="{00000000-0006-0000-0400-0000A0000000}">
      <text>
        <r>
          <rPr>
            <b/>
            <sz val="8"/>
            <color indexed="81"/>
            <rFont val="Tahoma"/>
            <family val="2"/>
          </rPr>
          <t>Martin Shkreli:</t>
        </r>
        <r>
          <rPr>
            <sz val="8"/>
            <color indexed="81"/>
            <rFont val="Tahoma"/>
            <family val="2"/>
          </rPr>
          <t xml:space="preserve">
MS</t>
        </r>
      </text>
    </comment>
    <comment ref="EB99" authorId="3" shapeId="0" xr:uid="{00000000-0006-0000-0400-0000AA000000}">
      <text>
        <r>
          <rPr>
            <b/>
            <sz val="9"/>
            <color indexed="81"/>
            <rFont val="Tahoma"/>
            <family val="2"/>
          </rPr>
          <t>MSMB - Andre:</t>
        </r>
        <r>
          <rPr>
            <sz val="9"/>
            <color indexed="81"/>
            <rFont val="Tahoma"/>
            <family val="2"/>
          </rPr>
          <t xml:space="preserve">
3800 FY?</t>
        </r>
      </text>
    </comment>
    <comment ref="BK100" authorId="0" shapeId="0" xr:uid="{00000000-0006-0000-0400-0000AB000000}">
      <text>
        <r>
          <rPr>
            <b/>
            <sz val="9"/>
            <color indexed="81"/>
            <rFont val="Tahoma"/>
            <family val="2"/>
          </rPr>
          <t>Martin:</t>
        </r>
        <r>
          <rPr>
            <sz val="9"/>
            <color indexed="81"/>
            <rFont val="Tahoma"/>
            <family val="2"/>
          </rPr>
          <t xml:space="preserve">
Divested to Nestle for 12bn</t>
        </r>
      </text>
    </comment>
    <comment ref="EB100" authorId="3" shapeId="0" xr:uid="{00000000-0006-0000-0400-0000AC000000}">
      <text>
        <r>
          <rPr>
            <b/>
            <sz val="9"/>
            <color indexed="81"/>
            <rFont val="Tahoma"/>
            <family val="2"/>
          </rPr>
          <t>MSMB - Andre:</t>
        </r>
        <r>
          <rPr>
            <sz val="9"/>
            <color indexed="81"/>
            <rFont val="Tahoma"/>
            <family val="2"/>
          </rPr>
          <t xml:space="preserve">
1723 FY?</t>
        </r>
      </text>
    </comment>
    <comment ref="EE100" authorId="0" shapeId="0" xr:uid="{00000000-0006-0000-0400-0000AD000000}">
      <text>
        <r>
          <rPr>
            <b/>
            <sz val="9"/>
            <color indexed="81"/>
            <rFont val="Tahoma"/>
            <family val="2"/>
          </rPr>
          <t>Martin:</t>
        </r>
        <r>
          <rPr>
            <sz val="9"/>
            <color indexed="81"/>
            <rFont val="Tahoma"/>
            <family val="2"/>
          </rPr>
          <t xml:space="preserve">
Divested to Nestle for 12bn</t>
        </r>
      </text>
    </comment>
    <comment ref="AW10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03" authorId="1" shapeId="0" xr:uid="{00000000-0006-0000-0400-0000AF000000}">
      <text>
        <r>
          <rPr>
            <b/>
            <sz val="9"/>
            <color indexed="81"/>
            <rFont val="Tahoma"/>
            <family val="2"/>
          </rPr>
          <t>MSMB:</t>
        </r>
        <r>
          <rPr>
            <sz val="9"/>
            <color indexed="81"/>
            <rFont val="Tahoma"/>
            <family val="2"/>
          </rPr>
          <t xml:space="preserve">
5369 WYE</t>
        </r>
      </text>
    </comment>
    <comment ref="AR103" authorId="1" shapeId="0" xr:uid="{00000000-0006-0000-0400-0000B0000000}">
      <text>
        <r>
          <rPr>
            <b/>
            <sz val="9"/>
            <color indexed="81"/>
            <rFont val="Tahoma"/>
            <family val="2"/>
          </rPr>
          <t>MSMB:</t>
        </r>
        <r>
          <rPr>
            <sz val="9"/>
            <color indexed="81"/>
            <rFont val="Tahoma"/>
            <family val="2"/>
          </rPr>
          <t xml:space="preserve">
5648 WYE</t>
        </r>
      </text>
    </comment>
    <comment ref="AS103" authorId="6" shapeId="0" xr:uid="{00000000-0006-0000-0400-0000B1000000}">
      <text>
        <r>
          <rPr>
            <b/>
            <sz val="8"/>
            <color indexed="81"/>
            <rFont val="Tahoma"/>
            <family val="2"/>
          </rPr>
          <t>Martin Shkreli:</t>
        </r>
        <r>
          <rPr>
            <sz val="8"/>
            <color indexed="81"/>
            <rFont val="Tahoma"/>
            <family val="2"/>
          </rPr>
          <t xml:space="preserve">
12012 bear
5620 WYE</t>
        </r>
      </text>
    </comment>
    <comment ref="AT10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03" authorId="7" shapeId="0" xr:uid="{00000000-0006-0000-0400-0000B3000000}">
      <text>
        <r>
          <rPr>
            <b/>
            <sz val="8"/>
            <color indexed="81"/>
            <rFont val="Tahoma"/>
            <family val="2"/>
          </rPr>
          <t>Bloomberg:</t>
        </r>
        <r>
          <rPr>
            <sz val="8"/>
            <color indexed="81"/>
            <rFont val="Tahoma"/>
            <family val="2"/>
          </rPr>
          <t xml:space="preserve">
may decline y/y
5710 WYE</t>
        </r>
      </text>
    </comment>
    <comment ref="AV103" authorId="1" shapeId="0" xr:uid="{00000000-0006-0000-0400-0000B4000000}">
      <text>
        <r>
          <rPr>
            <b/>
            <sz val="9"/>
            <color indexed="81"/>
            <rFont val="Tahoma"/>
            <family val="2"/>
          </rPr>
          <t>MSMB:</t>
        </r>
        <r>
          <rPr>
            <sz val="9"/>
            <color indexed="81"/>
            <rFont val="Tahoma"/>
            <family val="2"/>
          </rPr>
          <t xml:space="preserve">
5945 WYE period</t>
        </r>
      </text>
    </comment>
    <comment ref="AW10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03" authorId="1" shapeId="0" xr:uid="{00000000-0006-0000-0400-0000B6000000}">
      <text>
        <r>
          <rPr>
            <b/>
            <sz val="9"/>
            <color indexed="81"/>
            <rFont val="Tahoma"/>
            <family val="2"/>
          </rPr>
          <t>MSMB:</t>
        </r>
        <r>
          <rPr>
            <sz val="9"/>
            <color indexed="81"/>
            <rFont val="Tahoma"/>
            <family val="2"/>
          </rPr>
          <t xml:space="preserve">
5349 WYE</t>
        </r>
      </text>
    </comment>
    <comment ref="AY103" authorId="1" shapeId="0" xr:uid="{00000000-0006-0000-0400-0000B7000000}">
      <text>
        <r>
          <rPr>
            <b/>
            <sz val="9"/>
            <color indexed="81"/>
            <rFont val="Tahoma"/>
            <family val="2"/>
          </rPr>
          <t>MSMB:</t>
        </r>
        <r>
          <rPr>
            <sz val="9"/>
            <color indexed="81"/>
            <rFont val="Tahoma"/>
            <family val="2"/>
          </rPr>
          <t xml:space="preserve">
5377 WYE</t>
        </r>
      </text>
    </comment>
    <comment ref="AZ10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0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03" authorId="0" shapeId="0" xr:uid="{00000000-0006-0000-0400-0000BA000000}">
      <text>
        <r>
          <rPr>
            <b/>
            <sz val="9"/>
            <color indexed="81"/>
            <rFont val="Tahoma"/>
            <family val="2"/>
          </rPr>
          <t>Martin:</t>
        </r>
        <r>
          <rPr>
            <sz val="9"/>
            <color indexed="81"/>
            <rFont val="Tahoma"/>
            <family val="2"/>
          </rPr>
          <t xml:space="preserve">
16537 actual
15829 B of A</t>
        </r>
      </text>
    </comment>
    <comment ref="BC103" authorId="1" shapeId="0" xr:uid="{00000000-0006-0000-0400-0000BB000000}">
      <text>
        <r>
          <rPr>
            <b/>
            <sz val="9"/>
            <color indexed="81"/>
            <rFont val="Tahoma"/>
            <family val="2"/>
          </rPr>
          <t>MSMB:</t>
        </r>
        <r>
          <rPr>
            <sz val="9"/>
            <color indexed="81"/>
            <rFont val="Tahoma"/>
            <family val="2"/>
          </rPr>
          <t xml:space="preserve">
Reform impact of 56m</t>
        </r>
      </text>
    </comment>
    <comment ref="BD10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03" authorId="0" shapeId="0" xr:uid="{00000000-0006-0000-0400-0000BD000000}">
      <text>
        <r>
          <rPr>
            <b/>
            <sz val="9"/>
            <color indexed="81"/>
            <rFont val="Tahoma"/>
            <family val="2"/>
          </rPr>
          <t>Martin:</t>
        </r>
        <r>
          <rPr>
            <sz val="9"/>
            <color indexed="81"/>
            <rFont val="Tahoma"/>
            <family val="2"/>
          </rPr>
          <t xml:space="preserve">
17561 actual</t>
        </r>
      </text>
    </comment>
    <comment ref="BO103" authorId="0" shapeId="0" xr:uid="{00000000-0006-0000-0400-0000BE000000}">
      <text>
        <r>
          <rPr>
            <b/>
            <sz val="9"/>
            <color indexed="81"/>
            <rFont val="Tahoma"/>
            <family val="2"/>
          </rPr>
          <t>Martin:</t>
        </r>
        <r>
          <rPr>
            <sz val="9"/>
            <color indexed="81"/>
            <rFont val="Tahoma"/>
            <family val="2"/>
          </rPr>
          <t xml:space="preserve">
13500 Actual</t>
        </r>
      </text>
    </comment>
    <comment ref="BP103" authorId="0" shapeId="0" xr:uid="{00000000-0006-0000-0400-0000BF000000}">
      <text>
        <r>
          <rPr>
            <b/>
            <sz val="9"/>
            <color indexed="81"/>
            <rFont val="Tahoma"/>
            <family val="2"/>
          </rPr>
          <t>Martin:</t>
        </r>
        <r>
          <rPr>
            <sz val="9"/>
            <color indexed="81"/>
            <rFont val="Tahoma"/>
            <family val="2"/>
          </rPr>
          <t xml:space="preserve">
12973 actual</t>
        </r>
      </text>
    </comment>
    <comment ref="BQ103" authorId="0" shapeId="0" xr:uid="{00000000-0006-0000-0400-0000C0000000}">
      <text>
        <r>
          <rPr>
            <b/>
            <sz val="9"/>
            <color indexed="81"/>
            <rFont val="Tahoma"/>
            <family val="2"/>
          </rPr>
          <t>Martin:</t>
        </r>
        <r>
          <rPr>
            <sz val="9"/>
            <color indexed="81"/>
            <rFont val="Tahoma"/>
            <family val="2"/>
          </rPr>
          <t xml:space="preserve">
GAAP 12643
Non-GAAP 12576</t>
        </r>
      </text>
    </comment>
    <comment ref="BR103" authorId="0" shapeId="0" xr:uid="{00000000-0006-0000-0400-0000C1000000}">
      <text>
        <r>
          <rPr>
            <b/>
            <sz val="9"/>
            <color indexed="81"/>
            <rFont val="Tahoma"/>
            <family val="2"/>
          </rPr>
          <t>Martin:</t>
        </r>
        <r>
          <rPr>
            <sz val="9"/>
            <color indexed="81"/>
            <rFont val="Tahoma"/>
            <family val="2"/>
          </rPr>
          <t xml:space="preserve">
GAAP 13558
Non-GAAP 13493</t>
        </r>
      </text>
    </comment>
    <comment ref="CL103"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03"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03"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03"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03"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03"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03"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03"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03"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03"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03" authorId="6" shapeId="0" xr:uid="{DB3F395E-B211-4899-9C88-191EDE29F220}">
      <text>
        <r>
          <rPr>
            <b/>
            <sz val="9"/>
            <color indexed="81"/>
            <rFont val="Tahoma"/>
            <family val="2"/>
          </rPr>
          <t>Martin Shkreli:</t>
        </r>
        <r>
          <rPr>
            <sz val="9"/>
            <color indexed="81"/>
            <rFont val="Tahoma"/>
            <family val="2"/>
          </rPr>
          <t xml:space="preserve">
25,661m actual</t>
        </r>
      </text>
    </comment>
    <comment ref="CZ103"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T103" authorId="6" shapeId="0" xr:uid="{00000000-0006-0000-0400-0000C2000000}">
      <text>
        <r>
          <rPr>
            <b/>
            <sz val="8"/>
            <color indexed="81"/>
            <rFont val="Tahoma"/>
            <family val="2"/>
          </rPr>
          <t>Martin Shkreli:</t>
        </r>
        <r>
          <rPr>
            <sz val="8"/>
            <color indexed="81"/>
            <rFont val="Tahoma"/>
            <family val="2"/>
          </rPr>
          <t xml:space="preserve">
26593 actual</t>
        </r>
      </text>
    </comment>
    <comment ref="DU103" authorId="6" shapeId="0" xr:uid="{00000000-0006-0000-0400-0000C3000000}">
      <text>
        <r>
          <rPr>
            <b/>
            <sz val="8"/>
            <color indexed="81"/>
            <rFont val="Tahoma"/>
            <family val="2"/>
          </rPr>
          <t>Martin Shkreli:</t>
        </r>
        <r>
          <rPr>
            <sz val="8"/>
            <color indexed="81"/>
            <rFont val="Tahoma"/>
            <family val="2"/>
          </rPr>
          <t xml:space="preserve">
29758 actual</t>
        </r>
      </text>
    </comment>
    <comment ref="DV10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DW103" authorId="6" shapeId="0" xr:uid="{00000000-0006-0000-0400-0000C5000000}">
      <text>
        <r>
          <rPr>
            <b/>
            <sz val="8"/>
            <color indexed="81"/>
            <rFont val="Tahoma"/>
            <family val="2"/>
          </rPr>
          <t>Martin Shkreli:</t>
        </r>
        <r>
          <rPr>
            <sz val="8"/>
            <color indexed="81"/>
            <rFont val="Tahoma"/>
            <family val="2"/>
          </rPr>
          <t xml:space="preserve">
48988 actual</t>
        </r>
      </text>
    </comment>
    <comment ref="DX103" authorId="5" shapeId="0" xr:uid="{00000000-0006-0000-0400-0000C6000000}">
      <text>
        <r>
          <rPr>
            <b/>
            <sz val="8"/>
            <color indexed="81"/>
            <rFont val="Tahoma"/>
            <family val="2"/>
          </rPr>
          <t>mshkreli:</t>
        </r>
        <r>
          <rPr>
            <sz val="8"/>
            <color indexed="81"/>
            <rFont val="Tahoma"/>
            <family val="2"/>
          </rPr>
          <t xml:space="preserve">
47405 actual</t>
        </r>
      </text>
    </comment>
    <comment ref="DY10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DZ10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A10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B103" authorId="3" shapeId="0" xr:uid="{00000000-0006-0000-0400-0000CA000000}">
      <text>
        <r>
          <rPr>
            <sz val="9"/>
            <color indexed="81"/>
            <rFont val="Tahoma"/>
            <family val="2"/>
          </rPr>
          <t>50009 final</t>
        </r>
      </text>
    </comment>
    <comment ref="EC10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D103" authorId="0" shapeId="0" xr:uid="{00000000-0006-0000-0400-0000CC000000}">
      <text>
        <r>
          <rPr>
            <b/>
            <sz val="9"/>
            <color indexed="81"/>
            <rFont val="Tahoma"/>
            <family val="2"/>
          </rPr>
          <t>Martin:</t>
        </r>
        <r>
          <rPr>
            <sz val="9"/>
            <color indexed="81"/>
            <rFont val="Tahoma"/>
            <family val="2"/>
          </rPr>
          <t xml:space="preserve">
Q111: 65.2-67.2
Q410: 66-68</t>
        </r>
      </text>
    </comment>
    <comment ref="EE10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F103" authorId="0" shapeId="0" xr:uid="{00000000-0006-0000-0400-0000CE000000}">
      <text>
        <r>
          <rPr>
            <b/>
            <sz val="9"/>
            <color indexed="81"/>
            <rFont val="Tahoma"/>
            <family val="2"/>
          </rPr>
          <t>Martin:</t>
        </r>
        <r>
          <rPr>
            <sz val="9"/>
            <color indexed="81"/>
            <rFont val="Tahoma"/>
            <family val="2"/>
          </rPr>
          <t xml:space="preserve">
51584 actual</t>
        </r>
      </text>
    </comment>
    <comment ref="EG103" authorId="0" shapeId="0" xr:uid="{00000000-0006-0000-0400-0000CF000000}">
      <text>
        <r>
          <rPr>
            <b/>
            <sz val="9"/>
            <color indexed="81"/>
            <rFont val="Tahoma"/>
            <family val="2"/>
          </rPr>
          <t>Martin:</t>
        </r>
        <r>
          <rPr>
            <sz val="9"/>
            <color indexed="81"/>
            <rFont val="Tahoma"/>
            <family val="2"/>
          </rPr>
          <t xml:space="preserve">
Q413: 49.2-51.2</t>
        </r>
      </text>
    </comment>
    <comment ref="EM103" authorId="6" shapeId="0" xr:uid="{9EE844CB-F20B-40EA-BA2C-38D05DC7B1CF}">
      <text>
        <r>
          <rPr>
            <b/>
            <sz val="9"/>
            <color indexed="81"/>
            <rFont val="Tahoma"/>
            <family val="2"/>
          </rPr>
          <t>Martin Shkreli:</t>
        </r>
        <r>
          <rPr>
            <sz val="9"/>
            <color indexed="81"/>
            <rFont val="Tahoma"/>
            <family val="2"/>
          </rPr>
          <t xml:space="preserve">
41651 actual</t>
        </r>
      </text>
    </comment>
    <comment ref="EN103"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O103"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P103" authorId="26"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W103" authorId="27"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04" authorId="6" shapeId="0" xr:uid="{00000000-0006-0000-0400-0000D0000000}">
      <text>
        <r>
          <rPr>
            <b/>
            <sz val="8"/>
            <color indexed="81"/>
            <rFont val="Tahoma"/>
            <family val="2"/>
          </rPr>
          <t>Martin Shkreli:</t>
        </r>
        <r>
          <rPr>
            <sz val="8"/>
            <color indexed="81"/>
            <rFont val="Tahoma"/>
            <family val="2"/>
          </rPr>
          <t xml:space="preserve">
Excludes ATS costs</t>
        </r>
      </text>
    </comment>
    <comment ref="AR10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06" authorId="28" shapeId="0" xr:uid="{00000000-0006-0000-0400-0000D2000000}">
      <text>
        <r>
          <rPr>
            <b/>
            <sz val="8"/>
            <color indexed="81"/>
            <rFont val="Tahoma"/>
            <family val="2"/>
          </rPr>
          <t>Authorized User:</t>
        </r>
        <r>
          <rPr>
            <sz val="8"/>
            <color indexed="81"/>
            <rFont val="Tahoma"/>
            <family val="2"/>
          </rPr>
          <t xml:space="preserve">
less $10 mm litigation charge</t>
        </r>
      </text>
    </comment>
    <comment ref="AR106" authorId="6" shapeId="0" xr:uid="{00000000-0006-0000-0400-0000D3000000}">
      <text>
        <r>
          <rPr>
            <b/>
            <sz val="8"/>
            <color indexed="81"/>
            <rFont val="Tahoma"/>
            <family val="2"/>
          </rPr>
          <t>Martin Shkreli:</t>
        </r>
        <r>
          <rPr>
            <sz val="8"/>
            <color indexed="81"/>
            <rFont val="Tahoma"/>
            <family val="2"/>
          </rPr>
          <t xml:space="preserve">
excludes 79m ATS</t>
        </r>
      </text>
    </comment>
    <comment ref="BB106" authorId="0" shapeId="0" xr:uid="{00000000-0006-0000-0400-0000D4000000}">
      <text>
        <r>
          <rPr>
            <b/>
            <sz val="9"/>
            <color indexed="81"/>
            <rFont val="Tahoma"/>
            <family val="2"/>
          </rPr>
          <t>Martin:</t>
        </r>
        <r>
          <rPr>
            <sz val="9"/>
            <color indexed="81"/>
            <rFont val="Tahoma"/>
            <family val="2"/>
          </rPr>
          <t xml:space="preserve">
4527 B of A</t>
        </r>
      </text>
    </comment>
    <comment ref="DZ106" authorId="6" shapeId="0" xr:uid="{00000000-0006-0000-0400-0000D5000000}">
      <text>
        <r>
          <rPr>
            <b/>
            <sz val="8"/>
            <color indexed="81"/>
            <rFont val="Tahoma"/>
            <family val="2"/>
          </rPr>
          <t>Martin Shkreli:</t>
        </r>
        <r>
          <rPr>
            <sz val="8"/>
            <color indexed="81"/>
            <rFont val="Tahoma"/>
            <family val="2"/>
          </rPr>
          <t xml:space="preserve">
15.2bn guidance</t>
        </r>
      </text>
    </comment>
    <comment ref="EA10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C10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D106" authorId="0" shapeId="0" xr:uid="{00000000-0006-0000-0400-0000D8000000}">
      <text>
        <r>
          <rPr>
            <b/>
            <sz val="9"/>
            <color indexed="81"/>
            <rFont val="Tahoma"/>
            <family val="2"/>
          </rPr>
          <t>Martin:</t>
        </r>
        <r>
          <rPr>
            <sz val="9"/>
            <color indexed="81"/>
            <rFont val="Tahoma"/>
            <family val="2"/>
          </rPr>
          <t xml:space="preserve">
Q410: 19.2-20.2</t>
        </r>
      </text>
    </comment>
    <comment ref="EE106" authorId="0" shapeId="0" xr:uid="{00000000-0006-0000-0400-0000D9000000}">
      <text>
        <r>
          <rPr>
            <sz val="9"/>
            <color indexed="81"/>
            <rFont val="Tahoma"/>
            <family val="2"/>
          </rPr>
          <t>Q112: 16.3-17.3
Q411: 17.0-18.0
Q410: 17.5-18.5</t>
        </r>
      </text>
    </comment>
    <comment ref="EO106" authorId="2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P106" authorId="3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0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07" authorId="0" shapeId="0" xr:uid="{00000000-0006-0000-0400-0000DB000000}">
      <text>
        <r>
          <rPr>
            <b/>
            <sz val="9"/>
            <color indexed="81"/>
            <rFont val="Tahoma"/>
            <family val="2"/>
          </rPr>
          <t>Martin:</t>
        </r>
        <r>
          <rPr>
            <sz val="9"/>
            <color indexed="81"/>
            <rFont val="Tahoma"/>
            <family val="2"/>
          </rPr>
          <t xml:space="preserve">
2739 B of A</t>
        </r>
      </text>
    </comment>
    <comment ref="CU107" authorId="31"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07" authorId="32"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DZ107" authorId="6" shapeId="0" xr:uid="{00000000-0006-0000-0400-0000DC000000}">
      <text>
        <r>
          <rPr>
            <b/>
            <sz val="8"/>
            <color indexed="81"/>
            <rFont val="Tahoma"/>
            <family val="2"/>
          </rPr>
          <t>Martin Shkreli:</t>
        </r>
        <r>
          <rPr>
            <sz val="8"/>
            <color indexed="81"/>
            <rFont val="Tahoma"/>
            <family val="2"/>
          </rPr>
          <t xml:space="preserve">
7.5bn</t>
        </r>
      </text>
    </comment>
    <comment ref="EC10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D107" authorId="0" shapeId="0" xr:uid="{00000000-0006-0000-0400-0000DE000000}">
      <text>
        <r>
          <rPr>
            <b/>
            <sz val="9"/>
            <color indexed="81"/>
            <rFont val="Tahoma"/>
            <family val="2"/>
          </rPr>
          <t>Martin:</t>
        </r>
        <r>
          <rPr>
            <sz val="9"/>
            <color indexed="81"/>
            <rFont val="Tahoma"/>
            <family val="2"/>
          </rPr>
          <t xml:space="preserve">
Q410: 8.0-8.5</t>
        </r>
      </text>
    </comment>
    <comment ref="EE107" authorId="1" shapeId="0" xr:uid="{00000000-0006-0000-0400-0000DF000000}">
      <text>
        <r>
          <rPr>
            <sz val="9"/>
            <color indexed="81"/>
            <rFont val="Tahoma"/>
            <family val="2"/>
          </rPr>
          <t>Q112: 6.5-7.0
Q410: 6.5-7.0
Q110: 8.0-8.5 guidance
Q409: 8.0-8.5</t>
        </r>
      </text>
    </comment>
    <comment ref="EO107" authorId="33"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P107" authorId="34"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08" authorId="35"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09" authorId="36"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09" authorId="37"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0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0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O109" authorId="38"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1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P113" authorId="39"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14" authorId="1" shapeId="0" xr:uid="{00000000-0006-0000-0400-0000E1000000}">
      <text>
        <r>
          <rPr>
            <b/>
            <sz val="9"/>
            <color indexed="81"/>
            <rFont val="Tahoma"/>
            <family val="2"/>
          </rPr>
          <t>MSMB:</t>
        </r>
        <r>
          <rPr>
            <sz val="9"/>
            <color indexed="81"/>
            <rFont val="Tahoma"/>
            <family val="2"/>
          </rPr>
          <t xml:space="preserve">
2944 adjusted NI</t>
        </r>
      </text>
    </comment>
    <comment ref="CL114" authorId="40"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14" authorId="41"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14" authorId="42"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14" authorId="43"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14" authorId="44"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14" authorId="45"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14" authorId="46"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14" authorId="47"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14" authorId="48"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14" authorId="49"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14" authorId="50"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14" authorId="51"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14" authorId="52"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B114" authorId="0" shapeId="0" xr:uid="{00000000-0006-0000-0400-0000E2000000}">
      <text>
        <r>
          <rPr>
            <b/>
            <sz val="9"/>
            <color indexed="81"/>
            <rFont val="Tahoma"/>
            <family val="2"/>
          </rPr>
          <t>Martin:</t>
        </r>
        <r>
          <rPr>
            <sz val="9"/>
            <color indexed="81"/>
            <rFont val="Tahoma"/>
            <family val="2"/>
          </rPr>
          <t xml:space="preserve">
14202 final</t>
        </r>
      </text>
    </comment>
    <comment ref="EC114" authorId="0" shapeId="0" xr:uid="{00000000-0006-0000-0400-0000E3000000}">
      <text>
        <r>
          <rPr>
            <b/>
            <sz val="9"/>
            <color indexed="81"/>
            <rFont val="Tahoma"/>
            <family val="2"/>
          </rPr>
          <t>Martin:</t>
        </r>
        <r>
          <rPr>
            <sz val="9"/>
            <color indexed="81"/>
            <rFont val="Tahoma"/>
            <family val="2"/>
          </rPr>
          <t xml:space="preserve">
17983 final</t>
        </r>
      </text>
    </comment>
    <comment ref="EE114" authorId="0" shapeId="0" xr:uid="{00000000-0006-0000-0400-0000E4000000}">
      <text>
        <r>
          <rPr>
            <b/>
            <sz val="9"/>
            <color indexed="81"/>
            <rFont val="Tahoma"/>
            <family val="2"/>
          </rPr>
          <t>Martin:</t>
        </r>
        <r>
          <rPr>
            <sz val="9"/>
            <color indexed="81"/>
            <rFont val="Tahoma"/>
            <family val="2"/>
          </rPr>
          <t xml:space="preserve">
Q112: 19bn CF</t>
        </r>
      </text>
    </comment>
    <comment ref="EM114" authorId="53"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N114" authorId="54"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15" authorId="0" shapeId="0" xr:uid="{00000000-0006-0000-0400-0000E5000000}">
      <text>
        <r>
          <rPr>
            <b/>
            <sz val="9"/>
            <color indexed="81"/>
            <rFont val="Tahoma"/>
            <family val="2"/>
          </rPr>
          <t>Martin:</t>
        </r>
        <r>
          <rPr>
            <sz val="9"/>
            <color indexed="81"/>
            <rFont val="Tahoma"/>
            <family val="2"/>
          </rPr>
          <t xml:space="preserve">
0.49 final</t>
        </r>
      </text>
    </comment>
    <comment ref="BF115" authorId="0" shapeId="0" xr:uid="{00000000-0006-0000-0400-0000E6000000}">
      <text>
        <r>
          <rPr>
            <b/>
            <sz val="9"/>
            <color indexed="81"/>
            <rFont val="Tahoma"/>
            <family val="2"/>
          </rPr>
          <t>Martin:</t>
        </r>
        <r>
          <rPr>
            <sz val="9"/>
            <color indexed="81"/>
            <rFont val="Tahoma"/>
            <family val="2"/>
          </rPr>
          <t xml:space="preserve">
.47 final</t>
        </r>
      </text>
    </comment>
    <comment ref="CT115" authorId="55"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15" authorId="6" shapeId="0" xr:uid="{4F3F2BC3-E30D-4D47-A849-8A5CEFE1BB39}">
      <text>
        <r>
          <rPr>
            <b/>
            <sz val="9"/>
            <color indexed="81"/>
            <rFont val="Tahoma"/>
            <family val="2"/>
          </rPr>
          <t>Martin Shkreli:</t>
        </r>
        <r>
          <rPr>
            <sz val="9"/>
            <color indexed="81"/>
            <rFont val="Tahoma"/>
            <family val="2"/>
          </rPr>
          <t xml:space="preserve">
adj EPS 0.95</t>
        </r>
      </text>
    </comment>
    <comment ref="CV115" authorId="56"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15" authorId="57"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15" authorId="58"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15" authorId="59"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Y115" authorId="1" shapeId="0" xr:uid="{00000000-0006-0000-0400-0000E7000000}">
      <text>
        <r>
          <rPr>
            <b/>
            <sz val="9"/>
            <color indexed="81"/>
            <rFont val="Tahoma"/>
            <family val="2"/>
          </rPr>
          <t>MSMB:</t>
        </r>
        <r>
          <rPr>
            <sz val="9"/>
            <color indexed="81"/>
            <rFont val="Tahoma"/>
            <family val="2"/>
          </rPr>
          <t xml:space="preserve">
2.00 guidance?</t>
        </r>
      </text>
    </comment>
    <comment ref="DZ115" authorId="6" shapeId="0" xr:uid="{00000000-0006-0000-0400-0000E8000000}">
      <text>
        <r>
          <rPr>
            <b/>
            <sz val="8"/>
            <color indexed="81"/>
            <rFont val="Tahoma"/>
            <family val="2"/>
          </rPr>
          <t>Martin Shkreli:</t>
        </r>
        <r>
          <rPr>
            <sz val="8"/>
            <color indexed="81"/>
            <rFont val="Tahoma"/>
            <family val="2"/>
          </rPr>
          <t xml:space="preserve">
2.08-2.15 guidance</t>
        </r>
      </text>
    </comment>
    <comment ref="EA115" authorId="6" shapeId="0" xr:uid="{00000000-0006-0000-0400-0000E9000000}">
      <text>
        <r>
          <rPr>
            <b/>
            <sz val="8"/>
            <color indexed="81"/>
            <rFont val="Tahoma"/>
            <family val="2"/>
          </rPr>
          <t>Martin Shkreli:</t>
        </r>
        <r>
          <rPr>
            <sz val="8"/>
            <color indexed="81"/>
            <rFont val="Tahoma"/>
            <family val="2"/>
          </rPr>
          <t xml:space="preserve">
Q308: 2.36-2.41
2.31-2.45</t>
        </r>
      </text>
    </comment>
    <comment ref="EB115" authorId="0" shapeId="0" xr:uid="{00000000-0006-0000-0400-0000EA000000}">
      <text>
        <r>
          <rPr>
            <b/>
            <sz val="9"/>
            <color indexed="81"/>
            <rFont val="Tahoma"/>
            <family val="2"/>
          </rPr>
          <t>Martin:</t>
        </r>
        <r>
          <rPr>
            <sz val="9"/>
            <color indexed="81"/>
            <rFont val="Tahoma"/>
            <family val="2"/>
          </rPr>
          <t xml:space="preserve">
2.02 final</t>
        </r>
      </text>
    </comment>
    <comment ref="EC11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D115" authorId="0" shapeId="0" xr:uid="{00000000-0006-0000-0400-0000EC000000}">
      <text>
        <r>
          <rPr>
            <sz val="9"/>
            <color indexed="81"/>
            <rFont val="Tahoma"/>
            <family val="2"/>
          </rPr>
          <t>Q111: 2.16-2.26
Q410: 2.16-2.26</t>
        </r>
      </text>
    </comment>
    <comment ref="EE115" authorId="0" shapeId="0" xr:uid="{00000000-0006-0000-0400-0000ED000000}">
      <text>
        <r>
          <rPr>
            <sz val="9"/>
            <color indexed="81"/>
            <rFont val="Tahoma"/>
            <family val="2"/>
          </rPr>
          <t>Q111: 2.25-2.35
Q410: 2.25-2.35
Q110: 2.25-2.35
Q409: 2.25-2.35</t>
        </r>
      </text>
    </comment>
    <comment ref="EG115" authorId="0" shapeId="0" xr:uid="{00000000-0006-0000-0400-0000EE000000}">
      <text>
        <r>
          <rPr>
            <b/>
            <sz val="9"/>
            <color indexed="81"/>
            <rFont val="Tahoma"/>
            <family val="2"/>
          </rPr>
          <t>Martin:</t>
        </r>
        <r>
          <rPr>
            <sz val="9"/>
            <color indexed="81"/>
            <rFont val="Tahoma"/>
            <family val="2"/>
          </rPr>
          <t xml:space="preserve">
Q413: 2.20-2.30</t>
        </r>
      </text>
    </comment>
    <comment ref="EM115" authorId="60"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N115" authorId="61"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O115" authorId="62"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16" authorId="6" shapeId="0" xr:uid="{00000000-0006-0000-0400-0000EF000000}">
      <text>
        <r>
          <rPr>
            <b/>
            <sz val="8"/>
            <color indexed="81"/>
            <rFont val="Tahoma"/>
            <family val="2"/>
          </rPr>
          <t>Martin Shkreli:</t>
        </r>
        <r>
          <rPr>
            <sz val="8"/>
            <color indexed="81"/>
            <rFont val="Tahoma"/>
            <family val="2"/>
          </rPr>
          <t xml:space="preserve">
7086 SO as of 2/20/07: 10-K</t>
        </r>
      </text>
    </comment>
    <comment ref="DZ116" authorId="6" shapeId="0" xr:uid="{00000000-0006-0000-0400-0000F0000000}">
      <text>
        <r>
          <rPr>
            <b/>
            <sz val="8"/>
            <color indexed="81"/>
            <rFont val="Tahoma"/>
            <family val="2"/>
          </rPr>
          <t>Martin Shkreli:</t>
        </r>
        <r>
          <rPr>
            <sz val="8"/>
            <color indexed="81"/>
            <rFont val="Tahoma"/>
            <family val="2"/>
          </rPr>
          <t xml:space="preserve">
10B buyback</t>
        </r>
      </text>
    </comment>
    <comment ref="EO116" authorId="63"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1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18" authorId="0" shapeId="0" xr:uid="{00000000-0006-0000-0400-0000F2000000}">
      <text>
        <r>
          <rPr>
            <b/>
            <sz val="9"/>
            <color indexed="81"/>
            <rFont val="Tahoma"/>
            <family val="2"/>
          </rPr>
          <t>Martin:</t>
        </r>
        <r>
          <rPr>
            <sz val="9"/>
            <color indexed="81"/>
            <rFont val="Tahoma"/>
            <family val="2"/>
          </rPr>
          <t xml:space="preserve">
80bps FX impact</t>
        </r>
      </text>
    </comment>
    <comment ref="DZ11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C11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E11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O118" authorId="64"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P118" authorId="65"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DZ122" authorId="6" shapeId="0" xr:uid="{00000000-0006-0000-0400-0000F6000000}">
      <text>
        <r>
          <rPr>
            <b/>
            <sz val="8"/>
            <color indexed="81"/>
            <rFont val="Tahoma"/>
            <family val="2"/>
          </rPr>
          <t>Martin Shkreli:</t>
        </r>
        <r>
          <rPr>
            <sz val="8"/>
            <color indexed="81"/>
            <rFont val="Tahoma"/>
            <family val="2"/>
          </rPr>
          <t xml:space="preserve">
22% guidance</t>
        </r>
      </text>
    </comment>
    <comment ref="EA122" authorId="6" shapeId="0" xr:uid="{00000000-0006-0000-0400-0000F7000000}">
      <text>
        <r>
          <rPr>
            <b/>
            <sz val="8"/>
            <color indexed="81"/>
            <rFont val="Tahoma"/>
            <family val="2"/>
          </rPr>
          <t>Martin Shkreli:</t>
        </r>
        <r>
          <rPr>
            <sz val="8"/>
            <color indexed="81"/>
            <rFont val="Tahoma"/>
            <family val="2"/>
          </rPr>
          <t xml:space="preserve">
22-22.5%</t>
        </r>
      </text>
    </comment>
    <comment ref="EC122" authorId="1" shapeId="0" xr:uid="{00000000-0006-0000-0400-0000F8000000}">
      <text>
        <r>
          <rPr>
            <b/>
            <sz val="9"/>
            <color indexed="81"/>
            <rFont val="Tahoma"/>
            <family val="2"/>
          </rPr>
          <t>MSMB:</t>
        </r>
        <r>
          <rPr>
            <sz val="9"/>
            <color indexed="81"/>
            <rFont val="Tahoma"/>
            <family val="2"/>
          </rPr>
          <t xml:space="preserve">
Q110: 30%
Q409: 30%</t>
        </r>
      </text>
    </comment>
    <comment ref="ED122" authorId="0" shapeId="0" xr:uid="{00000000-0006-0000-0400-0000F9000000}">
      <text>
        <r>
          <rPr>
            <b/>
            <sz val="9"/>
            <color indexed="81"/>
            <rFont val="Tahoma"/>
            <family val="2"/>
          </rPr>
          <t>Martin:</t>
        </r>
        <r>
          <rPr>
            <sz val="9"/>
            <color indexed="81"/>
            <rFont val="Tahoma"/>
            <family val="2"/>
          </rPr>
          <t xml:space="preserve">
Q410: 29%</t>
        </r>
      </text>
    </comment>
    <comment ref="EE122" authorId="0" shapeId="0" xr:uid="{00000000-0006-0000-0400-0000FA000000}">
      <text>
        <r>
          <rPr>
            <b/>
            <sz val="9"/>
            <color indexed="81"/>
            <rFont val="Tahoma"/>
            <family val="2"/>
          </rPr>
          <t>Martin:</t>
        </r>
        <r>
          <rPr>
            <sz val="9"/>
            <color indexed="81"/>
            <rFont val="Tahoma"/>
            <family val="2"/>
          </rPr>
          <t xml:space="preserve">
Q112: 29%
Q410: 29%
Q310: 30%</t>
        </r>
      </text>
    </comment>
    <comment ref="EO122" authorId="6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26" authorId="1" shapeId="0" xr:uid="{00000000-0006-0000-0400-0000FB000000}">
      <text>
        <r>
          <rPr>
            <b/>
            <sz val="9"/>
            <color indexed="81"/>
            <rFont val="Tahoma"/>
            <family val="2"/>
          </rPr>
          <t>MSMB:</t>
        </r>
        <r>
          <rPr>
            <sz val="9"/>
            <color indexed="81"/>
            <rFont val="Tahoma"/>
            <family val="2"/>
          </rPr>
          <t xml:space="preserve">
610m unfavorable revenue</t>
        </r>
      </text>
    </comment>
    <comment ref="BB126" authorId="1" shapeId="0" xr:uid="{00000000-0006-0000-0400-0000FC000000}">
      <text>
        <r>
          <rPr>
            <b/>
            <sz val="9"/>
            <color indexed="81"/>
            <rFont val="Tahoma"/>
            <family val="2"/>
          </rPr>
          <t>MSMB:</t>
        </r>
        <r>
          <rPr>
            <sz val="9"/>
            <color indexed="81"/>
            <rFont val="Tahoma"/>
            <family val="2"/>
          </rPr>
          <t xml:space="preserve">
469m favorable revenue</t>
        </r>
      </text>
    </comment>
    <comment ref="BC12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B126" authorId="1" shapeId="0" xr:uid="{00000000-0006-0000-0400-0000FE000000}">
      <text>
        <r>
          <rPr>
            <b/>
            <sz val="9"/>
            <color indexed="81"/>
            <rFont val="Tahoma"/>
            <family val="2"/>
          </rPr>
          <t>MSMB:</t>
        </r>
        <r>
          <rPr>
            <sz val="9"/>
            <color indexed="81"/>
            <rFont val="Tahoma"/>
            <family val="2"/>
          </rPr>
          <t xml:space="preserve">
1800m unfavorable</t>
        </r>
      </text>
    </comment>
    <comment ref="BF12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28" authorId="6" shapeId="0" xr:uid="{F41B9F18-0548-4B68-9652-1B906713A249}">
      <text>
        <r>
          <rPr>
            <b/>
            <sz val="9"/>
            <color indexed="81"/>
            <rFont val="Tahoma"/>
            <family val="2"/>
          </rPr>
          <t>Martin Shkreli:</t>
        </r>
        <r>
          <rPr>
            <sz val="9"/>
            <color indexed="81"/>
            <rFont val="Tahoma"/>
            <family val="2"/>
          </rPr>
          <t xml:space="preserve">
-2% ex-COVID</t>
        </r>
      </text>
    </comment>
    <comment ref="CY128" authorId="6" shapeId="0" xr:uid="{FC1212FE-47DB-4A94-AC2E-97336D5FE11A}">
      <text>
        <r>
          <rPr>
            <b/>
            <sz val="9"/>
            <color indexed="81"/>
            <rFont val="Tahoma"/>
            <family val="2"/>
          </rPr>
          <t>Martin Shkreli:</t>
        </r>
        <r>
          <rPr>
            <sz val="9"/>
            <color indexed="81"/>
            <rFont val="Tahoma"/>
            <family val="2"/>
          </rPr>
          <t xml:space="preserve">
+2% ex-COVID</t>
        </r>
      </text>
    </comment>
    <comment ref="CZ128" authorId="6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N128" authorId="6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77" authorId="6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77" authorId="7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00" authorId="1" shapeId="0" xr:uid="{00000000-0006-0000-0400-000000010000}">
      <text>
        <r>
          <rPr>
            <b/>
            <sz val="9"/>
            <color indexed="81"/>
            <rFont val="Tahoma"/>
            <family val="2"/>
          </rPr>
          <t>MSMB:</t>
        </r>
        <r>
          <rPr>
            <sz val="9"/>
            <color indexed="81"/>
            <rFont val="Tahoma"/>
            <family val="2"/>
          </rPr>
          <t xml:space="preserve">
11990 GAAP</t>
        </r>
      </text>
    </comment>
    <comment ref="AT200" authorId="1" shapeId="0" xr:uid="{00000000-0006-0000-0400-000001010000}">
      <text>
        <r>
          <rPr>
            <b/>
            <sz val="9"/>
            <color indexed="81"/>
            <rFont val="Tahoma"/>
            <family val="2"/>
          </rPr>
          <t>MSMB:</t>
        </r>
        <r>
          <rPr>
            <sz val="9"/>
            <color indexed="81"/>
            <rFont val="Tahoma"/>
            <family val="2"/>
          </rPr>
          <t xml:space="preserve">
13065 GAAP</t>
        </r>
      </text>
    </comment>
    <comment ref="AU200" authorId="1" shapeId="0" xr:uid="{00000000-0006-0000-0400-000002010000}">
      <text>
        <r>
          <rPr>
            <b/>
            <sz val="9"/>
            <color indexed="81"/>
            <rFont val="Tahoma"/>
            <family val="2"/>
          </rPr>
          <t>MSMB:</t>
        </r>
        <r>
          <rPr>
            <sz val="9"/>
            <color indexed="81"/>
            <rFont val="Tahoma"/>
            <family val="2"/>
          </rPr>
          <t xml:space="preserve">
11848 GAAP</t>
        </r>
      </text>
    </comment>
    <comment ref="AV200" authorId="1" shapeId="0" xr:uid="{00000000-0006-0000-0400-000003010000}">
      <text>
        <r>
          <rPr>
            <b/>
            <sz val="9"/>
            <color indexed="81"/>
            <rFont val="Tahoma"/>
            <family val="2"/>
          </rPr>
          <t>MSMB:</t>
        </r>
        <r>
          <rPr>
            <sz val="9"/>
            <color indexed="81"/>
            <rFont val="Tahoma"/>
            <family val="2"/>
          </rPr>
          <t xml:space="preserve">
12129 GAAP</t>
        </r>
      </text>
    </comment>
    <comment ref="AW200" authorId="1" shapeId="0" xr:uid="{00000000-0006-0000-0400-000004010000}">
      <text>
        <r>
          <rPr>
            <b/>
            <sz val="9"/>
            <color indexed="81"/>
            <rFont val="Tahoma"/>
            <family val="2"/>
          </rPr>
          <t>MSMB:</t>
        </r>
        <r>
          <rPr>
            <sz val="9"/>
            <color indexed="81"/>
            <rFont val="Tahoma"/>
            <family val="2"/>
          </rPr>
          <t xml:space="preserve">
11973 GAAP</t>
        </r>
      </text>
    </comment>
    <comment ref="AX200" authorId="1" shapeId="0" xr:uid="{00000000-0006-0000-0400-000005010000}">
      <text>
        <r>
          <rPr>
            <b/>
            <sz val="9"/>
            <color indexed="81"/>
            <rFont val="Tahoma"/>
            <family val="2"/>
          </rPr>
          <t>MSMB:</t>
        </r>
        <r>
          <rPr>
            <sz val="9"/>
            <color indexed="81"/>
            <rFont val="Tahoma"/>
            <family val="2"/>
          </rPr>
          <t xml:space="preserve">
12346 GAAP</t>
        </r>
      </text>
    </comment>
    <comment ref="AY200" authorId="1" shapeId="0" xr:uid="{00000000-0006-0000-0400-000006010000}">
      <text>
        <r>
          <rPr>
            <b/>
            <sz val="9"/>
            <color indexed="81"/>
            <rFont val="Tahoma"/>
            <family val="2"/>
          </rPr>
          <t>MSMB:</t>
        </r>
        <r>
          <rPr>
            <sz val="9"/>
            <color indexed="81"/>
            <rFont val="Tahoma"/>
            <family val="2"/>
          </rPr>
          <t xml:space="preserve">
10867 GAAP</t>
        </r>
      </text>
    </comment>
    <comment ref="AZ200" authorId="1" shapeId="0" xr:uid="{00000000-0006-0000-0400-000007010000}">
      <text>
        <r>
          <rPr>
            <b/>
            <sz val="9"/>
            <color indexed="81"/>
            <rFont val="Tahoma"/>
            <family val="2"/>
          </rPr>
          <t>MSMB:</t>
        </r>
        <r>
          <rPr>
            <sz val="9"/>
            <color indexed="81"/>
            <rFont val="Tahoma"/>
            <family val="2"/>
          </rPr>
          <t xml:space="preserve">
10984 GAAP</t>
        </r>
      </text>
    </comment>
    <comment ref="BA200" authorId="1" shapeId="0" xr:uid="{00000000-0006-0000-0400-000008010000}">
      <text>
        <r>
          <rPr>
            <b/>
            <sz val="9"/>
            <color indexed="81"/>
            <rFont val="Tahoma"/>
            <family val="2"/>
          </rPr>
          <t>MSMB:</t>
        </r>
        <r>
          <rPr>
            <sz val="9"/>
            <color indexed="81"/>
            <rFont val="Tahoma"/>
            <family val="2"/>
          </rPr>
          <t xml:space="preserve">
11621 GAAP</t>
        </r>
      </text>
    </comment>
    <comment ref="BB200" authorId="1" shapeId="0" xr:uid="{00000000-0006-0000-0400-000009010000}">
      <text>
        <r>
          <rPr>
            <b/>
            <sz val="9"/>
            <color indexed="81"/>
            <rFont val="Tahoma"/>
            <family val="2"/>
          </rPr>
          <t>MSMB:</t>
        </r>
        <r>
          <rPr>
            <sz val="9"/>
            <color indexed="81"/>
            <rFont val="Tahoma"/>
            <family val="2"/>
          </rPr>
          <t xml:space="preserve">
16537 GAAP</t>
        </r>
      </text>
    </comment>
    <comment ref="BF200" authorId="0" shapeId="0" xr:uid="{00000000-0006-0000-0400-00000A010000}">
      <text>
        <r>
          <rPr>
            <b/>
            <sz val="9"/>
            <color indexed="81"/>
            <rFont val="Tahoma"/>
            <family val="2"/>
          </rPr>
          <t>Martin:</t>
        </r>
        <r>
          <rPr>
            <sz val="9"/>
            <color indexed="81"/>
            <rFont val="Tahoma"/>
            <family val="2"/>
          </rPr>
          <t xml:space="preserve">
was 17083</t>
        </r>
      </text>
    </comment>
    <comment ref="EA200" authorId="1" shapeId="0" xr:uid="{00000000-0006-0000-0400-00000B010000}">
      <text>
        <r>
          <rPr>
            <b/>
            <sz val="9"/>
            <color indexed="81"/>
            <rFont val="Tahoma"/>
            <family val="2"/>
          </rPr>
          <t>MSMB:</t>
        </r>
        <r>
          <rPr>
            <sz val="9"/>
            <color indexed="81"/>
            <rFont val="Tahoma"/>
            <family val="2"/>
          </rPr>
          <t xml:space="preserve">
was 47299</t>
        </r>
      </text>
    </comment>
    <comment ref="EB200" authorId="1" shapeId="0" xr:uid="{00000000-0006-0000-0400-00000C010000}">
      <text>
        <r>
          <rPr>
            <b/>
            <sz val="9"/>
            <color indexed="81"/>
            <rFont val="Tahoma"/>
            <family val="2"/>
          </rPr>
          <t>MSMB:</t>
        </r>
        <r>
          <rPr>
            <sz val="9"/>
            <color indexed="81"/>
            <rFont val="Tahoma"/>
            <family val="2"/>
          </rPr>
          <t xml:space="preserve">
50009 GAAP
was 48829</t>
        </r>
      </text>
    </comment>
    <comment ref="EC200" authorId="1" shapeId="0" xr:uid="{00000000-0006-0000-0400-00000D010000}">
      <text>
        <r>
          <rPr>
            <b/>
            <sz val="9"/>
            <color indexed="81"/>
            <rFont val="Tahoma"/>
            <family val="2"/>
          </rPr>
          <t>MSMB:</t>
        </r>
        <r>
          <rPr>
            <sz val="9"/>
            <color indexed="81"/>
            <rFont val="Tahoma"/>
            <family val="2"/>
          </rPr>
          <t xml:space="preserve">
was 67318
was 50109</t>
        </r>
      </text>
    </comment>
    <comment ref="ED200" authorId="1" shapeId="0" xr:uid="{00000000-0006-0000-0400-00000E010000}">
      <text>
        <r>
          <rPr>
            <b/>
            <sz val="9"/>
            <color indexed="81"/>
            <rFont val="Tahoma"/>
            <family val="2"/>
          </rPr>
          <t>MSMB:</t>
        </r>
        <r>
          <rPr>
            <sz val="9"/>
            <color indexed="81"/>
            <rFont val="Tahoma"/>
            <family val="2"/>
          </rPr>
          <t xml:space="preserve">
was 65859
was 47574</t>
        </r>
      </text>
    </comment>
    <comment ref="EE200" authorId="0" shapeId="0" xr:uid="{00000000-0006-0000-0400-00000F010000}">
      <text>
        <r>
          <rPr>
            <b/>
            <sz val="9"/>
            <color indexed="81"/>
            <rFont val="Tahoma"/>
            <family val="2"/>
          </rPr>
          <t>Martin:</t>
        </r>
        <r>
          <rPr>
            <sz val="9"/>
            <color indexed="81"/>
            <rFont val="Tahoma"/>
            <family val="2"/>
          </rPr>
          <t xml:space="preserve">
was 61460</t>
        </r>
      </text>
    </comment>
    <comment ref="EA202" authorId="1" shapeId="0" xr:uid="{00000000-0006-0000-0400-000010010000}">
      <text>
        <r>
          <rPr>
            <b/>
            <sz val="9"/>
            <color indexed="81"/>
            <rFont val="Tahoma"/>
            <family val="2"/>
          </rPr>
          <t>MSMB:</t>
        </r>
        <r>
          <rPr>
            <sz val="9"/>
            <color indexed="81"/>
            <rFont val="Tahoma"/>
            <family val="2"/>
          </rPr>
          <t xml:space="preserve">
was 2.34</t>
        </r>
      </text>
    </comment>
    <comment ref="EB20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<sst xmlns="http://schemas.openxmlformats.org/spreadsheetml/2006/main" count="3640" uniqueCount="1608">
  <si>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</si>
  <si>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</si>
  <si>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</si>
  <si>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</si>
  <si>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</si>
  <si>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</si>
  <si>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</si>
  <si>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</si>
  <si>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</si>
  <si>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</si>
  <si>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</si>
  <si>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</si>
  <si>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</si>
  <si>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</si>
  <si>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</si>
  <si>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</si>
  <si>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</si>
  <si>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</si>
  <si>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</si>
  <si>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</si>
  <si>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</si>
  <si>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</si>
  <si>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</si>
  <si>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</si>
  <si>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</si>
  <si>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</si>
  <si>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</si>
  <si>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</si>
  <si>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</si>
  <si>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</si>
  <si>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</si>
  <si>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</si>
  <si>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</si>
  <si>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</si>
  <si>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</si>
  <si>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</si>
  <si>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</si>
  <si>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</si>
  <si>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</si>
  <si>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</si>
  <si>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</si>
  <si>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</si>
  <si>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</si>
  <si>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</si>
  <si>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</si>
  <si>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</si>
  <si>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</si>
  <si>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</si>
  <si>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</si>
  <si>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</si>
  <si>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</si>
  <si>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</si>
  <si>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</si>
  <si>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</si>
  <si>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</si>
  <si>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</si>
  <si>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</si>
  <si>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</si>
  <si>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</si>
  <si>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</si>
  <si>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</si>
  <si>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</si>
  <si>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</si>
  <si>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</si>
  <si>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</si>
  <si>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</si>
  <si>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</si>
  <si>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</si>
  <si>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</si>
  <si>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</si>
  <si>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</si>
  <si>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</si>
  <si>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</si>
  <si>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</si>
  <si>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</si>
  <si>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</si>
  <si>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</si>
  <si>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</si>
  <si>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</si>
  <si>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</si>
  <si>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</si>
  <si>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</si>
  <si>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</si>
  <si>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</si>
  <si>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</si>
  <si>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</si>
  <si>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</si>
  <si>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</si>
  <si>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</si>
  <si>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</si>
  <si>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</si>
  <si>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</si>
  <si>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</si>
  <si>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</si>
  <si>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</si>
  <si>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</si>
  <si>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</si>
  <si>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</si>
  <si>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</si>
  <si>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</si>
  <si>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</si>
  <si>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</si>
  <si>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</si>
  <si>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</si>
  <si>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</si>
  <si>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</si>
  <si>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</si>
  <si>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</si>
  <si>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</si>
  <si>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</si>
  <si>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</si>
  <si>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</si>
  <si>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</si>
  <si>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</si>
  <si>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</si>
  <si>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</si>
  <si>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</si>
  <si>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</si>
  <si>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</si>
  <si>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</si>
  <si>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</si>
  <si>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</si>
  <si>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</si>
  <si>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</si>
  <si>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</si>
  <si>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</si>
  <si>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</si>
  <si>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</si>
  <si>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</si>
  <si>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</si>
  <si>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</si>
  <si>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</si>
  <si>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</si>
  <si>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</si>
  <si>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</si>
  <si>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</si>
  <si>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</si>
  <si>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</si>
  <si>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</si>
  <si>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</si>
  <si>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</si>
  <si>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</si>
  <si>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</si>
  <si>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</si>
  <si>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</si>
  <si>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</si>
  <si>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</si>
  <si>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</si>
  <si>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</si>
  <si>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</si>
  <si>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</si>
  <si>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</si>
  <si>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</si>
  <si>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</si>
  <si>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</si>
  <si>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</si>
  <si>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</si>
  <si>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</si>
  <si>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</si>
  <si>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</si>
  <si>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</si>
  <si>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</si>
  <si>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</si>
  <si>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</si>
  <si>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</si>
  <si>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</si>
  <si>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</si>
  <si>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</si>
  <si>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</si>
  <si>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</si>
  <si>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</si>
  <si>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</si>
  <si>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</si>
  <si>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</si>
  <si>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</si>
  <si>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</si>
  <si>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</si>
  <si>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</si>
  <si>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</si>
  <si>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</si>
  <si>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</si>
  <si>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</si>
  <si>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</si>
  <si>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</si>
  <si>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</si>
  <si>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</si>
  <si>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</si>
  <si>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</si>
  <si>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</si>
  <si>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</si>
  <si>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</si>
  <si>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</si>
  <si>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</si>
  <si>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</si>
  <si>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</si>
  <si>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</si>
  <si>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</si>
  <si>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</si>
  <si>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</si>
  <si>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</si>
  <si>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</si>
  <si>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</si>
  <si>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</si>
  <si>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</si>
  <si>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</si>
  <si>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</si>
  <si>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</si>
  <si>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</si>
  <si>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</si>
  <si>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</si>
  <si>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</si>
  <si>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</si>
  <si>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</si>
  <si>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</si>
  <si>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</si>
  <si>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</si>
  <si>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</si>
  <si>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</si>
  <si>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</si>
  <si>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</si>
  <si>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</si>
  <si>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</si>
  <si>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</si>
  <si>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</si>
  <si>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</si>
  <si>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</si>
  <si>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</si>
  <si>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</si>
  <si>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</si>
  <si>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</si>
  <si>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</si>
  <si>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</si>
  <si>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</si>
  <si>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</si>
  <si>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</si>
  <si>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</si>
  <si>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</si>
  <si>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</si>
  <si>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</si>
  <si>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</si>
  <si>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</si>
  <si>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</si>
  <si>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</si>
  <si>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</si>
  <si>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</si>
  <si>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</si>
  <si>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</si>
  <si>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</si>
  <si>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</si>
  <si>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</si>
  <si>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</si>
  <si>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</si>
  <si>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</si>
  <si>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</si>
  <si>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</si>
  <si>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</si>
  <si>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</si>
  <si>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</si>
  <si>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</si>
  <si>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</si>
  <si>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</si>
  <si>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</si>
  <si>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</si>
  <si>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</si>
  <si>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</si>
  <si>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</si>
  <si>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</si>
  <si>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</si>
  <si>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</si>
  <si>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</si>
  <si>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</si>
  <si>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</si>
  <si>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</si>
  <si>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</si>
  <si>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</si>
  <si>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</si>
  <si>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</si>
  <si>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</si>
  <si>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</si>
  <si>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</si>
  <si>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</si>
  <si>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</si>
  <si>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</si>
  <si>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</si>
  <si>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</si>
  <si>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</si>
  <si>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</si>
  <si>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</si>
  <si>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</si>
  <si>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</si>
  <si>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</si>
  <si>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</si>
  <si>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</si>
  <si>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</si>
  <si>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</si>
  <si>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</si>
  <si>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</si>
  <si>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</si>
  <si>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</si>
  <si>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</si>
  <si>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</si>
  <si>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</si>
  <si>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</si>
  <si>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</si>
  <si>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</si>
  <si>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</si>
  <si>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</si>
  <si>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</si>
  <si>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</si>
  <si>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</si>
  <si>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</si>
  <si>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</si>
  <si>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</si>
  <si>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</si>
  <si>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</si>
  <si>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</si>
  <si>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</si>
  <si>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</si>
  <si>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</si>
  <si>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</si>
  <si>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</si>
  <si>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</si>
  <si>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</si>
  <si>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</si>
  <si>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</si>
  <si>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</si>
  <si>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</si>
  <si>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</si>
  <si>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</si>
  <si>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</si>
  <si>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</si>
  <si>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</si>
  <si>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</si>
  <si>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</si>
  <si>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</si>
  <si>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</si>
  <si>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</si>
  <si>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</si>
  <si>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</si>
  <si>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</si>
  <si>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</si>
  <si>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</si>
  <si>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</si>
  <si>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</si>
  <si>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</si>
  <si>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</si>
  <si>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</si>
  <si>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</si>
  <si>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</si>
  <si>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</si>
  <si>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</si>
  <si>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</si>
  <si>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</si>
  <si>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</si>
  <si>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</si>
  <si>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</si>
  <si>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</si>
  <si>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</si>
  <si>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</si>
  <si>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</si>
  <si>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</si>
  <si>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</si>
  <si>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</si>
  <si>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</si>
  <si>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</si>
  <si>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</si>
  <si>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</si>
  <si>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</si>
  <si>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</si>
  <si>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</si>
  <si>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</si>
  <si>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</si>
  <si>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</si>
  <si>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</si>
  <si>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</si>
  <si>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</si>
  <si>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</si>
  <si>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</si>
  <si>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</si>
  <si>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</si>
  <si>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</si>
  <si>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</si>
  <si>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</si>
  <si>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</si>
  <si>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</si>
  <si>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</si>
  <si>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</si>
  <si>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</si>
  <si>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</si>
  <si>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</si>
  <si>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</si>
  <si>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</si>
  <si>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</si>
  <si>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</si>
  <si>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</si>
  <si>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</si>
  <si>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</si>
  <si>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</si>
  <si>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</si>
  <si>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</si>
  <si>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</si>
  <si>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</si>
  <si>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</si>
  <si>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</si>
  <si>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</si>
  <si>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</si>
  <si>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</si>
  <si>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</si>
  <si>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</si>
  <si>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</si>
  <si>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</si>
  <si>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</si>
  <si>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</si>
  <si>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</si>
  <si>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</si>
  <si>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</si>
  <si>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</si>
  <si>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</si>
  <si>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</si>
  <si>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</si>
  <si>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</si>
  <si>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</si>
  <si>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</si>
  <si>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</si>
  <si>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</si>
  <si>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</si>
  <si>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</si>
  <si>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</si>
  <si>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</si>
  <si>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</si>
  <si>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</si>
  <si>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</si>
  <si>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</si>
  <si>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</si>
  <si>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</si>
  <si>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</si>
  <si>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</si>
  <si>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</si>
  <si>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</si>
  <si>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</si>
  <si>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</si>
  <si>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</si>
  <si>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</si>
  <si>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</si>
  <si>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</si>
  <si>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</si>
  <si>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</si>
  <si>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</si>
  <si>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</si>
  <si>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</si>
  <si>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</si>
  <si>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</si>
  <si>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</si>
  <si>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</si>
  <si>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</si>
  <si>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</si>
  <si>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</si>
  <si>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</si>
  <si>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</si>
  <si>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</si>
  <si>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</si>
  <si>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</si>
  <si>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</si>
  <si>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</si>
  <si>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</si>
  <si>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</si>
  <si>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</si>
  <si>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</si>
  <si>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</si>
  <si>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</si>
  <si>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</si>
  <si>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</si>
  <si>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</si>
  <si>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</si>
  <si>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</si>
  <si>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</si>
  <si>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</si>
  <si>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</si>
  <si>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</si>
  <si>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</si>
  <si>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</si>
  <si>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</si>
  <si>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</si>
  <si>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</si>
  <si>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</si>
  <si>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</si>
  <si>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</si>
  <si>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</si>
  <si>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</si>
  <si>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</si>
  <si>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</si>
  <si>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</si>
  <si>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</si>
  <si>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</si>
  <si>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</si>
  <si>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</si>
  <si>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</si>
  <si>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</si>
  <si>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</si>
  <si>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</si>
  <si>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</si>
  <si>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</si>
  <si>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</si>
  <si>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</si>
  <si>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</si>
  <si>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</si>
  <si>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</si>
  <si>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</si>
  <si>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</si>
  <si>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</si>
  <si>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</si>
  <si>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</si>
  <si>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</si>
  <si>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</si>
  <si>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</si>
  <si>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</si>
  <si>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</si>
  <si>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</si>
  <si>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</si>
  <si>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</si>
  <si>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</si>
  <si>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</si>
  <si>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</si>
  <si>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</si>
  <si>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</si>
  <si>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</si>
  <si>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</si>
  <si>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</si>
  <si>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</si>
  <si>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</si>
  <si>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</si>
  <si>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</si>
  <si>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</si>
  <si>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</si>
  <si>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</si>
  <si>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</si>
  <si>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</si>
  <si>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</si>
  <si>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</si>
  <si>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</si>
  <si>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</si>
  <si>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</si>
  <si>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</si>
  <si>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</si>
  <si>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</si>
  <si>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</si>
  <si>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</si>
  <si>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</si>
  <si>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</si>
  <si>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</si>
  <si>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</si>
  <si>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</si>
  <si>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</si>
  <si>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</si>
  <si>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</si>
  <si>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</si>
  <si>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</si>
  <si>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</si>
  <si>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</si>
  <si>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</si>
  <si>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</si>
  <si>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</si>
  <si>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</si>
  <si>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</si>
  <si>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</si>
  <si>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</si>
  <si>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</si>
  <si>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</si>
  <si>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</si>
  <si>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</si>
  <si>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</si>
  <si>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</si>
  <si>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</si>
  <si>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</si>
  <si>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</si>
  <si>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</si>
  <si>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</si>
  <si>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</si>
  <si>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</si>
  <si>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</si>
  <si>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</si>
  <si>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</si>
  <si>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</si>
  <si>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</si>
  <si>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</si>
  <si>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</si>
  <si>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</si>
  <si>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</si>
  <si>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</si>
  <si>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</si>
  <si>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</si>
  <si>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</si>
  <si>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</si>
  <si>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</si>
  <si>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</si>
  <si>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</si>
  <si>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</si>
  <si>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</si>
  <si>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</si>
  <si>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</si>
  <si>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</si>
  <si>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</si>
  <si>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</si>
  <si>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</si>
  <si>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</si>
  <si>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</si>
  <si>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</si>
  <si>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</si>
  <si>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</si>
  <si>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</si>
  <si>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</si>
  <si>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</si>
  <si>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</si>
  <si>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</si>
  <si>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</si>
  <si>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</si>
  <si>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</si>
  <si>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</si>
  <si>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</si>
  <si>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</si>
  <si>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</si>
  <si>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</si>
  <si>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</si>
  <si>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</si>
  <si>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</si>
  <si>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</si>
  <si>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</si>
  <si>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</si>
  <si>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</si>
  <si>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</si>
  <si>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</si>
  <si>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</si>
  <si>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</si>
  <si>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</si>
  <si>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</si>
  <si>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</si>
  <si>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</si>
  <si>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</si>
  <si>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</si>
  <si>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</si>
  <si>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</si>
  <si>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</si>
  <si>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</si>
  <si>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</si>
  <si>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</si>
  <si>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</si>
  <si>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</si>
  <si>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</si>
  <si>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</si>
  <si>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</si>
  <si>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</si>
  <si>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</si>
  <si>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</si>
  <si>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</si>
  <si>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</si>
  <si>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</si>
  <si>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</si>
  <si>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</si>
  <si>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</si>
  <si>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</si>
  <si>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</si>
  <si>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</si>
  <si>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</si>
  <si>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</si>
  <si>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</si>
  <si>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</si>
  <si>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</si>
  <si>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</si>
  <si>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</si>
  <si>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</si>
  <si>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</si>
  <si>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</si>
  <si>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</si>
  <si>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</si>
  <si>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</si>
  <si>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</si>
  <si>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</si>
  <si>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</si>
  <si>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</si>
  <si>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</si>
  <si>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</si>
  <si>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</si>
  <si>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</si>
  <si>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</si>
  <si>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</si>
  <si>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</si>
  <si>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</si>
  <si>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</si>
  <si>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</si>
  <si>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</si>
  <si>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</si>
  <si>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</si>
  <si>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</si>
  <si>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</si>
  <si>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</si>
  <si>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</si>
  <si>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</si>
  <si>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</si>
  <si>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</si>
  <si>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</si>
  <si>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</si>
  <si>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</si>
  <si>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</si>
  <si>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</si>
  <si>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</si>
  <si>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</si>
  <si>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</si>
  <si>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</si>
  <si>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</si>
  <si>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</si>
  <si>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</si>
  <si>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</si>
  <si>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</si>
  <si>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</si>
  <si>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</si>
  <si>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</si>
  <si>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</si>
  <si>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</si>
  <si>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</si>
  <si>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</si>
  <si>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</si>
  <si>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</si>
  <si>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</si>
  <si>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</si>
  <si>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</si>
  <si>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</si>
  <si>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</si>
  <si>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</si>
  <si>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</si>
  <si>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</si>
  <si>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</si>
  <si>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</si>
  <si>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</si>
  <si>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</si>
  <si>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</si>
  <si>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</si>
  <si>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</si>
  <si>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</si>
  <si>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</si>
  <si>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</si>
  <si>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</si>
  <si>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</si>
  <si>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</si>
  <si>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</si>
  <si>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</si>
  <si>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</si>
  <si>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</si>
  <si>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</si>
  <si>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</si>
  <si>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</si>
  <si>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</si>
  <si>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</si>
  <si>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</si>
  <si>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</si>
  <si>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</si>
  <si>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</si>
  <si>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</si>
  <si>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</si>
  <si>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</si>
  <si>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</si>
  <si>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</si>
  <si>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</si>
  <si>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</si>
  <si>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</si>
  <si>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</si>
  <si>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</si>
  <si>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</si>
  <si>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</si>
  <si>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</si>
  <si>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</si>
  <si>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</si>
  <si>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</si>
  <si>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</si>
  <si>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</si>
  <si>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</si>
  <si>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</si>
  <si>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</si>
  <si>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</si>
  <si>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</si>
  <si>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</si>
  <si>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</si>
  <si>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</si>
  <si>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</si>
  <si>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</si>
  <si>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</si>
  <si>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</si>
  <si>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</si>
  <si>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</si>
  <si>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</si>
  <si>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</si>
  <si>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</si>
  <si>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</si>
  <si>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</si>
  <si>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</si>
  <si>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</si>
  <si>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</si>
  <si>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</si>
  <si>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</si>
  <si>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</si>
  <si>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</si>
  <si>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</si>
  <si>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</si>
  <si>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</si>
  <si>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</si>
  <si>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</si>
  <si>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</si>
  <si>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</si>
  <si>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</si>
  <si>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</si>
  <si>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</si>
  <si>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</si>
  <si>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</si>
  <si>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</si>
  <si>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</si>
  <si>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</si>
  <si>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</si>
  <si>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</si>
  <si>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</si>
  <si>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</si>
  <si>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</si>
  <si>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</si>
  <si>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</si>
  <si>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</si>
  <si>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</si>
  <si>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</si>
  <si>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</si>
  <si>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</si>
  <si>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</si>
  <si>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</si>
  <si>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</si>
  <si>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</si>
  <si>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</si>
  <si>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</si>
  <si>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</si>
  <si>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</si>
  <si>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</si>
  <si>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</si>
  <si>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</si>
  <si>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</si>
  <si>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</si>
  <si>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</si>
  <si>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</si>
  <si>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</si>
  <si>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</si>
  <si>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</si>
  <si>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</si>
  <si>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</si>
  <si>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</si>
  <si>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</si>
  <si>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</si>
  <si>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</si>
  <si>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</si>
  <si>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</si>
  <si>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</si>
  <si>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</si>
  <si>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</si>
  <si>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</si>
  <si>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</si>
  <si>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</si>
  <si>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</si>
  <si>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</si>
  <si>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</si>
  <si>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</si>
  <si>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</si>
  <si>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</si>
  <si>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</si>
  <si>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</si>
  <si>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</si>
  <si>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</si>
  <si>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</si>
  <si>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</si>
  <si>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</si>
  <si>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</si>
  <si>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</si>
  <si>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</si>
  <si>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</si>
  <si>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</si>
  <si>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</si>
  <si>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</si>
  <si>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</si>
  <si>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</si>
  <si>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</si>
  <si>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</si>
  <si>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</si>
  <si>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</si>
  <si>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</si>
  <si>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</si>
  <si>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</si>
  <si>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</si>
  <si>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</si>
  <si>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</si>
  <si>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</si>
  <si>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</si>
  <si>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</si>
  <si>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</si>
  <si>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</si>
  <si>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</si>
  <si>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</si>
  <si>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</si>
  <si>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</si>
  <si>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</si>
  <si>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</si>
  <si>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</si>
  <si>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</si>
  <si>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</si>
  <si>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</si>
  <si>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</si>
  <si>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</si>
  <si>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</si>
  <si>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</si>
  <si>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</si>
  <si>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</si>
  <si>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</si>
  <si>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</si>
  <si>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</si>
  <si>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</si>
  <si>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</si>
  <si>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</si>
  <si>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</si>
  <si>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</si>
  <si>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</si>
  <si>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</si>
  <si>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</si>
  <si>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</si>
  <si>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</si>
  <si>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</si>
  <si>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</si>
  <si>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</si>
  <si>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</si>
  <si>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</si>
  <si>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</si>
  <si>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</si>
  <si>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</si>
  <si>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</si>
  <si>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</si>
  <si>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</si>
  <si>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</si>
  <si>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</si>
  <si>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</si>
  <si>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</si>
  <si>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</si>
  <si>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</si>
  <si>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</si>
  <si>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</si>
  <si>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</si>
  <si>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</si>
  <si>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</si>
  <si>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</si>
  <si>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</si>
  <si>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</si>
  <si>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</si>
  <si>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</si>
  <si>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</si>
  <si>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</si>
  <si>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</si>
  <si>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</si>
  <si>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</si>
  <si>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</si>
  <si>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</si>
  <si>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</si>
  <si>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</si>
  <si>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</si>
  <si>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</si>
  <si>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</si>
  <si>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</si>
  <si>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</si>
  <si>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</si>
  <si>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</si>
  <si>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</si>
  <si>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</si>
  <si>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</si>
  <si>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</si>
  <si>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</si>
  <si>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</si>
  <si>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</si>
  <si>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</si>
  <si>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</si>
  <si>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</si>
  <si>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</si>
  <si>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</si>
  <si>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</si>
  <si>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</si>
  <si>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</si>
  <si>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</si>
  <si>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</si>
  <si>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</si>
  <si>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</si>
  <si>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</si>
  <si>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</si>
  <si>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</si>
  <si>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</si>
  <si>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</si>
  <si>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</si>
  <si>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</si>
  <si>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</si>
  <si>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</si>
  <si>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</si>
  <si>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</si>
  <si>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</si>
  <si>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</si>
  <si>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</si>
  <si>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</si>
  <si>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</si>
  <si>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</si>
  <si>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</si>
  <si>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</si>
  <si>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</si>
  <si>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</si>
  <si>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</si>
  <si>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</si>
  <si>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</si>
  <si>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</si>
  <si>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</si>
  <si>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</si>
  <si>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</si>
  <si>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</si>
  <si>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</si>
  <si>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</si>
  <si>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</si>
  <si>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</si>
  <si>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</si>
  <si>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</si>
  <si>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</si>
  <si>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</si>
  <si>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</si>
  <si>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</si>
  <si>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</si>
  <si>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</si>
  <si>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</si>
  <si>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</si>
  <si>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</si>
  <si>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</si>
  <si>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</si>
  <si>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</si>
  <si>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</si>
  <si>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</si>
  <si>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</si>
  <si>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</si>
  <si>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</si>
  <si>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</si>
  <si>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</si>
  <si>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</si>
  <si>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</si>
  <si>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</si>
  <si>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</si>
  <si>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</si>
  <si>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</si>
  <si>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</si>
  <si>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</si>
  <si>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</si>
  <si>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</si>
  <si>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</si>
  <si>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</si>
  <si>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</si>
  <si>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</si>
  <si>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</si>
  <si>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</si>
  <si>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</si>
  <si>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</si>
  <si>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</si>
  <si>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</si>
  <si>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</si>
  <si>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</si>
  <si>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</si>
  <si>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</si>
  <si>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</si>
  <si>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</si>
  <si>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</si>
  <si>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</si>
  <si>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</si>
  <si>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</si>
  <si>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</si>
  <si>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</si>
  <si>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</si>
  <si>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</si>
  <si>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</si>
  <si>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</si>
  <si>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</si>
  <si>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</si>
  <si>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</si>
  <si>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</si>
  <si>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</si>
  <si>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</si>
  <si>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</si>
  <si>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</si>
  <si>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</si>
  <si>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</si>
  <si>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</si>
  <si>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</si>
  <si>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</si>
  <si>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</si>
  <si>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</si>
  <si>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</si>
  <si>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</si>
  <si>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</si>
  <si>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</si>
  <si>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</si>
  <si>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</si>
  <si>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</si>
  <si>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</si>
  <si>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</si>
  <si>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</si>
  <si>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</si>
  <si>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</si>
  <si>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</si>
  <si>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</si>
  <si>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</si>
  <si>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</si>
  <si>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</si>
  <si>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</si>
  <si>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</si>
  <si>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</si>
  <si>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</si>
  <si>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</si>
  <si>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</si>
  <si>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</si>
  <si>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</si>
  <si>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</si>
  <si>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</si>
  <si>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</si>
  <si>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</si>
  <si>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</si>
  <si>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</si>
  <si>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</si>
  <si>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</si>
  <si>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</si>
  <si>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</si>
  <si>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</si>
  <si>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</si>
  <si>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</si>
  <si>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</si>
  <si>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</si>
  <si>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</si>
  <si>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</si>
  <si>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</si>
  <si>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</si>
  <si>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</si>
  <si>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</si>
  <si>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</si>
  <si>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</si>
  <si>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</si>
  <si>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</si>
  <si>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</si>
  <si>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</si>
  <si>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</si>
  <si>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</si>
  <si>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</si>
  <si>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</si>
  <si>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</si>
  <si>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</si>
  <si>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</si>
  <si>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</si>
  <si>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</si>
  <si>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</si>
  <si>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</si>
  <si>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</si>
  <si>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</si>
  <si>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</si>
  <si>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</si>
  <si>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</si>
  <si>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</si>
  <si>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</si>
  <si>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</si>
  <si>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</si>
  <si>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</si>
  <si>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</si>
  <si>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</si>
  <si>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</si>
  <si>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</si>
  <si>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</si>
  <si>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</si>
  <si>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</si>
  <si>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</si>
  <si>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</si>
  <si>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</si>
  <si>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</si>
  <si>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</si>
  <si>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</si>
  <si>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</si>
  <si>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</si>
  <si>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</si>
  <si>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</si>
  <si>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</si>
  <si>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</si>
  <si>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</si>
  <si>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</si>
  <si>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</si>
  <si>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</si>
  <si>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</si>
  <si>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</si>
  <si>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</si>
  <si>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</si>
  <si>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</si>
  <si>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</si>
  <si>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</si>
  <si>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</si>
  <si>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</si>
  <si>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</si>
  <si>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</si>
  <si>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</si>
  <si>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</si>
  <si>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</si>
  <si>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</si>
  <si>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</si>
  <si>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</si>
  <si>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</si>
  <si>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</si>
  <si>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</si>
  <si>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</si>
  <si>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</si>
  <si>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</si>
  <si>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</si>
  <si>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</si>
  <si>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</si>
  <si>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</si>
  <si>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</si>
  <si>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</si>
  <si>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</si>
  <si>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</si>
  <si>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</si>
  <si>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</si>
  <si>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</si>
  <si>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</si>
  <si>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</si>
  <si>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</si>
  <si>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</si>
  <si>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</si>
  <si>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</si>
  <si>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</si>
  <si>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</si>
  <si>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</si>
  <si>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</si>
  <si>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</si>
  <si>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</si>
  <si>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</si>
  <si>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</si>
  <si>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</si>
  <si>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</si>
  <si>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</si>
  <si>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</si>
  <si>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</si>
  <si>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</si>
  <si>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</si>
  <si>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</si>
  <si>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</si>
  <si>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</si>
  <si>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</si>
  <si>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</si>
  <si>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</si>
  <si>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</si>
  <si>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</si>
  <si>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</si>
  <si>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</si>
  <si>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</si>
  <si>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</si>
  <si>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</si>
  <si>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</si>
  <si>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</si>
  <si>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</si>
  <si>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</si>
  <si>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</si>
  <si>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</si>
  <si>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</si>
  <si>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</si>
  <si>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</si>
  <si>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</si>
  <si>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</si>
  <si>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</si>
  <si>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</si>
  <si>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</si>
  <si>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</si>
  <si>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</si>
  <si>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</si>
  <si>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</si>
  <si>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</si>
  <si>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</si>
  <si>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</si>
  <si>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</si>
  <si>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</si>
  <si>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</si>
  <si>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</si>
  <si>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</si>
  <si>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</si>
  <si>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</si>
  <si>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</si>
  <si>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</si>
  <si>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</si>
  <si>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</si>
  <si>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</si>
  <si>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</si>
  <si>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</si>
  <si>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</si>
  <si>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</si>
  <si>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</si>
  <si>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</si>
  <si>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</si>
  <si>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</si>
  <si>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</si>
  <si>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</si>
  <si>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</si>
  <si>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</si>
  <si>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</si>
  <si>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</si>
  <si>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</si>
  <si>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</si>
  <si>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</si>
  <si>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</si>
  <si>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</si>
  <si>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</si>
  <si>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</si>
  <si>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</si>
  <si>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</si>
  <si>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</si>
  <si>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</si>
  <si>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</si>
  <si>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</si>
  <si>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</si>
  <si>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</si>
  <si>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</si>
  <si>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</si>
  <si>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</si>
  <si>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</si>
  <si>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</si>
  <si>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</si>
  <si>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</si>
  <si>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</si>
  <si>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</si>
  <si>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</si>
  <si>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</si>
  <si>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</si>
  <si>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</si>
  <si>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</si>
  <si>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</si>
  <si>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</si>
  <si>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</si>
  <si>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</si>
  <si>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</si>
  <si>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</si>
  <si>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</si>
  <si>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</si>
  <si>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</si>
  <si>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</si>
  <si>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</si>
  <si>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</si>
  <si>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</si>
  <si>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</si>
  <si>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</si>
  <si>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</si>
  <si>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</si>
  <si>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</si>
  <si>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</si>
  <si>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</si>
  <si>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</si>
  <si>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</si>
  <si>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</si>
  <si>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</si>
  <si>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</si>
  <si>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</si>
  <si>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</si>
  <si>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</si>
  <si>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</si>
  <si>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</si>
  <si>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</si>
  <si>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</si>
  <si>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</si>
  <si>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</si>
  <si>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</si>
  <si>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</si>
  <si>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</si>
  <si>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</si>
  <si>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</si>
  <si>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</si>
  <si>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</si>
  <si>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</si>
  <si>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</si>
  <si>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</si>
  <si>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</si>
  <si>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</si>
  <si>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</si>
  <si>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</si>
  <si>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</si>
  <si>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</si>
  <si>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</si>
  <si>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</si>
  <si>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</si>
  <si>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</si>
  <si>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</si>
  <si>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</si>
  <si>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</si>
  <si>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</si>
  <si>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</si>
  <si>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</si>
  <si>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</si>
  <si>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</si>
  <si>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</si>
  <si>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</si>
  <si>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</si>
  <si>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</si>
  <si>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</si>
  <si>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</si>
  <si>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</si>
  <si>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</si>
  <si>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</si>
  <si>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</si>
  <si>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</si>
  <si>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</si>
  <si>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</si>
  <si>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</si>
  <si>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</si>
  <si>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</si>
  <si>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</si>
  <si>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</si>
  <si>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</si>
  <si>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</si>
  <si>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</si>
  <si>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</si>
  <si>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</si>
  <si>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</si>
  <si>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</si>
  <si>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</si>
  <si>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</si>
  <si>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</si>
  <si>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</si>
  <si>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</si>
  <si>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</si>
  <si>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</si>
  <si>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</si>
  <si>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</si>
  <si>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</si>
  <si>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</si>
  <si>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</si>
  <si>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</si>
  <si>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</si>
  <si>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</si>
  <si>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</si>
  <si>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</si>
  <si>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</si>
  <si>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</si>
  <si>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</si>
  <si>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</si>
  <si>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</si>
  <si>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</si>
  <si>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</si>
  <si>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</si>
  <si>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</si>
  <si>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</si>
  <si>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</si>
  <si>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</si>
  <si>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</si>
  <si>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</si>
  <si>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</si>
  <si>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</si>
  <si>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</si>
  <si>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</si>
  <si>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</si>
  <si>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</si>
  <si>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</si>
  <si>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</si>
  <si>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</si>
  <si>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</si>
  <si>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</si>
  <si>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</si>
  <si>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</si>
  <si>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</si>
  <si>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</si>
  <si>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</si>
  <si>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</si>
  <si>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</si>
  <si>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</si>
  <si>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</si>
  <si>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</si>
  <si>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</si>
  <si>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</si>
  <si>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</si>
  <si>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</si>
  <si>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</si>
  <si>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</si>
  <si>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</si>
  <si>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</si>
  <si>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</si>
  <si>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</si>
  <si>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</si>
  <si>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</si>
  <si>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</si>
  <si>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</si>
  <si>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</si>
  <si>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</si>
  <si>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</si>
  <si>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</si>
  <si>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</si>
  <si>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</si>
  <si>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</si>
  <si>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</si>
  <si>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</si>
  <si>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</si>
  <si>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</si>
  <si>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</si>
  <si>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</si>
  <si>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</si>
  <si>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</si>
  <si>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</si>
  <si>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</si>
  <si>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</si>
  <si>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</si>
  <si>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</si>
  <si>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</si>
  <si>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</si>
  <si>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</si>
  <si>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</si>
  <si>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</si>
  <si>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</si>
  <si>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</si>
  <si>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</si>
  <si>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</si>
  <si>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</si>
  <si>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</si>
  <si>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</si>
  <si>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</si>
  <si>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</si>
  <si>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</si>
  <si>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</si>
  <si>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</si>
  <si>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</si>
  <si>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</si>
  <si>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</si>
  <si>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</si>
  <si>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</si>
  <si>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</si>
  <si>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</si>
  <si>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</si>
  <si>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</si>
  <si>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</si>
  <si>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</si>
  <si>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</si>
  <si>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</si>
  <si>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</si>
  <si>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</si>
  <si>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</si>
  <si>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</si>
  <si>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</si>
  <si>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</si>
  <si>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</si>
  <si>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</si>
  <si>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</si>
  <si>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</si>
  <si>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</si>
  <si>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</si>
  <si>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</si>
  <si>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</si>
  <si>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</si>
  <si>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</si>
  <si>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</si>
  <si>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</si>
  <si>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</si>
  <si>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</si>
  <si>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</si>
  <si>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</si>
  <si>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</si>
  <si>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</si>
  <si>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</si>
  <si>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</si>
  <si>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</si>
  <si>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</si>
  <si>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PF-06928316</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</si>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</sst>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6">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106</xdr:col>
      <xdr:colOff>28575</xdr:colOff>
      <xdr:row>0</xdr:row>
      <xdr:rowOff>0</xdr:rowOff>
    </xdr:from>
    <xdr:to>
      <xdr:col>106</xdr:col>
      <xdr:colOff>28575</xdr:colOff>
      <xdr:row>196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0077523" y="0"/>
          <a:ext cx="0" cy="31742884"/>
        </a:xfrm>
        <a:prstGeom prst="line">
          <a:avLst/>
        </a:prstGeom>
        <a:noFill/>
        <a:ln w="9525">
          <a:solidFill>
            <a:srgbClr val="000000"/>
          </a:solidFill>
          <a:round/>
          <a:headEnd/>
          <a:tailEnd/>
        </a:ln>
      </xdr:spPr>
      <xdr:txBody>
        <a:bodyPr/>
        <a:lstStyle/>
        <a:p>
          <a:r>
            <a:rPr lang="en-US"/>
            <a:t>O</a:t>
          </a:r>
        </a:p>
      </xdr:txBody>
    </xdr:sp>
    <xdr:clientData/>
  </xdr:twoCellAnchor>
  <xdr:twoCellAnchor>
    <xdr:from>
      <xdr:col>145</xdr:col>
      <xdr:colOff>35144</xdr:colOff>
      <xdr:row>0</xdr:row>
      <xdr:rowOff>26276</xdr:rowOff>
    </xdr:from>
    <xdr:to>
      <xdr:col>145</xdr:col>
      <xdr:colOff>35144</xdr:colOff>
      <xdr:row>196</xdr:row>
      <xdr:rowOff>73901</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8779368" y="26276"/>
          <a:ext cx="0" cy="3207133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1212.6845980000001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3"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O3" dT="2022-07-28T12:13:26.35" personId="{8BD8153B-0117-43D0-8A87-E841916A0FE6}" id="{84619DFB-4711-4734-8BDB-59429D2A9D19}">
    <text>Q222: guidance 32B
Q122: guidance 32B
Q421: raised guidance to 32B</text>
  </threadedComment>
  <threadedComment ref="EO6" dT="2022-07-28T12:13:47.69" personId="{8BD8153B-0117-43D0-8A87-E841916A0FE6}" id="{45AEFC7D-A021-47F4-9CEF-2FBFFFE1803C}">
    <text>Q222 guidance: 22B
Q122 guidance: 22B
Q421: provides 22B guidance for 2022</text>
  </threadedComment>
  <threadedComment ref="CW40" dT="2022-11-01T15:49:31.29" personId="{8BD8153B-0117-43D0-8A87-E841916A0FE6}" id="{92701E07-5169-41B3-B74F-F4AFE676C3F6}">
    <text>45</text>
  </threadedComment>
  <threadedComment ref="CN94" dT="2022-10-31T06:57:39.90" personId="{8BD8153B-0117-43D0-8A87-E841916A0FE6}" id="{8C26E110-6481-4D73-BF8E-53E4485CB950}">
    <text>587m Upjohn, 544m IM</text>
  </threadedComment>
  <threadedComment ref="CR94" dT="2022-10-31T06:57:19.62" personId="{8BD8153B-0117-43D0-8A87-E841916A0FE6}" id="{F114C7E8-BDF8-4C17-9587-85359FA5F189}">
    <text>476 Upjohn, 498 IM</text>
  </threadedComment>
  <threadedComment ref="CL103" dT="2023-01-31T06:01:10.03" personId="{8BD8153B-0117-43D0-8A87-E841916A0FE6}" id="{625364AC-DBD4-4C9B-A808-FD7855062013}">
    <text>13976m reported in Q419</text>
  </threadedComment>
  <threadedComment ref="CM103" dT="2023-01-31T05:48:23.25" personId="{8BD8153B-0117-43D0-8A87-E841916A0FE6}" id="{381C40E4-2BA2-4890-8F4C-5FB1390BA157}">
    <text>13118 reported in Q120</text>
  </threadedComment>
  <threadedComment ref="CN103" dT="2023-01-31T05:29:33.52" personId="{8BD8153B-0117-43D0-8A87-E841916A0FE6}" id="{D95F06EC-887E-48F9-A281-9FF35471D707}">
    <text>13624m reported in Q220</text>
  </threadedComment>
  <threadedComment ref="CP103" dT="2023-01-31T06:00:55.43" personId="{8BD8153B-0117-43D0-8A87-E841916A0FE6}" id="{3B9681AC-1CA5-48AA-AE92-0C898D9A6BBD}">
    <text>12688 reported Q419</text>
  </threadedComment>
  <threadedComment ref="CQ103" dT="2023-01-31T05:48:31.34" personId="{8BD8153B-0117-43D0-8A87-E841916A0FE6}" id="{0A40F869-B59E-4E7D-9978-4ACEFA94CC99}">
    <text>12028 reported in Q120</text>
  </threadedComment>
  <threadedComment ref="CT103" dT="2022-11-01T06:38:38.96" personId="{8BD8153B-0117-43D0-8A87-E841916A0FE6}" id="{2E73EF3E-B155-4CB0-B1B8-64827B17AE45}">
    <text>11634 actual</text>
  </threadedComment>
  <threadedComment ref="CU103" dT="2022-10-31T16:50:55.91" personId="{8BD8153B-0117-43D0-8A87-E841916A0FE6}" id="{5B977ABB-05DC-46E5-A0DD-1422ADEB185D}">
    <text>14,516m actual</text>
  </threadedComment>
  <threadedComment ref="CV103" dT="2022-10-31T16:18:04.19" personId="{8BD8153B-0117-43D0-8A87-E841916A0FE6}" id="{04F6E407-DF3F-4005-BE84-D6EDBFAFD027}">
    <text>18,899 actual</text>
  </threadedComment>
  <threadedComment ref="CW103" dT="2023-01-31T03:38:14.59" personId="{8BD8153B-0117-43D0-8A87-E841916A0FE6}" id="{5FB45385-89C7-4BE5-ADD1-E22B80F29A50}">
    <text>24035 reported</text>
  </threadedComment>
  <threadedComment ref="CX103" dT="2022-11-01T06:38:28.36" personId="{8BD8153B-0117-43D0-8A87-E841916A0FE6}" id="{9EF3741A-AD26-4402-9213-20DBFB37A1FD}">
    <text>23838 actual</text>
  </threadedComment>
  <threadedComment ref="CZ103" dT="2022-09-10T08:32:54.04" personId="{8BD8153B-0117-43D0-8A87-E841916A0FE6}" id="{ADD4F94A-0E76-4AB0-909B-364AC463E9C6}">
    <text>27742 actual</text>
  </threadedComment>
  <threadedComment ref="EN103" dT="2022-11-01T06:22:58.56" personId="{8BD8153B-0117-43D0-8A87-E841916A0FE6}" id="{683B9782-E7EA-4C42-9B71-E1DDCE9C7C9C}">
    <text>81288 actual</text>
  </threadedComment>
  <threadedComment ref="EO103" dT="2022-07-28T12:12:42.48" personId="{8BD8153B-0117-43D0-8A87-E841916A0FE6}" id="{20FF6B80-522A-44AC-BB2D-CF6072448AA8}">
    <text>Q222: reaffirms guidance 98-102B (+2B operationally due to FX)
Q122: reaffirms guidance 98-120B
Q421: initiates 98-102B guidance</text>
  </threadedComment>
  <threadedComment ref="EP103" dT="2023-01-31T15:23:38.91" personId="{8BD8153B-0117-43D0-8A87-E841916A0FE6}" id="{AF36EEB3-AD93-43FB-8166-0D23195CDA8B}">
    <text>67-71B 2023 guidance given Q422</text>
  </threadedComment>
  <threadedComment ref="EW103" dT="2023-01-31T15:08:31.46" personId="{8BD8153B-0117-43D0-8A87-E841916A0FE6}" id="{969812BA-06E1-416F-B0AC-89AE4AAFFFF7}">
    <text>84B guidance</text>
  </threadedComment>
  <threadedComment ref="EO106" dT="2022-09-10T09:59:07.41" personId="{8BD8153B-0117-43D0-8A87-E841916A0FE6}" id="{822253A5-163B-40A6-9913-D31DD8980881}">
    <text>Q222 guidance: 12.2-13.2B
Q122 guidance: 12.5-13.5B
Q421 guidance: 12.5-13.5B</text>
  </threadedComment>
  <threadedComment ref="EP106" dT="2023-01-31T15:26:26.00" personId="{8BD8153B-0117-43D0-8A87-E841916A0FE6}" id="{9F40A5AC-9928-48A5-9E23-B4A80250E7FF}">
    <text>13.8-14.8 guidance given in Q422</text>
  </threadedComment>
  <threadedComment ref="CU107" dT="2022-11-01T05:52:07.99" personId="{8BD8153B-0117-43D0-8A87-E841916A0FE6}" id="{46AB17C8-C512-4F83-8DD5-5EAEF0B5D575}">
    <text>1994m actual</text>
  </threadedComment>
  <threadedComment ref="CY107" dT="2022-11-01T05:52:00.93" personId="{8BD8153B-0117-43D0-8A87-E841916A0FE6}" id="{93230A79-7458-4246-8AC9-E1155292A69B}">
    <text>2301m actual</text>
  </threadedComment>
  <threadedComment ref="EO107" dT="2022-09-10T09:59:17.41" personId="{8BD8153B-0117-43D0-8A87-E841916A0FE6}" id="{38FB92C4-0C09-430D-BE45-40E02FCCBC59}">
    <text>Q2 guidance: 11.5-12.0B
Q1 guidance: 11.0-12.0B from 10.5-11.5B
Q421 guidance: 10.5-11.5B for 2022</text>
  </threadedComment>
  <threadedComment ref="EP107" dT="2023-01-31T15:26:35.71" personId="{8BD8153B-0117-43D0-8A87-E841916A0FE6}" id="{7018CE06-4564-4CAD-88ED-A0333810FE65}">
    <text>12.4-13.4B guidance given in Q422</text>
  </threadedComment>
  <threadedComment ref="CW108" dT="2023-01-31T05:19:08.72" personId="{8BD8153B-0117-43D0-8A87-E841916A0FE6}" id="{67784DD6-0C5D-42FA-B372-2E2835E5D2EE}">
    <text>10172 adjNI</text>
  </threadedComment>
  <threadedComment ref="CU109" dT="2022-11-01T05:49:42.76" personId="{8BD8153B-0117-43D0-8A87-E841916A0FE6}" id="{4CCFFF11-76ED-4A92-B203-F80F8F84CD8F}">
    <text>336m net interest expense
176m royalty income
62m consumer JV income</text>
  </threadedComment>
  <threadedComment ref="CV109" dT="2022-10-31T16:32:22.41" personId="{8BD8153B-0117-43D0-8A87-E841916A0FE6}" id="{4B315500-6997-4A05-A1D1-EDD2C3592B09}">
    <text>GAAP: +1343
Interest: -303
Royalty +212
Consumer +140
Co NG suggestion: +576m</text>
  </threadedComment>
  <threadedComment ref="EO109" dT="2022-09-10T10:00:13.15" personId="{8BD8153B-0117-43D0-8A87-E841916A0FE6}" id="{4720E812-008D-402E-B4B6-D6BD80C8F06D}">
    <text>Q222 guidance: 1.9B</text>
  </threadedComment>
  <threadedComment ref="EP113" dT="2023-01-31T15:26:48.00" personId="{8BD8153B-0117-43D0-8A87-E841916A0FE6}" id="{C71154CD-B193-48F5-98B8-CBB12861830C}">
    <text>15% tax rate</text>
  </threadedComment>
  <threadedComment ref="CL114" dT="2023-01-31T06:02:53.45" personId="{8BD8153B-0117-43D0-8A87-E841916A0FE6}" id="{C8AA044E-FA5E-4CC5-8D6A-64602A7EBFF5}">
    <text>3760m adj NI reported Q419</text>
  </threadedComment>
  <threadedComment ref="CM114" dT="2023-01-31T05:50:46.24" personId="{8BD8153B-0117-43D0-8A87-E841916A0FE6}" id="{02C69F6A-87D0-4343-A820-E516E23F0AA9}">
    <text>4891 adj NI reported in Q120</text>
  </threadedComment>
  <threadedComment ref="CP114" dT="2023-01-31T06:03:00.84" personId="{8BD8153B-0117-43D0-8A87-E841916A0FE6}" id="{6BC32560-7662-4B3C-8E98-0AA8576B4B3D}">
    <text>3108 adj NI</text>
  </threadedComment>
  <threadedComment ref="CQ114" dT="2023-01-31T05:49:54.66" personId="{8BD8153B-0117-43D0-8A87-E841916A0FE6}" id="{8E0BD8B7-C3CF-4B39-90AB-693BF63011AF}">
    <text>4514 adj NI</text>
  </threadedComment>
  <threadedComment ref="CT114" dT="2022-11-01T06:39:34.26" personId="{8BD8153B-0117-43D0-8A87-E841916A0FE6}" id="{6B079B41-3EE7-4D38-B0F0-E4FA7F0A7D53}">
    <text>2434 actual adj NI</text>
  </threadedComment>
  <threadedComment ref="CU114" dT="2022-10-31T16:51:17.69" personId="{8BD8153B-0117-43D0-8A87-E841916A0FE6}" id="{2FB486A7-B6E4-40F0-A4B2-CC7F5B3BC176}">
    <text>Adj NI 5351</text>
  </threadedComment>
  <threadedComment ref="CV114" dT="2022-09-10T09:52:01.14" personId="{8BD8153B-0117-43D0-8A87-E841916A0FE6}" id="{02FB5D7C-5EC6-47C8-9D46-15A2174DAF41}">
    <text>6023 adj NI</text>
  </threadedComment>
  <threadedComment ref="CW114" dT="2023-01-31T05:18:16.93" personId="{8BD8153B-0117-43D0-8A87-E841916A0FE6}" id="{500ED52D-07B6-4964-A0B2-D1384FE70B9D}">
    <text>adjNI 7279</text>
  </threadedComment>
  <threadedComment ref="CX114" dT="2022-11-01T06:39:26.50" personId="{8BD8153B-0117-43D0-8A87-E841916A0FE6}" id="{9DFCE4AC-161F-43AA-A5AB-C8983ABAFBA3}">
    <text>6239 actual adj NI</text>
  </threadedComment>
  <threadedComment ref="CY114" dT="2022-10-31T16:51:11.02" personId="{8BD8153B-0117-43D0-8A87-E841916A0FE6}" id="{6DFAC4C1-483E-4590-8089-9E06BB38D01F}">
    <text>Adj NI 9338</text>
  </threadedComment>
  <threadedComment ref="CZ114" dT="2022-09-10T09:52:06.16" personId="{8BD8153B-0117-43D0-8A87-E841916A0FE6}" id="{5A7E375B-6B0C-465E-8DCE-F0D8D2D9FB85}">
    <text>11656 adj NI</text>
  </threadedComment>
  <threadedComment ref="DA114" dT="2023-01-31T05:19:53.90" personId="{8BD8153B-0117-43D0-8A87-E841916A0FE6}" id="{7E12C946-D1C8-4A58-9389-97116F73151B}">
    <text>10172 adj NI</text>
  </threadedComment>
  <threadedComment ref="DB114" dT="2023-01-31T14:50:54.82" personId="{8BD8153B-0117-43D0-8A87-E841916A0FE6}" id="{736AD51E-31A5-45A4-9277-9389BB8FD1C6}">
    <text>6551 adj NI</text>
  </threadedComment>
  <threadedComment ref="EM114" dT="2022-11-01T06:40:22.31" personId="{8BD8153B-0117-43D0-8A87-E841916A0FE6}" id="{F1A75182-2AD9-4C39-A2E8-2FB6BD2B738D}">
    <text>12727 actual adj NI</text>
  </threadedComment>
  <threadedComment ref="EN114" dT="2022-11-01T06:40:11.49" personId="{8BD8153B-0117-43D0-8A87-E841916A0FE6}" id="{1A06BA9C-FB50-4468-A663-D7931EBDA294}">
    <text>25236 actual adj NI</text>
  </threadedComment>
  <threadedComment ref="CT115" dT="2022-11-01T06:39:45.39" personId="{8BD8153B-0117-43D0-8A87-E841916A0FE6}" id="{2F9D2393-8AEA-4796-A6DA-5AFFCA0EF366}">
    <text>0.43 actual adj EPS</text>
  </threadedComment>
  <threadedComment ref="CV115" dT="2022-09-10T09:51:50.56" personId="{8BD8153B-0117-43D0-8A87-E841916A0FE6}" id="{658EE746-4F28-4C60-B8C3-3A30A6E66FA3}">
    <text>1.06 adj EPS</text>
  </threadedComment>
  <threadedComment ref="CX115" dT="2022-11-01T06:19:42.77" personId="{8BD8153B-0117-43D0-8A87-E841916A0FE6}" id="{8F79B299-B54A-4806-8985-467AD571F338}">
    <text>1.08 adj EPS</text>
  </threadedComment>
  <threadedComment ref="CY115" dT="2022-10-31T16:43:53.53" personId="{8BD8153B-0117-43D0-8A87-E841916A0FE6}" id="{B24CBC24-6DCB-4417-9096-2FB81F15C1A3}">
    <text>Adj EPS 1.62</text>
  </threadedComment>
  <threadedComment ref="CZ115" dT="2022-09-10T08:34:04.98" personId="{8BD8153B-0117-43D0-8A87-E841916A0FE6}" id="{7CB0AF66-05C0-4684-A6E1-72A5FC4846D9}">
    <text>Adj EPS 2.04</text>
  </threadedComment>
  <threadedComment ref="EM115" dT="2022-11-01T06:40:52.96" personId="{8BD8153B-0117-43D0-8A87-E841916A0FE6}" id="{B148E439-FDE1-4124-8004-0292797A56CD}">
    <text>Actual adj 2.26 EPS</text>
  </threadedComment>
  <threadedComment ref="EN115" dT="2022-09-10T09:56:42.39" personId="{8BD8153B-0117-43D0-8A87-E841916A0FE6}" id="{05DE658F-B4BD-4BDE-A3A5-1A693980BEA7}">
    <text>Q222: adjusted to 4.06
FY21 reported adj EPS 4.42</text>
  </threadedComment>
  <threadedComment ref="EO115" dT="2022-09-10T08:57:45.57" personId="{8BD8153B-0117-43D0-8A87-E841916A0FE6}" id="{D39B9572-0A26-460A-B42B-E9D8BFEDA417}">
    <text>Q222: raised EPS guidance to 6.30-6.45 (+0.24 operationally) from 6.25-6.45
Q122: 6.25-6.45 reflecting 0.11 IPR&amp;D from 6.35-6.55
Q421: 6.35-6.55 for 2022</text>
  </threadedComment>
  <threadedComment ref="EO116" dT="2022-09-10T09:58:16.72" personId="{8BD8153B-0117-43D0-8A87-E841916A0FE6}" id="{55A6C5B1-AEE7-4F4D-9994-CF51133E5C48}">
    <text>Q222: 5750m guidance
Q122: 5750m guidance</text>
  </threadedComment>
  <threadedComment ref="EO118" dT="2022-09-10T09:58:41.52" personId="{8BD8153B-0117-43D0-8A87-E841916A0FE6}" id="{7CF40854-9B4F-46C3-A4C7-AF8958B1AEBE}">
    <text>Q222 guidance: 66-68%
Q122 guidance: 66-68% from 65.8%-67.8%
Q421: 65.8%-67.8%</text>
  </threadedComment>
  <threadedComment ref="EP118" dT="2023-01-31T15:26:01.73" personId="{8BD8153B-0117-43D0-8A87-E841916A0FE6}" id="{AF75AD33-DCB9-440E-A0F0-2EE7BB39C3AF}">
    <text>70-72% guidance given Q422</text>
  </threadedComment>
  <threadedComment ref="EO122" dT="2022-11-01T08:02:19.34" personId="{8BD8153B-0117-43D0-8A87-E841916A0FE6}" id="{8F724064-5364-484A-8426-B15ACC4FE5C0}">
    <text>16% tax rate adj NI</text>
  </threadedComment>
  <threadedComment ref="CZ128" dT="2022-09-10T10:04:21.47" personId="{8BD8153B-0117-43D0-8A87-E841916A0FE6}" id="{C627D00D-EDA3-4474-A055-13323D4F203C}">
    <text>+1% excluding COVID</text>
  </threadedComment>
  <threadedComment ref="EN128" dT="2022-11-01T06:17:14.94" personId="{8BD8153B-0117-43D0-8A87-E841916A0FE6}" id="{C587F16D-80B0-468A-95C1-4CD8861AEDCB}">
    <text>6% excluding COVID</text>
  </threadedComment>
  <threadedComment ref="CY177" dT="2023-01-31T04:19:21.84" personId="{8BD8153B-0117-43D0-8A87-E841916A0FE6}" id="{1F116209-3EE9-4C63-87AE-EE843ECBE2D6}">
    <text>6.2B for Arena</text>
  </threadedComment>
  <threadedComment ref="CZ17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1564</v>
      </c>
    </row>
    <row r="4" spans="1:3">
      <c r="B4" s="102" t="s">
        <v>885</v>
      </c>
      <c r="C4" s="102" t="s">
        <v>1565</v>
      </c>
    </row>
    <row r="5" spans="1:3">
      <c r="B5" s="102" t="s">
        <v>933</v>
      </c>
    </row>
    <row r="6" spans="1:3">
      <c r="C6" s="38" t="s">
        <v>1566</v>
      </c>
    </row>
    <row r="8" spans="1:3">
      <c r="C8" s="38" t="s">
        <v>1567</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election activeCell="C55" sqref="C55"/>
    </sheetView>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1353</v>
      </c>
      <c r="C3" s="150" t="s">
        <v>1402</v>
      </c>
      <c r="D3" s="150" t="s">
        <v>1403</v>
      </c>
      <c r="E3" s="151" t="s">
        <v>1404</v>
      </c>
      <c r="F3" s="148"/>
      <c r="G3" s="150" t="s">
        <v>305</v>
      </c>
      <c r="H3" s="189" t="s">
        <v>1405</v>
      </c>
      <c r="J3" t="s">
        <v>299</v>
      </c>
      <c r="K3" s="57">
        <v>5718</v>
      </c>
      <c r="L3" s="135" t="s">
        <v>1351</v>
      </c>
    </row>
    <row r="4" spans="1:13">
      <c r="B4" s="192" t="s">
        <v>1424</v>
      </c>
      <c r="C4" s="150" t="s">
        <v>402</v>
      </c>
      <c r="D4" s="150" t="s">
        <v>403</v>
      </c>
      <c r="E4" s="151">
        <v>1</v>
      </c>
      <c r="F4" s="150"/>
      <c r="G4" s="150" t="s">
        <v>141</v>
      </c>
      <c r="H4" s="153"/>
      <c r="J4" t="s">
        <v>306</v>
      </c>
      <c r="K4" s="57">
        <f>K3*K2</f>
        <v>272920.13999999996</v>
      </c>
    </row>
    <row r="5" spans="1:13">
      <c r="B5" s="146" t="s">
        <v>322</v>
      </c>
      <c r="C5" s="150" t="s">
        <v>323</v>
      </c>
      <c r="D5" s="150" t="s">
        <v>324</v>
      </c>
      <c r="E5" s="151" t="s">
        <v>325</v>
      </c>
      <c r="F5" s="148">
        <v>36573</v>
      </c>
      <c r="G5" s="150" t="s">
        <v>326</v>
      </c>
      <c r="H5" s="153" t="s">
        <v>324</v>
      </c>
      <c r="J5" t="s">
        <v>310</v>
      </c>
      <c r="K5" s="57">
        <v>50011</v>
      </c>
      <c r="L5" s="135" t="s">
        <v>1351</v>
      </c>
      <c r="M5" s="149"/>
    </row>
    <row r="6" spans="1:13">
      <c r="B6" s="146" t="s">
        <v>327</v>
      </c>
      <c r="C6" s="150" t="s">
        <v>323</v>
      </c>
      <c r="D6" s="150" t="s">
        <v>324</v>
      </c>
      <c r="E6" s="147">
        <v>1</v>
      </c>
      <c r="F6" s="148">
        <v>40233</v>
      </c>
      <c r="G6" s="150" t="s">
        <v>326</v>
      </c>
      <c r="H6" s="153" t="s">
        <v>324</v>
      </c>
      <c r="J6" t="s">
        <v>314</v>
      </c>
      <c r="K6" s="57">
        <v>36669</v>
      </c>
      <c r="L6" s="135" t="s">
        <v>1351</v>
      </c>
    </row>
    <row r="7" spans="1:13">
      <c r="B7" s="192" t="s">
        <v>1427</v>
      </c>
      <c r="C7" s="150" t="s">
        <v>1402</v>
      </c>
      <c r="D7" s="150" t="s">
        <v>1411</v>
      </c>
      <c r="E7" s="147">
        <v>1</v>
      </c>
      <c r="F7" s="152"/>
      <c r="G7" s="150" t="s">
        <v>141</v>
      </c>
      <c r="H7" s="153"/>
      <c r="J7" t="s">
        <v>318</v>
      </c>
      <c r="K7" s="57">
        <f>K4-K5+K6</f>
        <v>259578.13999999996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1571</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1568</v>
      </c>
    </row>
    <row r="31" spans="2:10" s="118" customFormat="1">
      <c r="B31" s="156" t="s">
        <v>1437</v>
      </c>
      <c r="C31" s="150" t="s">
        <v>151</v>
      </c>
      <c r="D31" s="150" t="s">
        <v>508</v>
      </c>
      <c r="E31" s="151">
        <v>1</v>
      </c>
      <c r="F31" s="150"/>
      <c r="G31" s="150"/>
      <c r="H31" s="153"/>
      <c r="J31" s="102" t="s">
        <v>1570</v>
      </c>
    </row>
    <row r="32" spans="2:10">
      <c r="B32" s="156" t="s">
        <v>378</v>
      </c>
      <c r="C32" s="150" t="s">
        <v>379</v>
      </c>
      <c r="D32" s="150" t="s">
        <v>380</v>
      </c>
      <c r="E32" s="151">
        <v>1</v>
      </c>
      <c r="F32" s="1">
        <v>1984</v>
      </c>
      <c r="G32" s="150" t="s">
        <v>141</v>
      </c>
      <c r="H32" s="153" t="s">
        <v>216</v>
      </c>
      <c r="J32" s="102" t="s">
        <v>1417</v>
      </c>
    </row>
    <row r="33" spans="2:10">
      <c r="B33" s="156" t="s">
        <v>1603</v>
      </c>
      <c r="C33" s="150" t="s">
        <v>1604</v>
      </c>
      <c r="D33" s="150" t="s">
        <v>1285</v>
      </c>
      <c r="E33" s="151">
        <v>1</v>
      </c>
      <c r="F33" s="1"/>
      <c r="G33" s="150"/>
      <c r="H33" s="153"/>
      <c r="J33" s="102"/>
    </row>
    <row r="34" spans="2:10" s="118" customFormat="1">
      <c r="B34" s="156" t="s">
        <v>1590</v>
      </c>
      <c r="C34" s="150"/>
      <c r="D34" s="150"/>
      <c r="E34" s="151">
        <v>1</v>
      </c>
      <c r="F34" s="148">
        <v>37270</v>
      </c>
      <c r="G34" s="150" t="s">
        <v>141</v>
      </c>
      <c r="H34" s="153"/>
    </row>
    <row r="35" spans="2:10" s="102" customFormat="1">
      <c r="B35" s="162" t="s">
        <v>394</v>
      </c>
      <c r="C35" s="163" t="s">
        <v>376</v>
      </c>
      <c r="D35" s="163" t="s">
        <v>377</v>
      </c>
      <c r="E35" s="164">
        <v>1</v>
      </c>
      <c r="F35" s="165">
        <v>39507</v>
      </c>
      <c r="G35" s="163" t="s">
        <v>141</v>
      </c>
      <c r="H35" s="167"/>
      <c r="J35" s="102" t="s">
        <v>1418</v>
      </c>
    </row>
    <row r="36" spans="2:10" s="102" customFormat="1">
      <c r="B36" s="142"/>
      <c r="C36" s="175"/>
      <c r="D36" s="175"/>
      <c r="E36" s="176"/>
      <c r="F36" s="190" t="s">
        <v>7</v>
      </c>
      <c r="G36" s="175"/>
      <c r="H36" s="177"/>
      <c r="J36" s="102" t="s">
        <v>1507</v>
      </c>
    </row>
    <row r="37" spans="2:10" s="102" customFormat="1">
      <c r="B37" s="157"/>
      <c r="C37" s="150" t="s">
        <v>1402</v>
      </c>
      <c r="D37" s="150" t="s">
        <v>1408</v>
      </c>
      <c r="E37" s="1" t="s">
        <v>1404</v>
      </c>
      <c r="F37"/>
      <c r="G37" s="1"/>
      <c r="H37" s="193"/>
      <c r="J37" s="102" t="s">
        <v>1503</v>
      </c>
    </row>
    <row r="38" spans="2:10">
      <c r="B38" s="157"/>
      <c r="C38" s="150" t="s">
        <v>1402</v>
      </c>
      <c r="D38" s="150" t="s">
        <v>1409</v>
      </c>
      <c r="E38" s="1" t="s">
        <v>1404</v>
      </c>
      <c r="H38" s="193"/>
    </row>
    <row r="39" spans="2:10">
      <c r="B39" s="157"/>
      <c r="C39" s="150" t="s">
        <v>1413</v>
      </c>
      <c r="D39" s="150" t="s">
        <v>1412</v>
      </c>
      <c r="E39" s="1" t="s">
        <v>1597</v>
      </c>
      <c r="H39" s="193"/>
    </row>
    <row r="40" spans="2:10">
      <c r="B40" s="157" t="s">
        <v>1596</v>
      </c>
      <c r="C40" s="150" t="s">
        <v>125</v>
      </c>
      <c r="D40" s="150" t="s">
        <v>1414</v>
      </c>
      <c r="E40" s="147">
        <v>1</v>
      </c>
      <c r="G40" s="150" t="s">
        <v>141</v>
      </c>
      <c r="H40" s="193"/>
      <c r="J40" s="102" t="s">
        <v>1508</v>
      </c>
    </row>
    <row r="41" spans="2:10">
      <c r="B41" s="157"/>
      <c r="C41" s="150"/>
      <c r="D41" s="150" t="s">
        <v>1415</v>
      </c>
      <c r="E41" s="147">
        <v>1</v>
      </c>
      <c r="G41" s="150"/>
      <c r="H41" s="193"/>
    </row>
    <row r="42" spans="2:10">
      <c r="B42" s="156" t="s">
        <v>1581</v>
      </c>
      <c r="C42" s="150" t="s">
        <v>1582</v>
      </c>
      <c r="D42" s="150" t="s">
        <v>1598</v>
      </c>
      <c r="E42" s="1" t="s">
        <v>200</v>
      </c>
      <c r="G42" s="150"/>
      <c r="H42" s="193"/>
    </row>
    <row r="43" spans="2:10">
      <c r="B43" s="156" t="s">
        <v>1522</v>
      </c>
      <c r="C43" s="150" t="s">
        <v>302</v>
      </c>
      <c r="D43" s="150" t="s">
        <v>1521</v>
      </c>
      <c r="E43" s="151">
        <v>1</v>
      </c>
      <c r="F43" s="150" t="s">
        <v>1520</v>
      </c>
      <c r="G43" s="150" t="s">
        <v>305</v>
      </c>
      <c r="H43" s="153"/>
      <c r="J43" s="102" t="s">
        <v>1569</v>
      </c>
    </row>
    <row r="44" spans="2:10">
      <c r="B44" s="192" t="s">
        <v>1416</v>
      </c>
      <c r="C44" s="150" t="s">
        <v>1595</v>
      </c>
      <c r="D44" s="150" t="s">
        <v>1428</v>
      </c>
      <c r="E44" s="150" t="s">
        <v>200</v>
      </c>
      <c r="F44" s="150" t="s">
        <v>1486</v>
      </c>
      <c r="G44" s="150" t="s">
        <v>141</v>
      </c>
      <c r="H44" s="193"/>
      <c r="J44" s="150" t="s">
        <v>1572</v>
      </c>
    </row>
    <row r="45" spans="2:10">
      <c r="B45" s="192" t="s">
        <v>1471</v>
      </c>
      <c r="C45" s="150" t="s">
        <v>1472</v>
      </c>
      <c r="D45" s="150" t="s">
        <v>1473</v>
      </c>
      <c r="E45" s="150" t="s">
        <v>200</v>
      </c>
      <c r="F45" s="150" t="s">
        <v>1588</v>
      </c>
      <c r="G45" s="150"/>
      <c r="H45" s="193"/>
    </row>
    <row r="46" spans="2:10">
      <c r="B46" s="156" t="s">
        <v>1383</v>
      </c>
      <c r="C46" s="150" t="s">
        <v>1385</v>
      </c>
      <c r="D46" s="150" t="s">
        <v>1384</v>
      </c>
      <c r="E46" s="151" t="s">
        <v>200</v>
      </c>
      <c r="F46" s="150"/>
      <c r="G46" s="150"/>
      <c r="H46" s="153"/>
    </row>
    <row r="47" spans="2:10">
      <c r="B47" s="192" t="s">
        <v>1550</v>
      </c>
      <c r="C47" s="150" t="s">
        <v>1548</v>
      </c>
      <c r="D47" s="150" t="s">
        <v>1549</v>
      </c>
      <c r="E47" s="151">
        <v>1</v>
      </c>
      <c r="F47" s="150" t="s">
        <v>114</v>
      </c>
      <c r="G47" s="150"/>
      <c r="H47" s="153"/>
    </row>
    <row r="48" spans="2:10">
      <c r="B48" s="192" t="s">
        <v>1554</v>
      </c>
      <c r="C48" s="150" t="s">
        <v>1555</v>
      </c>
      <c r="D48" s="150" t="s">
        <v>1549</v>
      </c>
      <c r="E48" s="151" t="s">
        <v>1556</v>
      </c>
      <c r="F48" s="150" t="s">
        <v>114</v>
      </c>
      <c r="G48" s="150"/>
      <c r="H48" s="153"/>
    </row>
    <row r="49" spans="2:11">
      <c r="B49" s="195" t="s">
        <v>1605</v>
      </c>
      <c r="C49" s="150" t="s">
        <v>1606</v>
      </c>
      <c r="D49" s="150"/>
      <c r="E49" s="151"/>
      <c r="F49" s="150"/>
      <c r="G49" s="150"/>
      <c r="H49" s="153"/>
    </row>
    <row r="50" spans="2:11">
      <c r="B50" s="156" t="s">
        <v>1494</v>
      </c>
      <c r="C50" s="150" t="s">
        <v>1495</v>
      </c>
      <c r="D50" s="150" t="s">
        <v>1497</v>
      </c>
      <c r="E50" s="151">
        <v>1</v>
      </c>
      <c r="F50" s="150" t="s">
        <v>136</v>
      </c>
      <c r="G50" s="150"/>
      <c r="H50" s="153"/>
    </row>
    <row r="51" spans="2:11">
      <c r="B51" s="156" t="s">
        <v>1493</v>
      </c>
      <c r="C51" s="150" t="s">
        <v>1495</v>
      </c>
      <c r="D51" s="150" t="s">
        <v>1496</v>
      </c>
      <c r="E51" s="151">
        <v>1</v>
      </c>
      <c r="F51" s="150" t="s">
        <v>136</v>
      </c>
      <c r="G51" s="150"/>
      <c r="H51" s="153"/>
    </row>
    <row r="52" spans="2:11">
      <c r="B52" s="156" t="s">
        <v>1513</v>
      </c>
      <c r="C52" s="150" t="s">
        <v>402</v>
      </c>
      <c r="D52" s="150" t="s">
        <v>1515</v>
      </c>
      <c r="E52" s="151" t="s">
        <v>1514</v>
      </c>
      <c r="F52" s="150" t="s">
        <v>136</v>
      </c>
      <c r="G52" s="150"/>
      <c r="H52" s="153"/>
    </row>
    <row r="53" spans="2:11" s="118" customFormat="1">
      <c r="B53" s="156" t="s">
        <v>1593</v>
      </c>
      <c r="C53" s="150" t="s">
        <v>1594</v>
      </c>
      <c r="D53" s="150" t="s">
        <v>1589</v>
      </c>
      <c r="E53" s="151"/>
      <c r="F53" s="150" t="s">
        <v>1592</v>
      </c>
      <c r="G53" s="150"/>
      <c r="H53" s="153"/>
    </row>
    <row r="54" spans="2:11" s="118" customFormat="1">
      <c r="B54" s="156" t="s">
        <v>1563</v>
      </c>
      <c r="C54" s="150" t="s">
        <v>1607</v>
      </c>
      <c r="D54" s="150" t="s">
        <v>324</v>
      </c>
      <c r="E54" s="151">
        <v>1</v>
      </c>
      <c r="F54" s="150" t="s">
        <v>136</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1599</v>
      </c>
      <c r="C58" s="150" t="s">
        <v>1600</v>
      </c>
      <c r="D58" s="150"/>
      <c r="E58" s="151"/>
      <c r="F58" s="150" t="s">
        <v>123</v>
      </c>
      <c r="G58" s="150"/>
      <c r="H58" s="153"/>
    </row>
    <row r="59" spans="2:11" s="118" customFormat="1">
      <c r="B59" s="156" t="s">
        <v>1601</v>
      </c>
      <c r="C59" s="150" t="s">
        <v>402</v>
      </c>
      <c r="D59" s="150" t="s">
        <v>1602</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1516</v>
      </c>
    </row>
    <row r="81" spans="2:8" s="118" customFormat="1">
      <c r="B81"/>
      <c r="C81"/>
      <c r="D81"/>
      <c r="E81"/>
      <c r="F81"/>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5" location="elranatamab!A1" display="elranatamab" xr:uid="{22EE3204-C875-4DB6-B821-72920E15C43A}"/>
    <hyperlink ref="B44"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8" location="giroctocogene!A1" display="giroctocogene fitelparvovec" xr:uid="{7B08DDA2-F5FF-4EF5-9DC5-68304C03C9EE}"/>
    <hyperlink ref="B47"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V204"/>
  <sheetViews>
    <sheetView tabSelected="1" showOutlineSymbols="0" zoomScale="145" zoomScaleNormal="145" workbookViewId="0">
      <pane xSplit="2" ySplit="2" topLeftCell="EI3" activePane="bottomRight" state="frozen"/>
      <selection activeCell="CV111" sqref="CV111"/>
      <selection pane="topRight" activeCell="CV111" sqref="CV111"/>
      <selection pane="bottomLeft" activeCell="CV111" sqref="CV111"/>
      <selection pane="bottomRight" activeCell="ER9" sqref="ER9"/>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0" width="7.85546875" style="113" customWidth="1"/>
    <col min="111" max="112" width="7.140625" style="37" customWidth="1"/>
    <col min="113" max="113" width="9.140625" style="4"/>
    <col min="114" max="115" width="5" style="4" bestFit="1" customWidth="1"/>
    <col min="116" max="116" width="5" style="37" bestFit="1" customWidth="1"/>
    <col min="117" max="117" width="6.28515625" style="37" bestFit="1" customWidth="1"/>
    <col min="118" max="121" width="6.5703125" style="37" bestFit="1" customWidth="1"/>
    <col min="122" max="127" width="6.7109375" style="37" bestFit="1" customWidth="1"/>
    <col min="128" max="128" width="7" style="37" bestFit="1" customWidth="1"/>
    <col min="129" max="130" width="6.7109375" style="37" bestFit="1" customWidth="1"/>
    <col min="131" max="131" width="7.42578125" style="37" bestFit="1" customWidth="1"/>
    <col min="132" max="132" width="7.28515625" style="44" bestFit="1" customWidth="1"/>
    <col min="133" max="137" width="7.7109375" style="44" bestFit="1" customWidth="1"/>
    <col min="138" max="146" width="8" style="44" customWidth="1"/>
    <col min="147" max="153" width="7.140625" style="44" customWidth="1"/>
    <col min="154" max="160" width="6.5703125" style="44" customWidth="1"/>
    <col min="161" max="163" width="6.5703125" style="44" bestFit="1" customWidth="1"/>
    <col min="164" max="164" width="8.5703125" style="81" bestFit="1" customWidth="1"/>
    <col min="165" max="165" width="8.5703125" style="44" bestFit="1" customWidth="1"/>
    <col min="166" max="166" width="8.5703125" style="82" bestFit="1" customWidth="1"/>
    <col min="167" max="167" width="6.5703125" style="44" bestFit="1" customWidth="1"/>
    <col min="168" max="168" width="9.7109375" style="4" customWidth="1"/>
    <col min="169" max="177" width="6.5703125" style="4" bestFit="1" customWidth="1"/>
    <col min="178" max="204" width="5.5703125" style="4" bestFit="1" customWidth="1"/>
    <col min="205" max="16384" width="9.140625" style="4"/>
  </cols>
  <sheetData>
    <row r="1" spans="1:168">
      <c r="A1" s="13" t="s">
        <v>0</v>
      </c>
      <c r="AP1" s="62"/>
      <c r="BC1" s="69"/>
      <c r="BF1" s="69"/>
      <c r="BH1" s="69"/>
      <c r="EB1" s="65"/>
      <c r="FH1" s="76"/>
      <c r="FI1" s="77"/>
      <c r="FJ1" s="78"/>
    </row>
    <row r="2" spans="1:168">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62"/>
      <c r="DH2" s="62"/>
      <c r="DJ2" s="4">
        <v>1991</v>
      </c>
      <c r="DK2" s="4">
        <v>1992</v>
      </c>
      <c r="DL2" s="37">
        <v>1993</v>
      </c>
      <c r="DM2" s="37">
        <v>1994</v>
      </c>
      <c r="DN2" s="37">
        <v>1995</v>
      </c>
      <c r="DO2" s="37">
        <v>1996</v>
      </c>
      <c r="DP2" s="37">
        <v>1997</v>
      </c>
      <c r="DQ2" s="37">
        <v>1998</v>
      </c>
      <c r="DR2" s="37">
        <v>1999</v>
      </c>
      <c r="DS2" s="37">
        <v>2000</v>
      </c>
      <c r="DT2" s="37">
        <v>2001</v>
      </c>
      <c r="DU2" s="37">
        <v>2002</v>
      </c>
      <c r="DV2" s="37">
        <v>2003</v>
      </c>
      <c r="DW2" s="37">
        <v>2004</v>
      </c>
      <c r="DX2" s="37">
        <v>2005</v>
      </c>
      <c r="DY2" s="37">
        <v>2006</v>
      </c>
      <c r="DZ2" s="37">
        <v>2007</v>
      </c>
      <c r="EA2" s="37">
        <v>2008</v>
      </c>
      <c r="EB2" s="66">
        <v>2009</v>
      </c>
      <c r="EC2" s="47">
        <v>2010</v>
      </c>
      <c r="ED2" s="47">
        <v>2011</v>
      </c>
      <c r="EE2" s="47">
        <v>2012</v>
      </c>
      <c r="EF2" s="47">
        <v>2013</v>
      </c>
      <c r="EG2" s="47">
        <v>2014</v>
      </c>
      <c r="EH2" s="47">
        <v>2015</v>
      </c>
      <c r="EI2" s="47">
        <v>2016</v>
      </c>
      <c r="EJ2" s="47">
        <v>2017</v>
      </c>
      <c r="EK2" s="47">
        <v>2018</v>
      </c>
      <c r="EL2" s="47">
        <v>2019</v>
      </c>
      <c r="EM2" s="47">
        <v>2020</v>
      </c>
      <c r="EN2" s="47">
        <v>2021</v>
      </c>
      <c r="EO2" s="47">
        <v>2022</v>
      </c>
      <c r="EP2" s="47">
        <v>2023</v>
      </c>
      <c r="EQ2" s="47">
        <v>2024</v>
      </c>
      <c r="ER2" s="47">
        <f>+EQ2+1</f>
        <v>2025</v>
      </c>
      <c r="ES2" s="47">
        <f t="shared" ref="ES2:FB2" si="0">+ER2+1</f>
        <v>2026</v>
      </c>
      <c r="ET2" s="47">
        <f t="shared" si="0"/>
        <v>2027</v>
      </c>
      <c r="EU2" s="47">
        <f t="shared" si="0"/>
        <v>2028</v>
      </c>
      <c r="EV2" s="47">
        <f t="shared" si="0"/>
        <v>2029</v>
      </c>
      <c r="EW2" s="47">
        <f t="shared" si="0"/>
        <v>2030</v>
      </c>
      <c r="EX2" s="47">
        <f t="shared" si="0"/>
        <v>2031</v>
      </c>
      <c r="EY2" s="47">
        <f t="shared" si="0"/>
        <v>2032</v>
      </c>
      <c r="EZ2" s="47">
        <f t="shared" si="0"/>
        <v>2033</v>
      </c>
      <c r="FA2" s="47">
        <f t="shared" si="0"/>
        <v>2034</v>
      </c>
      <c r="FB2" s="47">
        <f t="shared" si="0"/>
        <v>2035</v>
      </c>
      <c r="FC2" s="47"/>
      <c r="FD2" s="47"/>
      <c r="FE2" s="47"/>
      <c r="FF2" s="47"/>
      <c r="FG2" s="47"/>
      <c r="FH2" s="79" t="s">
        <v>600</v>
      </c>
      <c r="FI2" s="47" t="s">
        <v>601</v>
      </c>
      <c r="FJ2" s="80" t="s">
        <v>602</v>
      </c>
      <c r="FK2" s="74"/>
      <c r="FL2" s="4" t="s">
        <v>603</v>
      </c>
    </row>
    <row r="3" spans="1:168" s="20" customFormat="1">
      <c r="B3" s="111" t="s">
        <v>1353</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v>11329</v>
      </c>
      <c r="DC3" s="122">
        <v>4500</v>
      </c>
      <c r="DD3" s="122">
        <f>+DC3*0.85</f>
        <v>3825</v>
      </c>
      <c r="DE3" s="122">
        <f>+DD3*0.85</f>
        <v>3251.25</v>
      </c>
      <c r="DF3" s="122">
        <f>+DE3*0.85</f>
        <v>2763.5625</v>
      </c>
      <c r="DG3" s="68"/>
      <c r="DH3" s="68"/>
      <c r="DL3" s="44"/>
      <c r="DM3" s="44"/>
      <c r="DN3" s="44"/>
      <c r="DO3" s="44"/>
      <c r="DP3" s="44"/>
      <c r="DQ3" s="44"/>
      <c r="DR3" s="44"/>
      <c r="DS3" s="44"/>
      <c r="DT3" s="44"/>
      <c r="DU3" s="44"/>
      <c r="DV3" s="44"/>
      <c r="DW3" s="44"/>
      <c r="DX3" s="44"/>
      <c r="DY3" s="44"/>
      <c r="DZ3" s="44"/>
      <c r="EA3" s="44"/>
      <c r="EB3" s="65"/>
      <c r="EC3" s="44"/>
      <c r="ED3" s="44"/>
      <c r="EE3" s="44"/>
      <c r="EF3" s="44"/>
      <c r="EG3" s="44"/>
      <c r="EH3" s="44"/>
      <c r="EI3" s="44"/>
      <c r="EJ3" s="44"/>
      <c r="EK3" s="44"/>
      <c r="EL3" s="44">
        <f>SUM(CM3:CP3)</f>
        <v>0</v>
      </c>
      <c r="EM3" s="44">
        <f>SUM(CQ3:CT3)</f>
        <v>154</v>
      </c>
      <c r="EN3" s="44">
        <f>SUM(CU3:CX3)</f>
        <v>36781</v>
      </c>
      <c r="EO3" s="44">
        <f>SUM(CY3:DB3)</f>
        <v>37806</v>
      </c>
      <c r="EP3" s="44">
        <f>SUM(DC3:DF3)</f>
        <v>14339.8125</v>
      </c>
      <c r="EQ3" s="44">
        <f>+EP3*0.5</f>
        <v>7169.90625</v>
      </c>
      <c r="ER3" s="44">
        <f>+EQ3*0.9</f>
        <v>6452.9156250000005</v>
      </c>
      <c r="ES3" s="44">
        <f t="shared" ref="ES3:EW3" si="1">+ER3*0.5</f>
        <v>3226.4578125000003</v>
      </c>
      <c r="ET3" s="44">
        <f t="shared" si="1"/>
        <v>1613.2289062500001</v>
      </c>
      <c r="EU3" s="44">
        <f t="shared" si="1"/>
        <v>806.61445312500007</v>
      </c>
      <c r="EV3" s="44">
        <f t="shared" si="1"/>
        <v>403.30722656250003</v>
      </c>
      <c r="EW3" s="44">
        <f t="shared" si="1"/>
        <v>201.65361328125002</v>
      </c>
      <c r="EX3" s="44">
        <f t="shared" ref="EX3:FB3" si="2">+EW3*0.2</f>
        <v>40.330722656250003</v>
      </c>
      <c r="EY3" s="44">
        <f t="shared" si="2"/>
        <v>8.0661445312500017</v>
      </c>
      <c r="EZ3" s="44">
        <f t="shared" si="2"/>
        <v>1.6132289062500005</v>
      </c>
      <c r="FA3" s="44">
        <f t="shared" si="2"/>
        <v>0.3226457812500001</v>
      </c>
      <c r="FB3" s="44">
        <f t="shared" si="2"/>
        <v>6.4529156250000025E-2</v>
      </c>
      <c r="FC3" s="44"/>
      <c r="FD3" s="44"/>
      <c r="FE3" s="44"/>
      <c r="FF3" s="44"/>
      <c r="FG3" s="44"/>
      <c r="FH3" s="81"/>
      <c r="FI3" s="44"/>
      <c r="FJ3" s="84"/>
      <c r="FK3" s="68"/>
    </row>
    <row r="4" spans="1:168"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t="s">
        <v>605</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f t="shared" ref="DC4:DF4" si="3">+CY4*1.03</f>
        <v>1846.79</v>
      </c>
      <c r="DD4" s="122">
        <f t="shared" si="3"/>
        <v>1797.3500000000001</v>
      </c>
      <c r="DE4" s="122">
        <f t="shared" si="3"/>
        <v>1507.92</v>
      </c>
      <c r="DF4" s="122">
        <f t="shared" si="3"/>
        <v>1523.3700000000001</v>
      </c>
      <c r="DG4" s="68"/>
      <c r="DH4" s="68"/>
      <c r="DL4" s="68"/>
      <c r="DM4" s="68"/>
      <c r="DN4" s="68"/>
      <c r="DO4" s="68"/>
      <c r="DP4" s="68"/>
      <c r="DQ4" s="68"/>
      <c r="DR4" s="68"/>
      <c r="DS4" s="68"/>
      <c r="DT4" s="68"/>
      <c r="DU4" s="68"/>
      <c r="DV4" s="68"/>
      <c r="DW4" s="68"/>
      <c r="DX4" s="68"/>
      <c r="DY4" s="68"/>
      <c r="DZ4" s="68" t="s">
        <v>702</v>
      </c>
      <c r="EA4" s="68" t="s">
        <v>702</v>
      </c>
      <c r="EB4" s="70"/>
      <c r="EC4" s="68">
        <v>0</v>
      </c>
      <c r="ED4" s="44">
        <f>SUM(BG4:BJ4)</f>
        <v>0</v>
      </c>
      <c r="EE4" s="68"/>
      <c r="EF4" s="68"/>
      <c r="EG4" s="44">
        <f>SUM(BS4:BV4)</f>
        <v>0</v>
      </c>
      <c r="EH4" s="68"/>
      <c r="EI4" s="68"/>
      <c r="EJ4" s="68"/>
      <c r="EK4" s="68"/>
      <c r="EL4" s="44">
        <f>SUM(CM4:CP4)</f>
        <v>4220</v>
      </c>
      <c r="EM4" s="44">
        <f t="shared" ref="EM4:EM69" si="4">SUM(CQ4:CT4)</f>
        <v>4948</v>
      </c>
      <c r="EN4" s="44">
        <f t="shared" ref="EN4:EN70" si="5">SUM(CU4:CX4)</f>
        <v>5970</v>
      </c>
      <c r="EO4" s="44">
        <f t="shared" ref="EO4:EO36" si="6">SUM(CY4:DB4)</f>
        <v>6481</v>
      </c>
      <c r="EP4" s="44">
        <f t="shared" ref="EP4:EP69" si="7">SUM(DC4:DF4)</f>
        <v>6675.43</v>
      </c>
      <c r="EQ4" s="68">
        <f>+EP4*1.01</f>
        <v>6742.1843000000008</v>
      </c>
      <c r="ER4" s="68">
        <f t="shared" ref="ER4:EU4" si="8">+EQ4*1.01</f>
        <v>6809.6061430000009</v>
      </c>
      <c r="ES4" s="68">
        <f t="shared" si="8"/>
        <v>6877.7022044300011</v>
      </c>
      <c r="ET4" s="68">
        <f t="shared" si="8"/>
        <v>6946.479226474301</v>
      </c>
      <c r="EU4" s="68">
        <f t="shared" si="8"/>
        <v>7015.9440187390437</v>
      </c>
      <c r="EV4" s="68">
        <f>+EU4*0.1</f>
        <v>701.59440187390442</v>
      </c>
      <c r="EW4" s="68">
        <f t="shared" ref="EW4:FB4" si="9">+EV4*0.1</f>
        <v>70.159440187390445</v>
      </c>
      <c r="EX4" s="68">
        <f t="shared" si="9"/>
        <v>7.0159440187390452</v>
      </c>
      <c r="EY4" s="68">
        <f t="shared" si="9"/>
        <v>0.70159440187390454</v>
      </c>
      <c r="EZ4" s="68">
        <f t="shared" si="9"/>
        <v>7.0159440187390454E-2</v>
      </c>
      <c r="FA4" s="68">
        <f t="shared" si="9"/>
        <v>7.0159440187390456E-3</v>
      </c>
      <c r="FB4" s="68">
        <f t="shared" si="9"/>
        <v>7.0159440187390464E-4</v>
      </c>
      <c r="FC4" s="68"/>
      <c r="FD4" s="68"/>
      <c r="FE4" s="68"/>
      <c r="FF4" s="68"/>
      <c r="FG4" s="68"/>
      <c r="FH4" s="83">
        <v>0</v>
      </c>
      <c r="FI4" s="68">
        <f>EH4*0.3</f>
        <v>0</v>
      </c>
      <c r="FJ4" s="84">
        <f>EM4*0.2</f>
        <v>989.6</v>
      </c>
      <c r="FK4" s="68"/>
    </row>
    <row r="5" spans="1:168"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f t="shared" ref="DC5:DF5" si="10">+CY5</f>
        <v>1565</v>
      </c>
      <c r="DD5" s="122">
        <f t="shared" si="10"/>
        <v>1429</v>
      </c>
      <c r="DE5" s="122">
        <f t="shared" si="10"/>
        <v>1607</v>
      </c>
      <c r="DF5" s="122">
        <f t="shared" si="10"/>
        <v>1736</v>
      </c>
      <c r="DG5" s="68"/>
      <c r="DH5" s="68"/>
      <c r="DL5" s="68"/>
      <c r="DM5" s="68" t="s">
        <v>605</v>
      </c>
      <c r="DN5" s="68" t="s">
        <v>605</v>
      </c>
      <c r="DO5" s="68" t="s">
        <v>605</v>
      </c>
      <c r="DP5" s="68" t="s">
        <v>605</v>
      </c>
      <c r="DQ5" s="68" t="s">
        <v>605</v>
      </c>
      <c r="DR5" s="68" t="s">
        <v>605</v>
      </c>
      <c r="DS5" s="68">
        <v>460.6</v>
      </c>
      <c r="DT5" s="68">
        <v>798.2</v>
      </c>
      <c r="DU5" s="73">
        <v>647.5</v>
      </c>
      <c r="DV5" s="73">
        <v>945.6</v>
      </c>
      <c r="DW5" s="73">
        <v>1053.5999999999999</v>
      </c>
      <c r="DX5" s="73">
        <v>1508.3</v>
      </c>
      <c r="DY5" s="73">
        <v>1961.3</v>
      </c>
      <c r="DZ5" s="73" t="s">
        <v>615</v>
      </c>
      <c r="EA5" s="73" t="s">
        <v>616</v>
      </c>
      <c r="EB5" s="75">
        <f>SUM(AY5:BB5)</f>
        <v>1825.2649999999999</v>
      </c>
      <c r="EC5" s="68">
        <f>SUM(BC5:BF5)</f>
        <v>3669</v>
      </c>
      <c r="ED5" s="68">
        <f>SUM(BG5:BJ5)</f>
        <v>4145</v>
      </c>
      <c r="EE5" s="44">
        <f>SUM(BK5:BN5)</f>
        <v>4117</v>
      </c>
      <c r="EF5" s="44">
        <f>SUM(BO5:BR5)</f>
        <v>3974</v>
      </c>
      <c r="EG5" s="44">
        <f t="shared" ref="EG5" si="11">SUM(BS5:BV5)</f>
        <v>4122.7800000000007</v>
      </c>
      <c r="EH5" s="68">
        <f>EG5*1.04</f>
        <v>4287.6912000000011</v>
      </c>
      <c r="EI5" s="68"/>
      <c r="EJ5" s="68"/>
      <c r="EK5" s="68"/>
      <c r="EL5" s="44">
        <f>SUM(CM5:CP5)</f>
        <v>5847</v>
      </c>
      <c r="EM5" s="44">
        <f t="shared" si="4"/>
        <v>5850</v>
      </c>
      <c r="EN5" s="44">
        <f t="shared" si="5"/>
        <v>5274</v>
      </c>
      <c r="EO5" s="44">
        <f t="shared" si="6"/>
        <v>6337</v>
      </c>
      <c r="EP5" s="44">
        <f t="shared" si="7"/>
        <v>6337</v>
      </c>
      <c r="EQ5" s="68">
        <f>+EP5*1.01</f>
        <v>6400.37</v>
      </c>
      <c r="ER5" s="68">
        <f t="shared" ref="ER5:FB5" si="12">+EQ5*1.01</f>
        <v>6464.3737000000001</v>
      </c>
      <c r="ES5" s="68">
        <f t="shared" si="12"/>
        <v>6529.0174370000004</v>
      </c>
      <c r="ET5" s="68">
        <f t="shared" si="12"/>
        <v>6594.3076113700008</v>
      </c>
      <c r="EU5" s="68">
        <f t="shared" si="12"/>
        <v>6660.2506874837009</v>
      </c>
      <c r="EV5" s="68">
        <f t="shared" si="12"/>
        <v>6726.8531943585376</v>
      </c>
      <c r="EW5" s="68">
        <f t="shared" si="12"/>
        <v>6794.1217263021226</v>
      </c>
      <c r="EX5" s="68">
        <f t="shared" si="12"/>
        <v>6862.0629435651435</v>
      </c>
      <c r="EY5" s="68">
        <f t="shared" si="12"/>
        <v>6930.6835730007951</v>
      </c>
      <c r="EZ5" s="68">
        <f t="shared" si="12"/>
        <v>6999.9904087308032</v>
      </c>
      <c r="FA5" s="68">
        <f t="shared" si="12"/>
        <v>7069.9903128181113</v>
      </c>
      <c r="FB5" s="68">
        <f t="shared" si="12"/>
        <v>7140.6902159462925</v>
      </c>
      <c r="FC5" s="68"/>
      <c r="FD5" s="68"/>
      <c r="FE5" s="68"/>
      <c r="FF5" s="68"/>
      <c r="FG5" s="68"/>
      <c r="FH5" s="83">
        <f>EC5*0.7</f>
        <v>2568.2999999999997</v>
      </c>
      <c r="FI5" s="68">
        <f>EH5*0.7</f>
        <v>3001.3838400000004</v>
      </c>
      <c r="FJ5" s="84">
        <f>EM5*0.7</f>
        <v>4094.9999999999995</v>
      </c>
      <c r="FK5" s="68"/>
      <c r="FL5" s="111"/>
    </row>
    <row r="6" spans="1:168" s="23" customFormat="1">
      <c r="B6" s="111" t="s">
        <v>1354</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f>+DB6*0.9</f>
        <v>1650.6000000000001</v>
      </c>
      <c r="DD6" s="122">
        <f t="shared" ref="DD6:DF6" si="13">+DC6*0.9</f>
        <v>1485.5400000000002</v>
      </c>
      <c r="DE6" s="122">
        <f t="shared" si="13"/>
        <v>1336.9860000000001</v>
      </c>
      <c r="DF6" s="122">
        <f t="shared" si="13"/>
        <v>1203.2874000000002</v>
      </c>
      <c r="DG6" s="68"/>
      <c r="DH6" s="68"/>
      <c r="DL6" s="68"/>
      <c r="DM6" s="68"/>
      <c r="DN6" s="68"/>
      <c r="DO6" s="68"/>
      <c r="DP6" s="68"/>
      <c r="DQ6" s="68"/>
      <c r="DR6" s="68"/>
      <c r="DS6" s="68"/>
      <c r="DT6" s="68"/>
      <c r="DU6" s="73"/>
      <c r="DV6" s="73"/>
      <c r="DW6" s="73"/>
      <c r="DX6" s="73"/>
      <c r="DY6" s="73"/>
      <c r="DZ6" s="73"/>
      <c r="EA6" s="73"/>
      <c r="EB6" s="75"/>
      <c r="EC6" s="68"/>
      <c r="ED6" s="68"/>
      <c r="EE6" s="44"/>
      <c r="EF6" s="44"/>
      <c r="EG6" s="44"/>
      <c r="EH6" s="68"/>
      <c r="EI6" s="68"/>
      <c r="EJ6" s="68"/>
      <c r="EK6" s="68"/>
      <c r="EL6" s="44">
        <f t="shared" ref="EL6:EL75" si="14">SUM(CM6:CP6)</f>
        <v>0</v>
      </c>
      <c r="EM6" s="44">
        <f t="shared" si="4"/>
        <v>0</v>
      </c>
      <c r="EN6" s="44">
        <f t="shared" si="5"/>
        <v>76</v>
      </c>
      <c r="EO6" s="44">
        <f t="shared" si="6"/>
        <v>18933</v>
      </c>
      <c r="EP6" s="44">
        <f t="shared" si="7"/>
        <v>5676.4134000000004</v>
      </c>
      <c r="EQ6" s="68">
        <f>+EP6*0.5</f>
        <v>2838.2067000000002</v>
      </c>
      <c r="ER6" s="68">
        <f t="shared" ref="ER6:EW6" si="15">+EQ6*0.5</f>
        <v>1419.1033500000001</v>
      </c>
      <c r="ES6" s="68">
        <f t="shared" si="15"/>
        <v>709.55167500000005</v>
      </c>
      <c r="ET6" s="68">
        <f t="shared" si="15"/>
        <v>354.77583750000002</v>
      </c>
      <c r="EU6" s="68">
        <f t="shared" si="15"/>
        <v>177.38791875000001</v>
      </c>
      <c r="EV6" s="68">
        <f t="shared" si="15"/>
        <v>88.693959375000006</v>
      </c>
      <c r="EW6" s="68">
        <f t="shared" si="15"/>
        <v>44.346979687500003</v>
      </c>
      <c r="EX6" s="68">
        <f t="shared" ref="EX6:FB6" si="16">+EW6*0.1</f>
        <v>4.4346979687500001</v>
      </c>
      <c r="EY6" s="68">
        <f t="shared" si="16"/>
        <v>0.44346979687500004</v>
      </c>
      <c r="EZ6" s="68">
        <f t="shared" si="16"/>
        <v>4.434697968750001E-2</v>
      </c>
      <c r="FA6" s="68">
        <f t="shared" si="16"/>
        <v>4.4346979687500008E-3</v>
      </c>
      <c r="FB6" s="68">
        <f t="shared" si="16"/>
        <v>4.4346979687500011E-4</v>
      </c>
      <c r="FC6" s="68"/>
      <c r="FD6" s="68"/>
      <c r="FE6" s="68"/>
      <c r="FF6" s="68"/>
      <c r="FG6" s="68"/>
      <c r="FH6" s="83"/>
      <c r="FI6" s="68"/>
      <c r="FJ6" s="84"/>
      <c r="FK6" s="68"/>
      <c r="FL6" s="111"/>
    </row>
    <row r="7" spans="1:168" s="23" customFormat="1">
      <c r="B7" s="111" t="s">
        <v>1355</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f t="shared" ref="DC7:DF7" si="17">+CY7*1.03</f>
        <v>1274.1100000000001</v>
      </c>
      <c r="DD7" s="122">
        <f t="shared" si="17"/>
        <v>1359.6000000000001</v>
      </c>
      <c r="DE7" s="122">
        <f t="shared" si="17"/>
        <v>1321.49</v>
      </c>
      <c r="DF7" s="122">
        <f t="shared" si="17"/>
        <v>1317.3700000000001</v>
      </c>
      <c r="DG7" s="68"/>
      <c r="DH7" s="68"/>
      <c r="DL7" s="68"/>
      <c r="DM7" s="68"/>
      <c r="DN7" s="68"/>
      <c r="DO7" s="68"/>
      <c r="DP7" s="68"/>
      <c r="DQ7" s="68"/>
      <c r="DR7" s="68"/>
      <c r="DS7" s="68"/>
      <c r="DT7" s="68"/>
      <c r="DU7" s="73"/>
      <c r="DV7" s="73"/>
      <c r="DW7" s="73"/>
      <c r="DX7" s="73"/>
      <c r="DY7" s="73"/>
      <c r="DZ7" s="73"/>
      <c r="EA7" s="73"/>
      <c r="EB7" s="75"/>
      <c r="EC7" s="68"/>
      <c r="ED7" s="68"/>
      <c r="EE7" s="44"/>
      <c r="EF7" s="44"/>
      <c r="EG7" s="44"/>
      <c r="EH7" s="68"/>
      <c r="EI7" s="68"/>
      <c r="EJ7" s="68"/>
      <c r="EK7" s="68"/>
      <c r="EL7" s="44">
        <f t="shared" si="14"/>
        <v>4960</v>
      </c>
      <c r="EM7" s="44">
        <f t="shared" si="4"/>
        <v>5390</v>
      </c>
      <c r="EN7" s="44">
        <f t="shared" si="5"/>
        <v>5437</v>
      </c>
      <c r="EO7" s="44">
        <f t="shared" si="6"/>
        <v>5119</v>
      </c>
      <c r="EP7" s="44">
        <f t="shared" si="7"/>
        <v>5272.57</v>
      </c>
      <c r="EQ7" s="68">
        <f>+EP7*0.8</f>
        <v>4218.0559999999996</v>
      </c>
      <c r="ER7" s="68">
        <f t="shared" ref="ER7:FB7" si="18">+EQ7*0.8</f>
        <v>3374.4447999999998</v>
      </c>
      <c r="ES7" s="68">
        <f t="shared" si="18"/>
        <v>2699.55584</v>
      </c>
      <c r="ET7" s="68">
        <f t="shared" si="18"/>
        <v>2159.6446719999999</v>
      </c>
      <c r="EU7" s="68">
        <f t="shared" si="18"/>
        <v>1727.7157376</v>
      </c>
      <c r="EV7" s="68">
        <f t="shared" si="18"/>
        <v>1382.1725900800002</v>
      </c>
      <c r="EW7" s="68">
        <f t="shared" si="18"/>
        <v>1105.7380720640001</v>
      </c>
      <c r="EX7" s="68">
        <f t="shared" si="18"/>
        <v>884.59045765120015</v>
      </c>
      <c r="EY7" s="68">
        <f t="shared" si="18"/>
        <v>707.67236612096019</v>
      </c>
      <c r="EZ7" s="68">
        <f t="shared" si="18"/>
        <v>566.13789289676822</v>
      </c>
      <c r="FA7" s="68">
        <f t="shared" si="18"/>
        <v>452.91031431741459</v>
      </c>
      <c r="FB7" s="68">
        <f t="shared" si="18"/>
        <v>362.32825145393167</v>
      </c>
      <c r="FC7" s="68"/>
      <c r="FD7" s="68"/>
      <c r="FE7" s="68"/>
      <c r="FF7" s="68"/>
      <c r="FG7" s="68"/>
      <c r="FH7" s="83"/>
      <c r="FI7" s="68"/>
      <c r="FJ7" s="84"/>
      <c r="FK7" s="68"/>
      <c r="FL7" s="111"/>
    </row>
    <row r="8" spans="1:168" s="23" customFormat="1">
      <c r="B8" s="111" t="s">
        <v>1356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f t="shared" ref="DC8:DF8" si="19">+CY8*1.05</f>
        <v>642.6</v>
      </c>
      <c r="DD8" s="122">
        <f t="shared" si="19"/>
        <v>579.6</v>
      </c>
      <c r="DE8" s="122">
        <f t="shared" si="19"/>
        <v>632.1</v>
      </c>
      <c r="DF8" s="122">
        <f t="shared" si="19"/>
        <v>714</v>
      </c>
      <c r="DG8" s="68"/>
      <c r="DH8" s="68"/>
      <c r="DL8" s="68"/>
      <c r="DM8" s="68"/>
      <c r="DN8" s="68"/>
      <c r="DO8" s="68"/>
      <c r="DP8" s="68"/>
      <c r="DQ8" s="68"/>
      <c r="DR8" s="68"/>
      <c r="DS8" s="68"/>
      <c r="DT8" s="68"/>
      <c r="DU8" s="73"/>
      <c r="DV8" s="73"/>
      <c r="DW8" s="73"/>
      <c r="DX8" s="73"/>
      <c r="DY8" s="73"/>
      <c r="DZ8" s="73"/>
      <c r="EA8" s="73"/>
      <c r="EB8" s="75"/>
      <c r="EC8" s="68"/>
      <c r="ED8" s="68"/>
      <c r="EE8" s="44"/>
      <c r="EF8" s="44"/>
      <c r="EG8" s="44"/>
      <c r="EH8" s="68"/>
      <c r="EI8" s="68"/>
      <c r="EJ8" s="68"/>
      <c r="EK8" s="68"/>
      <c r="EL8" s="44">
        <f t="shared" si="14"/>
        <v>473</v>
      </c>
      <c r="EM8" s="44">
        <f t="shared" si="4"/>
        <v>1288</v>
      </c>
      <c r="EN8" s="44">
        <f t="shared" si="5"/>
        <v>2016</v>
      </c>
      <c r="EO8" s="44">
        <f t="shared" si="6"/>
        <v>2446</v>
      </c>
      <c r="EP8" s="44">
        <f t="shared" si="7"/>
        <v>2568.3000000000002</v>
      </c>
      <c r="EQ8" s="68">
        <f>+EP8*1.03</f>
        <v>2645.3490000000002</v>
      </c>
      <c r="ER8" s="68">
        <f t="shared" ref="ER8:ES8" si="20">+EQ8*1.03</f>
        <v>2724.7094700000002</v>
      </c>
      <c r="ES8" s="68">
        <f t="shared" si="20"/>
        <v>2806.4507541000003</v>
      </c>
      <c r="ET8" s="68">
        <f>+ES8*0.8</f>
        <v>2245.1606032800005</v>
      </c>
      <c r="EU8" s="68">
        <f t="shared" ref="EU8:FB8" si="21">+ET8*0.8</f>
        <v>1796.1284826240005</v>
      </c>
      <c r="EV8" s="68">
        <f t="shared" si="21"/>
        <v>1436.9027860992005</v>
      </c>
      <c r="EW8" s="68">
        <f t="shared" si="21"/>
        <v>1149.5222288793605</v>
      </c>
      <c r="EX8" s="68">
        <f t="shared" si="21"/>
        <v>919.61778310348836</v>
      </c>
      <c r="EY8" s="68">
        <f t="shared" si="21"/>
        <v>735.69422648279078</v>
      </c>
      <c r="EZ8" s="68">
        <f t="shared" si="21"/>
        <v>588.55538118623269</v>
      </c>
      <c r="FA8" s="68">
        <f t="shared" si="21"/>
        <v>470.84430494898618</v>
      </c>
      <c r="FB8" s="68">
        <f t="shared" si="21"/>
        <v>376.67544395918895</v>
      </c>
      <c r="FC8" s="68"/>
      <c r="FD8" s="68"/>
      <c r="FE8" s="68"/>
      <c r="FF8" s="68"/>
      <c r="FG8" s="68"/>
      <c r="FH8" s="83"/>
      <c r="FI8" s="68"/>
      <c r="FJ8" s="84"/>
      <c r="FK8" s="68"/>
      <c r="FL8" s="111"/>
    </row>
    <row r="9" spans="1:168"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f t="shared" ref="BU9:BV9" si="22">+BT9+10</f>
        <v>78</v>
      </c>
      <c r="BV9" s="68">
        <f t="shared" si="22"/>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f t="shared" ref="DC9:DF9" si="23">+CY9*0.7</f>
        <v>260.39999999999998</v>
      </c>
      <c r="DD9" s="122">
        <f t="shared" si="23"/>
        <v>301</v>
      </c>
      <c r="DE9" s="122">
        <f t="shared" si="23"/>
        <v>351.4</v>
      </c>
      <c r="DF9" s="122">
        <f t="shared" si="23"/>
        <v>345.09999999999997</v>
      </c>
      <c r="DG9" s="68"/>
      <c r="DH9" s="68"/>
      <c r="DL9" s="68"/>
      <c r="DM9" s="68"/>
      <c r="DN9" s="68"/>
      <c r="DO9" s="68"/>
      <c r="DP9" s="68"/>
      <c r="DQ9" s="68"/>
      <c r="DR9" s="68"/>
      <c r="DS9" s="68"/>
      <c r="DT9" s="68"/>
      <c r="DU9" s="68"/>
      <c r="DV9" s="68"/>
      <c r="DW9" s="68"/>
      <c r="DX9" s="68" t="s">
        <v>709</v>
      </c>
      <c r="DY9" s="68" t="s">
        <v>709</v>
      </c>
      <c r="DZ9" s="68" t="s">
        <v>702</v>
      </c>
      <c r="EA9" s="68" t="s">
        <v>709</v>
      </c>
      <c r="EB9" s="70" t="s">
        <v>702</v>
      </c>
      <c r="EC9" s="68" t="s">
        <v>702</v>
      </c>
      <c r="ED9" s="44" t="s">
        <v>710</v>
      </c>
      <c r="EE9" s="68">
        <f>SUM(BO9:BR9)</f>
        <v>103</v>
      </c>
      <c r="EF9" s="68"/>
      <c r="EG9" s="44">
        <f>SUM(BS9:BV9)</f>
        <v>286</v>
      </c>
      <c r="EH9" s="68">
        <v>500</v>
      </c>
      <c r="EI9" s="68"/>
      <c r="EJ9" s="68"/>
      <c r="EK9" s="68"/>
      <c r="EL9" s="44">
        <f t="shared" si="14"/>
        <v>2242</v>
      </c>
      <c r="EM9" s="44">
        <f t="shared" si="4"/>
        <v>2436</v>
      </c>
      <c r="EN9" s="44">
        <f t="shared" si="5"/>
        <v>2455</v>
      </c>
      <c r="EO9" s="44">
        <f t="shared" si="6"/>
        <v>1797</v>
      </c>
      <c r="EP9" s="44">
        <f t="shared" si="7"/>
        <v>1257.8999999999999</v>
      </c>
      <c r="EQ9" s="68">
        <f>+EP9*0.8</f>
        <v>1006.3199999999999</v>
      </c>
      <c r="ER9" s="68">
        <f t="shared" ref="ER9:FB9" si="24">+EQ9*0.8</f>
        <v>805.05600000000004</v>
      </c>
      <c r="ES9" s="68">
        <f t="shared" si="24"/>
        <v>644.04480000000012</v>
      </c>
      <c r="ET9" s="68">
        <f t="shared" si="24"/>
        <v>515.23584000000017</v>
      </c>
      <c r="EU9" s="68">
        <f t="shared" si="24"/>
        <v>412.18867200000017</v>
      </c>
      <c r="EV9" s="68">
        <f t="shared" si="24"/>
        <v>329.75093760000016</v>
      </c>
      <c r="EW9" s="68">
        <f t="shared" si="24"/>
        <v>263.80075008000011</v>
      </c>
      <c r="EX9" s="68">
        <f t="shared" si="24"/>
        <v>211.0406000640001</v>
      </c>
      <c r="EY9" s="68">
        <f t="shared" si="24"/>
        <v>168.83248005120009</v>
      </c>
      <c r="EZ9" s="68">
        <f t="shared" si="24"/>
        <v>135.06598404096007</v>
      </c>
      <c r="FA9" s="68">
        <f t="shared" si="24"/>
        <v>108.05278723276807</v>
      </c>
      <c r="FB9" s="68">
        <f t="shared" si="24"/>
        <v>86.442229786214455</v>
      </c>
      <c r="FC9" s="68"/>
      <c r="FD9" s="68"/>
      <c r="FE9" s="68"/>
      <c r="FF9" s="68"/>
      <c r="FG9" s="68"/>
      <c r="FH9" s="83">
        <v>0</v>
      </c>
      <c r="FI9" s="68">
        <f>EH9*0.7</f>
        <v>350</v>
      </c>
      <c r="FJ9" s="84">
        <f>EM9*0.6</f>
        <v>1461.6</v>
      </c>
      <c r="FK9" s="68"/>
    </row>
    <row r="10" spans="1:168"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f t="shared" ref="DC10:DF10" si="25">+CY10*0.85</f>
        <v>238</v>
      </c>
      <c r="DD10" s="122">
        <f t="shared" si="25"/>
        <v>218.45</v>
      </c>
      <c r="DE10" s="122">
        <f t="shared" si="25"/>
        <v>195.5</v>
      </c>
      <c r="DF10" s="122">
        <f t="shared" si="25"/>
        <v>200.6</v>
      </c>
      <c r="DG10" s="68"/>
      <c r="DH10" s="68"/>
      <c r="DL10" s="68"/>
      <c r="DM10" s="68" t="s">
        <v>605</v>
      </c>
      <c r="DN10" s="68" t="s">
        <v>605</v>
      </c>
      <c r="DO10" s="68" t="s">
        <v>605</v>
      </c>
      <c r="DP10" s="68" t="s">
        <v>605</v>
      </c>
      <c r="DQ10" s="68" t="s">
        <v>605</v>
      </c>
      <c r="DR10" s="68" t="s">
        <v>605</v>
      </c>
      <c r="DS10" s="68" t="s">
        <v>605</v>
      </c>
      <c r="DT10" s="68" t="s">
        <v>605</v>
      </c>
      <c r="DU10" s="68" t="s">
        <v>605</v>
      </c>
      <c r="DV10" s="68" t="s">
        <v>605</v>
      </c>
      <c r="DW10" s="68" t="s">
        <v>605</v>
      </c>
      <c r="DX10" s="68" t="s">
        <v>605</v>
      </c>
      <c r="DY10" s="73" t="s">
        <v>628</v>
      </c>
      <c r="DZ10" s="73" t="s">
        <v>629</v>
      </c>
      <c r="EA10" s="73" t="s">
        <v>630</v>
      </c>
      <c r="EB10" s="75">
        <f>SUM(AY10:BB10)</f>
        <v>378</v>
      </c>
      <c r="EC10" s="68">
        <f>SUM(BC10:BF10)</f>
        <v>3274</v>
      </c>
      <c r="ED10" s="68">
        <f>SUM(BG10:BJ10)</f>
        <v>3666</v>
      </c>
      <c r="EE10" s="44">
        <f>SUM(BK10:BN10)</f>
        <v>3737</v>
      </c>
      <c r="EF10" s="44">
        <f>SUM(BO10:BR10)</f>
        <v>3774</v>
      </c>
      <c r="EG10" s="44">
        <f>SUM(BS10:BV10)</f>
        <v>3808.63</v>
      </c>
      <c r="EH10" s="68">
        <f t="shared" ref="EH10" si="26">EG10*0.98</f>
        <v>3732.4574000000002</v>
      </c>
      <c r="EI10" s="68"/>
      <c r="EJ10" s="68"/>
      <c r="EK10" s="68"/>
      <c r="EL10" s="44">
        <f t="shared" si="14"/>
        <v>1700</v>
      </c>
      <c r="EM10" s="44">
        <f t="shared" si="4"/>
        <v>1350</v>
      </c>
      <c r="EN10" s="44">
        <f t="shared" si="5"/>
        <v>1185</v>
      </c>
      <c r="EO10" s="44">
        <f t="shared" si="6"/>
        <v>1003</v>
      </c>
      <c r="EP10" s="44">
        <f t="shared" si="7"/>
        <v>852.55000000000007</v>
      </c>
      <c r="EQ10" s="68">
        <f>+EP10*0.9</f>
        <v>767.29500000000007</v>
      </c>
      <c r="ER10" s="68">
        <f t="shared" ref="ER10:FB10" si="27">+EQ10*0.9</f>
        <v>690.56550000000004</v>
      </c>
      <c r="ES10" s="68">
        <f t="shared" si="27"/>
        <v>621.50895000000003</v>
      </c>
      <c r="ET10" s="68">
        <f t="shared" si="27"/>
        <v>559.35805500000004</v>
      </c>
      <c r="EU10" s="68">
        <f t="shared" si="27"/>
        <v>503.42224950000002</v>
      </c>
      <c r="EV10" s="68">
        <f t="shared" si="27"/>
        <v>453.08002455000002</v>
      </c>
      <c r="EW10" s="68">
        <f t="shared" si="27"/>
        <v>407.77202209500001</v>
      </c>
      <c r="EX10" s="68">
        <f t="shared" si="27"/>
        <v>366.99481988550002</v>
      </c>
      <c r="EY10" s="68">
        <f t="shared" si="27"/>
        <v>330.29533789695</v>
      </c>
      <c r="EZ10" s="68">
        <f t="shared" si="27"/>
        <v>297.26580410725501</v>
      </c>
      <c r="FA10" s="68">
        <f t="shared" si="27"/>
        <v>267.53922369652952</v>
      </c>
      <c r="FB10" s="68">
        <f t="shared" si="27"/>
        <v>240.78530132687658</v>
      </c>
      <c r="FC10" s="68"/>
      <c r="FD10" s="68"/>
      <c r="FE10" s="68"/>
      <c r="FF10" s="68"/>
      <c r="FG10" s="68"/>
      <c r="FH10" s="83">
        <f>EC10*0.6</f>
        <v>1964.3999999999999</v>
      </c>
      <c r="FI10" s="68">
        <f>EH10*0.6</f>
        <v>2239.47444</v>
      </c>
      <c r="FJ10" s="84">
        <f>EM10*0.6</f>
        <v>810</v>
      </c>
      <c r="FK10" s="68"/>
      <c r="FL10" s="111"/>
    </row>
    <row r="11" spans="1:168">
      <c r="B11" s="14" t="s">
        <v>1357</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f t="shared" ref="DC11:DF11" si="28">+CY11</f>
        <v>268</v>
      </c>
      <c r="DD11" s="115">
        <f t="shared" si="28"/>
        <v>290</v>
      </c>
      <c r="DE11" s="115">
        <f t="shared" si="28"/>
        <v>320</v>
      </c>
      <c r="DF11" s="115">
        <f t="shared" si="28"/>
        <v>320</v>
      </c>
      <c r="DG11" s="44"/>
      <c r="DH11" s="44"/>
      <c r="DL11" s="68"/>
      <c r="DM11" s="68"/>
      <c r="DN11" s="44"/>
      <c r="DO11" s="44"/>
      <c r="DP11" s="44"/>
      <c r="DQ11" s="68"/>
      <c r="DR11" s="68"/>
      <c r="DS11" s="68"/>
      <c r="DT11" s="68"/>
      <c r="DU11" s="68"/>
      <c r="DV11" s="68"/>
      <c r="DW11" s="68"/>
      <c r="DX11" s="44"/>
      <c r="DY11" s="44"/>
      <c r="DZ11" s="44"/>
      <c r="EA11" s="44"/>
      <c r="EB11" s="65"/>
      <c r="EL11" s="44">
        <f t="shared" si="14"/>
        <v>838</v>
      </c>
      <c r="EM11" s="44">
        <f t="shared" si="4"/>
        <v>1024</v>
      </c>
      <c r="EN11" s="44">
        <f t="shared" si="5"/>
        <v>1185</v>
      </c>
      <c r="EO11" s="44">
        <f t="shared" si="6"/>
        <v>1198</v>
      </c>
      <c r="EP11" s="44">
        <f t="shared" si="7"/>
        <v>1198</v>
      </c>
      <c r="EQ11" s="44">
        <f>+EP11*0.9</f>
        <v>1078.2</v>
      </c>
      <c r="ER11" s="44">
        <f t="shared" ref="ER11:FB11" si="29">+EQ11*0.9</f>
        <v>970.38000000000011</v>
      </c>
      <c r="ES11" s="44">
        <f t="shared" si="29"/>
        <v>873.3420000000001</v>
      </c>
      <c r="ET11" s="44">
        <f t="shared" si="29"/>
        <v>786.00780000000009</v>
      </c>
      <c r="EU11" s="44">
        <f t="shared" si="29"/>
        <v>707.4070200000001</v>
      </c>
      <c r="EV11" s="44">
        <f t="shared" si="29"/>
        <v>636.66631800000016</v>
      </c>
      <c r="EW11" s="44">
        <f t="shared" si="29"/>
        <v>572.99968620000016</v>
      </c>
      <c r="EX11" s="44">
        <f t="shared" si="29"/>
        <v>515.6997175800002</v>
      </c>
      <c r="EY11" s="44">
        <f t="shared" si="29"/>
        <v>464.12974582200019</v>
      </c>
      <c r="EZ11" s="44">
        <f t="shared" si="29"/>
        <v>417.71677123980015</v>
      </c>
      <c r="FA11" s="44">
        <f t="shared" si="29"/>
        <v>375.94509411582015</v>
      </c>
      <c r="FB11" s="44">
        <f t="shared" si="29"/>
        <v>338.35058470423814</v>
      </c>
      <c r="FH11" s="44"/>
    </row>
    <row r="12" spans="1:168" s="14" customFormat="1">
      <c r="B12" s="14" t="s">
        <v>311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8"/>
      <c r="AF12" s="68"/>
      <c r="AG12" s="68"/>
      <c r="AH12" s="68"/>
      <c r="AI12" s="68"/>
      <c r="AJ12" s="68"/>
      <c r="AK12" s="68"/>
      <c r="AL12" s="68"/>
      <c r="AM12" s="70"/>
      <c r="AN12" s="103"/>
      <c r="AO12" s="103"/>
      <c r="AP12" s="103"/>
      <c r="AQ12" s="70"/>
      <c r="AR12" s="70"/>
      <c r="AS12" s="70"/>
      <c r="AT12" s="70"/>
      <c r="AU12" s="68"/>
      <c r="AV12" s="70"/>
      <c r="AW12" s="68"/>
      <c r="AX12" s="68"/>
      <c r="AY12" s="68"/>
      <c r="AZ12" s="68"/>
      <c r="BA12" s="68"/>
      <c r="BB12" s="68"/>
      <c r="BC12" s="70"/>
      <c r="BD12" s="68"/>
      <c r="BE12" s="68"/>
      <c r="BF12" s="70"/>
      <c r="BG12" s="68"/>
      <c r="BH12" s="70"/>
      <c r="BI12" s="68"/>
      <c r="BJ12" s="70"/>
      <c r="BK12" s="70">
        <v>7</v>
      </c>
      <c r="BL12" s="68"/>
      <c r="BM12" s="68"/>
      <c r="BN12" s="68">
        <v>47</v>
      </c>
      <c r="BO12" s="68">
        <v>63</v>
      </c>
      <c r="BP12" s="68">
        <v>71</v>
      </c>
      <c r="BQ12" s="68">
        <v>83</v>
      </c>
      <c r="BR12" s="68">
        <v>102</v>
      </c>
      <c r="BS12" s="44">
        <v>88</v>
      </c>
      <c r="BT12" s="44">
        <v>101</v>
      </c>
      <c r="BU12" s="44">
        <f t="shared" ref="BU12:BV12" si="30">+BT12+10</f>
        <v>111</v>
      </c>
      <c r="BV12" s="44">
        <f t="shared" si="30"/>
        <v>121</v>
      </c>
      <c r="BW12" s="44"/>
      <c r="BX12" s="44"/>
      <c r="BY12" s="44"/>
      <c r="BZ12" s="44"/>
      <c r="CA12" s="44"/>
      <c r="CB12" s="44"/>
      <c r="CC12" s="44"/>
      <c r="CD12" s="44"/>
      <c r="CE12" s="44"/>
      <c r="CF12" s="44"/>
      <c r="CG12" s="44"/>
      <c r="CH12" s="44"/>
      <c r="CI12" s="44"/>
      <c r="CJ12" s="44"/>
      <c r="CK12" s="44">
        <v>71</v>
      </c>
      <c r="CL12" s="44">
        <v>72</v>
      </c>
      <c r="CM12" s="44">
        <v>73</v>
      </c>
      <c r="CN12" s="115">
        <v>104</v>
      </c>
      <c r="CO12" s="115">
        <v>139</v>
      </c>
      <c r="CP12" s="115">
        <v>161</v>
      </c>
      <c r="CQ12" s="115">
        <v>169</v>
      </c>
      <c r="CR12" s="115">
        <v>195</v>
      </c>
      <c r="CS12" s="115">
        <v>195</v>
      </c>
      <c r="CT12" s="115">
        <v>228</v>
      </c>
      <c r="CU12" s="115">
        <v>229</v>
      </c>
      <c r="CV12" s="115">
        <v>257</v>
      </c>
      <c r="CW12" s="115">
        <v>256</v>
      </c>
      <c r="CX12" s="115">
        <v>260</v>
      </c>
      <c r="CY12" s="115">
        <v>234</v>
      </c>
      <c r="CZ12" s="115">
        <v>274</v>
      </c>
      <c r="DA12" s="115">
        <v>252</v>
      </c>
      <c r="DB12" s="115">
        <v>243</v>
      </c>
      <c r="DC12" s="115">
        <f t="shared" ref="DC12:DF12" si="31">+CY12*1.05</f>
        <v>245.70000000000002</v>
      </c>
      <c r="DD12" s="115">
        <f t="shared" si="31"/>
        <v>287.7</v>
      </c>
      <c r="DE12" s="115">
        <f t="shared" si="31"/>
        <v>264.60000000000002</v>
      </c>
      <c r="DF12" s="115">
        <f t="shared" si="31"/>
        <v>255.15</v>
      </c>
      <c r="DG12" s="44"/>
      <c r="DH12" s="44"/>
      <c r="DL12" s="68"/>
      <c r="DM12" s="68"/>
      <c r="DN12" s="68"/>
      <c r="DO12" s="68"/>
      <c r="DP12" s="68"/>
      <c r="DQ12" s="68"/>
      <c r="DR12" s="68"/>
      <c r="DS12" s="68"/>
      <c r="DT12" s="68"/>
      <c r="DU12" s="68"/>
      <c r="DV12" s="68"/>
      <c r="DW12" s="68"/>
      <c r="DX12" s="68"/>
      <c r="DY12" s="68"/>
      <c r="DZ12" s="68" t="s">
        <v>702</v>
      </c>
      <c r="EA12" s="68" t="s">
        <v>702</v>
      </c>
      <c r="EB12" s="70" t="s">
        <v>702</v>
      </c>
      <c r="EC12" s="68" t="s">
        <v>702</v>
      </c>
      <c r="ED12" s="68">
        <f>SUM(BG12:BJ12)</f>
        <v>0</v>
      </c>
      <c r="EE12" s="68"/>
      <c r="EF12" s="68">
        <f>SUM(BO12:BR12)</f>
        <v>319</v>
      </c>
      <c r="EG12" s="44">
        <f>SUM(BS12:BV12)</f>
        <v>421</v>
      </c>
      <c r="EH12" s="68"/>
      <c r="EI12" s="68"/>
      <c r="EJ12" s="68"/>
      <c r="EK12" s="68"/>
      <c r="EL12" s="44">
        <f t="shared" si="14"/>
        <v>477</v>
      </c>
      <c r="EM12" s="44">
        <f t="shared" si="4"/>
        <v>787</v>
      </c>
      <c r="EN12" s="44">
        <f t="shared" si="5"/>
        <v>1002</v>
      </c>
      <c r="EO12" s="44">
        <f t="shared" si="6"/>
        <v>1003</v>
      </c>
      <c r="EP12" s="44">
        <f t="shared" si="7"/>
        <v>1053.1500000000001</v>
      </c>
      <c r="EQ12" s="44">
        <f t="shared" ref="EQ12:FB12" si="32">+EP12*0.9</f>
        <v>947.83500000000015</v>
      </c>
      <c r="ER12" s="44">
        <f t="shared" si="32"/>
        <v>853.05150000000015</v>
      </c>
      <c r="ES12" s="44">
        <f t="shared" si="32"/>
        <v>767.74635000000012</v>
      </c>
      <c r="ET12" s="44">
        <f t="shared" si="32"/>
        <v>690.97171500000013</v>
      </c>
      <c r="EU12" s="44">
        <f t="shared" si="32"/>
        <v>621.87454350000019</v>
      </c>
      <c r="EV12" s="44">
        <f t="shared" si="32"/>
        <v>559.68708915000013</v>
      </c>
      <c r="EW12" s="44">
        <f t="shared" si="32"/>
        <v>503.71838023500015</v>
      </c>
      <c r="EX12" s="44">
        <f t="shared" si="32"/>
        <v>453.34654221150015</v>
      </c>
      <c r="EY12" s="44">
        <f t="shared" si="32"/>
        <v>408.01188799035015</v>
      </c>
      <c r="EZ12" s="44">
        <f t="shared" si="32"/>
        <v>367.21069919131514</v>
      </c>
      <c r="FA12" s="44">
        <f t="shared" si="32"/>
        <v>330.48962927218366</v>
      </c>
      <c r="FB12" s="44">
        <f t="shared" si="32"/>
        <v>297.44066634496528</v>
      </c>
      <c r="FC12" s="68"/>
      <c r="FD12" s="68"/>
      <c r="FE12" s="68"/>
      <c r="FF12" s="68"/>
      <c r="FG12" s="68"/>
      <c r="FH12" s="83">
        <v>0</v>
      </c>
      <c r="FI12" s="68">
        <f>EH12*0.7</f>
        <v>0</v>
      </c>
      <c r="FJ12" s="84">
        <f>EM12*0.7</f>
        <v>550.9</v>
      </c>
      <c r="FK12" s="68"/>
    </row>
    <row r="13" spans="1:168" s="14" customFormat="1">
      <c r="B13" s="14" t="s">
        <v>1586</v>
      </c>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8"/>
      <c r="AF13" s="68"/>
      <c r="AG13" s="68"/>
      <c r="AH13" s="68"/>
      <c r="AI13" s="68"/>
      <c r="AJ13" s="68"/>
      <c r="AK13" s="68"/>
      <c r="AL13" s="68"/>
      <c r="AM13" s="70"/>
      <c r="AN13" s="103"/>
      <c r="AO13" s="103"/>
      <c r="AP13" s="103"/>
      <c r="AQ13" s="70"/>
      <c r="AR13" s="70"/>
      <c r="AS13" s="70"/>
      <c r="AT13" s="70"/>
      <c r="AU13" s="68"/>
      <c r="AV13" s="70"/>
      <c r="AW13" s="68"/>
      <c r="AX13" s="68"/>
      <c r="AY13" s="68"/>
      <c r="AZ13" s="68"/>
      <c r="BA13" s="68"/>
      <c r="BB13" s="68"/>
      <c r="BC13" s="70"/>
      <c r="BD13" s="68"/>
      <c r="BE13" s="68"/>
      <c r="BF13" s="70"/>
      <c r="BG13" s="68"/>
      <c r="BH13" s="70"/>
      <c r="BI13" s="68"/>
      <c r="BJ13" s="70"/>
      <c r="BK13" s="70"/>
      <c r="BL13" s="68"/>
      <c r="BM13" s="68"/>
      <c r="BN13" s="68"/>
      <c r="BO13" s="68"/>
      <c r="BP13" s="68"/>
      <c r="BQ13" s="68"/>
      <c r="BR13" s="68"/>
      <c r="BS13" s="44"/>
      <c r="BT13" s="44"/>
      <c r="BU13" s="44"/>
      <c r="BV13" s="44"/>
      <c r="BW13" s="44"/>
      <c r="BX13" s="44"/>
      <c r="BY13" s="44"/>
      <c r="BZ13" s="44"/>
      <c r="CA13" s="44"/>
      <c r="CB13" s="44"/>
      <c r="CC13" s="44"/>
      <c r="CD13" s="44"/>
      <c r="CE13" s="44"/>
      <c r="CF13" s="44"/>
      <c r="CG13" s="44"/>
      <c r="CH13" s="44"/>
      <c r="CI13" s="44"/>
      <c r="CJ13" s="44"/>
      <c r="CK13" s="44"/>
      <c r="CL13" s="44"/>
      <c r="CM13" s="44"/>
      <c r="CN13" s="115"/>
      <c r="CO13" s="115"/>
      <c r="CP13" s="115"/>
      <c r="CQ13" s="115"/>
      <c r="CR13" s="115"/>
      <c r="CS13" s="115"/>
      <c r="CT13" s="115"/>
      <c r="CU13" s="115"/>
      <c r="CV13" s="115"/>
      <c r="CW13" s="115"/>
      <c r="CX13" s="115"/>
      <c r="CY13" s="115"/>
      <c r="CZ13" s="115"/>
      <c r="DA13" s="115"/>
      <c r="DB13" s="115">
        <v>211</v>
      </c>
      <c r="DC13" s="115">
        <f>+DB13+20</f>
        <v>231</v>
      </c>
      <c r="DD13" s="115">
        <f t="shared" ref="DD13:DF13" si="33">+DC13+20</f>
        <v>251</v>
      </c>
      <c r="DE13" s="115">
        <f t="shared" si="33"/>
        <v>271</v>
      </c>
      <c r="DF13" s="115">
        <f t="shared" si="33"/>
        <v>291</v>
      </c>
      <c r="DG13" s="44"/>
      <c r="DH13" s="44"/>
      <c r="DL13" s="68"/>
      <c r="DM13" s="68"/>
      <c r="DN13" s="68"/>
      <c r="DO13" s="68"/>
      <c r="DP13" s="68"/>
      <c r="DQ13" s="68"/>
      <c r="DR13" s="68"/>
      <c r="DS13" s="68"/>
      <c r="DT13" s="68"/>
      <c r="DU13" s="68"/>
      <c r="DV13" s="68"/>
      <c r="DW13" s="68"/>
      <c r="DX13" s="68"/>
      <c r="DY13" s="68"/>
      <c r="DZ13" s="68"/>
      <c r="EA13" s="68"/>
      <c r="EB13" s="70"/>
      <c r="EC13" s="68"/>
      <c r="ED13" s="68"/>
      <c r="EE13" s="68"/>
      <c r="EF13" s="68"/>
      <c r="EG13" s="44"/>
      <c r="EH13" s="68"/>
      <c r="EI13" s="68"/>
      <c r="EJ13" s="68"/>
      <c r="EK13" s="68"/>
      <c r="EL13" s="44"/>
      <c r="EM13" s="44"/>
      <c r="EN13" s="44"/>
      <c r="EO13" s="44"/>
      <c r="EP13" s="44">
        <f>SUM(DC13:DF13)</f>
        <v>1044</v>
      </c>
      <c r="EQ13" s="44">
        <f>+EP13*1.3</f>
        <v>1357.2</v>
      </c>
      <c r="ER13" s="44">
        <f t="shared" ref="ER13:EW13" si="34">+EQ13*1.1</f>
        <v>1492.92</v>
      </c>
      <c r="ES13" s="44">
        <f t="shared" si="34"/>
        <v>1642.2120000000002</v>
      </c>
      <c r="ET13" s="44">
        <f t="shared" si="34"/>
        <v>1806.4332000000004</v>
      </c>
      <c r="EU13" s="44">
        <f t="shared" si="34"/>
        <v>1987.0765200000005</v>
      </c>
      <c r="EV13" s="44">
        <f t="shared" si="34"/>
        <v>2185.7841720000006</v>
      </c>
      <c r="EW13" s="44">
        <f t="shared" si="34"/>
        <v>2404.3625892000009</v>
      </c>
      <c r="EX13" s="44"/>
      <c r="EY13" s="44"/>
      <c r="EZ13" s="44"/>
      <c r="FA13" s="44"/>
      <c r="FB13" s="44"/>
      <c r="FC13" s="68"/>
      <c r="FD13" s="68"/>
      <c r="FE13" s="68"/>
      <c r="FF13" s="68"/>
      <c r="FG13" s="68"/>
      <c r="FH13" s="68"/>
      <c r="FI13" s="68"/>
      <c r="FJ13" s="84"/>
      <c r="FK13" s="68"/>
    </row>
    <row r="14" spans="1:168">
      <c r="B14" s="14" t="s">
        <v>726</v>
      </c>
      <c r="W14" s="44"/>
      <c r="X14" s="44"/>
      <c r="Y14" s="44"/>
      <c r="Z14" s="44"/>
      <c r="AA14" s="44"/>
      <c r="AB14" s="44"/>
      <c r="AC14" s="44"/>
      <c r="AD14" s="44"/>
      <c r="AE14" s="44"/>
      <c r="AF14" s="44"/>
      <c r="AG14" s="44"/>
      <c r="AH14" s="44"/>
      <c r="AI14" s="68"/>
      <c r="AJ14" s="44"/>
      <c r="AK14" s="44"/>
      <c r="AL14" s="65"/>
      <c r="AM14" s="65"/>
      <c r="AN14" s="65"/>
      <c r="AO14" s="65"/>
      <c r="AP14" s="70"/>
      <c r="AQ14" s="65"/>
      <c r="AR14" s="65"/>
      <c r="AS14" s="65"/>
      <c r="AT14" s="65"/>
      <c r="AU14" s="44"/>
      <c r="AV14" s="65"/>
      <c r="AW14" s="44"/>
      <c r="AX14" s="65"/>
      <c r="AY14" s="65"/>
      <c r="AZ14" s="44"/>
      <c r="BA14" s="44"/>
      <c r="BB14" s="44"/>
      <c r="BC14" s="65"/>
      <c r="BD14" s="44"/>
      <c r="BE14" s="44">
        <v>49</v>
      </c>
      <c r="BF14" s="65">
        <v>60</v>
      </c>
      <c r="BG14" s="44"/>
      <c r="BH14" s="65">
        <v>49</v>
      </c>
      <c r="BI14" s="44">
        <v>51</v>
      </c>
      <c r="BJ14" s="65">
        <v>63</v>
      </c>
      <c r="BK14" s="65">
        <v>58</v>
      </c>
      <c r="BL14" s="44">
        <v>71</v>
      </c>
      <c r="BM14" s="44">
        <v>62</v>
      </c>
      <c r="BN14" s="44">
        <v>71</v>
      </c>
      <c r="BO14" s="44">
        <v>71</v>
      </c>
      <c r="BP14" s="44">
        <v>73</v>
      </c>
      <c r="BQ14" s="44">
        <v>78</v>
      </c>
      <c r="BR14" s="44">
        <v>87</v>
      </c>
      <c r="BS14" s="44">
        <v>88</v>
      </c>
      <c r="BT14" s="44">
        <v>92</v>
      </c>
      <c r="BU14" s="44">
        <f>+BQ14</f>
        <v>78</v>
      </c>
      <c r="BV14" s="44">
        <f>+BR14</f>
        <v>87</v>
      </c>
      <c r="BW14" s="44"/>
      <c r="BX14" s="44"/>
      <c r="BY14" s="44"/>
      <c r="BZ14" s="44"/>
      <c r="CA14" s="44"/>
      <c r="CB14" s="44"/>
      <c r="CC14" s="44"/>
      <c r="CD14" s="44"/>
      <c r="CE14" s="44"/>
      <c r="CF14" s="44"/>
      <c r="CG14" s="44"/>
      <c r="CH14" s="44"/>
      <c r="CI14" s="44"/>
      <c r="CJ14" s="44"/>
      <c r="CK14" s="44">
        <v>145</v>
      </c>
      <c r="CL14" s="44">
        <v>149</v>
      </c>
      <c r="CM14" s="44">
        <v>177</v>
      </c>
      <c r="CN14" s="115">
        <v>165</v>
      </c>
      <c r="CO14" s="115">
        <v>163</v>
      </c>
      <c r="CP14" s="115">
        <v>179</v>
      </c>
      <c r="CQ14" s="115">
        <v>187</v>
      </c>
      <c r="CR14" s="115">
        <v>102</v>
      </c>
      <c r="CS14" s="115">
        <v>143</v>
      </c>
      <c r="CT14" s="115">
        <v>186</v>
      </c>
      <c r="CU14" s="115">
        <v>192</v>
      </c>
      <c r="CV14" s="115">
        <v>141</v>
      </c>
      <c r="CW14" s="115">
        <v>181</v>
      </c>
      <c r="CX14" s="115">
        <v>169</v>
      </c>
      <c r="CY14" s="115">
        <v>210</v>
      </c>
      <c r="CZ14" s="115">
        <v>210</v>
      </c>
      <c r="DA14" s="115">
        <v>178</v>
      </c>
      <c r="DB14" s="115">
        <v>189</v>
      </c>
      <c r="DC14" s="115">
        <f t="shared" ref="DC14:DF14" si="35">+CY14*1.02</f>
        <v>214.20000000000002</v>
      </c>
      <c r="DD14" s="115">
        <f t="shared" si="35"/>
        <v>214.20000000000002</v>
      </c>
      <c r="DE14" s="115">
        <f t="shared" si="35"/>
        <v>181.56</v>
      </c>
      <c r="DF14" s="115">
        <f t="shared" si="35"/>
        <v>192.78</v>
      </c>
      <c r="DG14" s="44"/>
      <c r="DH14" s="44"/>
      <c r="DL14" s="68"/>
      <c r="DM14" s="68">
        <v>126</v>
      </c>
      <c r="DN14" s="44">
        <v>160</v>
      </c>
      <c r="DO14" s="44">
        <v>139</v>
      </c>
      <c r="DP14" s="44"/>
      <c r="DQ14" s="68"/>
      <c r="DR14" s="68"/>
      <c r="DS14" s="68"/>
      <c r="DT14" s="68"/>
      <c r="DU14" s="68"/>
      <c r="DV14" s="68"/>
      <c r="DW14" s="68"/>
      <c r="DX14" s="44"/>
      <c r="DY14" s="44"/>
      <c r="DZ14" s="44"/>
      <c r="EA14" s="44"/>
      <c r="EB14" s="65"/>
      <c r="EE14" s="44">
        <f>SUM(BK14:BN14)</f>
        <v>262</v>
      </c>
      <c r="EF14" s="44">
        <f>SUM(BO14:BR14)</f>
        <v>309</v>
      </c>
      <c r="EG14" s="44">
        <f>SUM(BS14:BV14)</f>
        <v>345</v>
      </c>
      <c r="EH14" s="44">
        <f t="shared" ref="EH14:EI14" si="36">+EG14*0.9</f>
        <v>310.5</v>
      </c>
      <c r="EI14" s="44">
        <f t="shared" si="36"/>
        <v>279.45</v>
      </c>
      <c r="EL14" s="44">
        <f t="shared" si="14"/>
        <v>684</v>
      </c>
      <c r="EM14" s="44">
        <f t="shared" si="4"/>
        <v>618</v>
      </c>
      <c r="EN14" s="44">
        <f t="shared" si="5"/>
        <v>683</v>
      </c>
      <c r="EO14" s="44">
        <f t="shared" si="6"/>
        <v>787</v>
      </c>
      <c r="EP14" s="44">
        <f t="shared" si="7"/>
        <v>802.74</v>
      </c>
      <c r="EQ14" s="44">
        <f t="shared" ref="EQ14:FB14" si="37">+EP14*0.9</f>
        <v>722.46600000000001</v>
      </c>
      <c r="ER14" s="44">
        <f t="shared" si="37"/>
        <v>650.21940000000006</v>
      </c>
      <c r="ES14" s="44">
        <f t="shared" si="37"/>
        <v>585.19746000000009</v>
      </c>
      <c r="ET14" s="44">
        <f t="shared" si="37"/>
        <v>526.67771400000015</v>
      </c>
      <c r="EU14" s="44">
        <f t="shared" si="37"/>
        <v>474.00994260000016</v>
      </c>
      <c r="EV14" s="44">
        <f t="shared" si="37"/>
        <v>426.60894834000015</v>
      </c>
      <c r="EW14" s="44">
        <f t="shared" si="37"/>
        <v>383.94805350600012</v>
      </c>
      <c r="EX14" s="44">
        <f t="shared" si="37"/>
        <v>345.55324815540013</v>
      </c>
      <c r="EY14" s="44">
        <f t="shared" si="37"/>
        <v>310.99792333986011</v>
      </c>
      <c r="EZ14" s="44">
        <f t="shared" si="37"/>
        <v>279.89813100587412</v>
      </c>
      <c r="FA14" s="44">
        <f t="shared" si="37"/>
        <v>251.90831790528671</v>
      </c>
      <c r="FB14" s="44">
        <f t="shared" si="37"/>
        <v>226.71748611475803</v>
      </c>
      <c r="FH14" s="44"/>
      <c r="FJ14" s="82">
        <f>+EM14*0.5</f>
        <v>309</v>
      </c>
    </row>
    <row r="15" spans="1:168" s="14" customFormat="1">
      <c r="B15" s="14" t="s">
        <v>1364</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v>0</v>
      </c>
      <c r="CL15" s="44">
        <v>0</v>
      </c>
      <c r="CM15" s="44">
        <v>0</v>
      </c>
      <c r="CN15" s="115">
        <v>0</v>
      </c>
      <c r="CO15" s="115">
        <v>0</v>
      </c>
      <c r="CP15" s="115">
        <v>0</v>
      </c>
      <c r="CQ15" s="115">
        <v>0</v>
      </c>
      <c r="CR15" s="115">
        <v>0</v>
      </c>
      <c r="CS15" s="115">
        <v>48</v>
      </c>
      <c r="CT15" s="115">
        <v>79</v>
      </c>
      <c r="CU15" s="115">
        <v>86</v>
      </c>
      <c r="CV15" s="115">
        <v>129</v>
      </c>
      <c r="CW15" s="115">
        <v>96</v>
      </c>
      <c r="CX15" s="115">
        <v>133</v>
      </c>
      <c r="CY15" s="115">
        <v>147</v>
      </c>
      <c r="CZ15" s="115">
        <v>138</v>
      </c>
      <c r="DA15" s="115">
        <v>146</v>
      </c>
      <c r="DB15" s="115">
        <v>130</v>
      </c>
      <c r="DC15" s="115">
        <f t="shared" ref="DC15:DF15" si="38">+CY15*1.03</f>
        <v>151.41</v>
      </c>
      <c r="DD15" s="115">
        <f t="shared" si="38"/>
        <v>142.14000000000001</v>
      </c>
      <c r="DE15" s="115">
        <f t="shared" si="38"/>
        <v>150.38</v>
      </c>
      <c r="DF15" s="115">
        <f t="shared" si="38"/>
        <v>133.9</v>
      </c>
      <c r="DG15" s="44"/>
      <c r="DH15" s="44"/>
      <c r="DL15" s="68"/>
      <c r="DM15" s="68"/>
      <c r="DN15" s="68"/>
      <c r="DO15" s="68"/>
      <c r="DP15" s="68"/>
      <c r="DQ15" s="68"/>
      <c r="DR15" s="68"/>
      <c r="DS15" s="68"/>
      <c r="DT15" s="68"/>
      <c r="DU15" s="68"/>
      <c r="DV15" s="68"/>
      <c r="DW15" s="68"/>
      <c r="DX15" s="68"/>
      <c r="DY15" s="68"/>
      <c r="DZ15" s="68"/>
      <c r="EA15" s="68"/>
      <c r="EB15" s="70"/>
      <c r="EC15" s="68"/>
      <c r="ED15" s="68"/>
      <c r="EE15" s="68"/>
      <c r="EF15" s="68"/>
      <c r="EG15" s="44"/>
      <c r="EH15" s="68"/>
      <c r="EI15" s="68"/>
      <c r="EJ15" s="68"/>
      <c r="EK15" s="68"/>
      <c r="EL15" s="44">
        <f t="shared" si="14"/>
        <v>0</v>
      </c>
      <c r="EM15" s="44">
        <f t="shared" si="4"/>
        <v>127</v>
      </c>
      <c r="EN15" s="44">
        <f t="shared" si="5"/>
        <v>444</v>
      </c>
      <c r="EO15" s="44">
        <f t="shared" si="6"/>
        <v>561</v>
      </c>
      <c r="EP15" s="44">
        <f t="shared" si="7"/>
        <v>577.83000000000004</v>
      </c>
      <c r="EQ15" s="44">
        <f t="shared" ref="EQ15:FB15" si="39">+EP15*0.9</f>
        <v>520.04700000000003</v>
      </c>
      <c r="ER15" s="44">
        <f t="shared" si="39"/>
        <v>468.04230000000001</v>
      </c>
      <c r="ES15" s="44">
        <f t="shared" si="39"/>
        <v>421.23806999999999</v>
      </c>
      <c r="ET15" s="44">
        <f t="shared" si="39"/>
        <v>379.11426299999999</v>
      </c>
      <c r="EU15" s="44">
        <f t="shared" si="39"/>
        <v>341.20283669999998</v>
      </c>
      <c r="EV15" s="44">
        <f t="shared" si="39"/>
        <v>307.08255302999999</v>
      </c>
      <c r="EW15" s="44">
        <f t="shared" si="39"/>
        <v>276.374297727</v>
      </c>
      <c r="EX15" s="44">
        <f t="shared" si="39"/>
        <v>248.73686795430001</v>
      </c>
      <c r="EY15" s="44">
        <f t="shared" si="39"/>
        <v>223.86318115887002</v>
      </c>
      <c r="EZ15" s="44">
        <f t="shared" si="39"/>
        <v>201.47686304298301</v>
      </c>
      <c r="FA15" s="44">
        <f t="shared" si="39"/>
        <v>181.32917673868471</v>
      </c>
      <c r="FB15" s="44">
        <f t="shared" si="39"/>
        <v>163.19625906481625</v>
      </c>
      <c r="FC15" s="68"/>
      <c r="FD15" s="68"/>
      <c r="FE15" s="68"/>
      <c r="FF15" s="68"/>
      <c r="FG15" s="68"/>
      <c r="FH15" s="83"/>
      <c r="FI15" s="68"/>
      <c r="FJ15" s="84"/>
      <c r="FK15" s="68"/>
    </row>
    <row r="16" spans="1:168" s="14" customFormat="1">
      <c r="B16" s="14" t="s">
        <v>1376</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8"/>
      <c r="AF16" s="68"/>
      <c r="AG16" s="68"/>
      <c r="AH16" s="68"/>
      <c r="AI16" s="68"/>
      <c r="AJ16" s="68"/>
      <c r="AK16" s="68"/>
      <c r="AL16" s="68"/>
      <c r="AM16" s="70"/>
      <c r="AN16" s="103"/>
      <c r="AO16" s="103"/>
      <c r="AP16" s="103"/>
      <c r="AQ16" s="70"/>
      <c r="AR16" s="70"/>
      <c r="AS16" s="70"/>
      <c r="AT16" s="70"/>
      <c r="AU16" s="68"/>
      <c r="AV16" s="70"/>
      <c r="AW16" s="68"/>
      <c r="AX16" s="68"/>
      <c r="AY16" s="68"/>
      <c r="AZ16" s="68"/>
      <c r="BA16" s="68"/>
      <c r="BB16" s="68"/>
      <c r="BC16" s="70"/>
      <c r="BD16" s="68"/>
      <c r="BE16" s="68"/>
      <c r="BF16" s="70"/>
      <c r="BG16" s="68"/>
      <c r="BH16" s="70"/>
      <c r="BI16" s="68"/>
      <c r="BJ16" s="70"/>
      <c r="BK16" s="70"/>
      <c r="BL16" s="68"/>
      <c r="BM16" s="68"/>
      <c r="BN16" s="68"/>
      <c r="BO16" s="68"/>
      <c r="BP16" s="68"/>
      <c r="BQ16" s="68"/>
      <c r="BR16" s="68"/>
      <c r="BS16" s="44"/>
      <c r="BT16" s="44"/>
      <c r="BU16" s="44"/>
      <c r="BV16" s="44"/>
      <c r="BW16" s="44"/>
      <c r="BX16" s="44"/>
      <c r="BY16" s="44"/>
      <c r="BZ16" s="44"/>
      <c r="CA16" s="44"/>
      <c r="CB16" s="44"/>
      <c r="CC16" s="44"/>
      <c r="CD16" s="44"/>
      <c r="CE16" s="44"/>
      <c r="CF16" s="44"/>
      <c r="CG16" s="44"/>
      <c r="CH16" s="44"/>
      <c r="CI16" s="44"/>
      <c r="CJ16" s="44"/>
      <c r="CK16" s="44">
        <v>166</v>
      </c>
      <c r="CL16" s="44">
        <v>173</v>
      </c>
      <c r="CM16" s="44">
        <v>138</v>
      </c>
      <c r="CN16" s="115">
        <v>153</v>
      </c>
      <c r="CO16" s="115">
        <v>155</v>
      </c>
      <c r="CP16" s="115">
        <v>179</v>
      </c>
      <c r="CQ16" s="115">
        <v>158</v>
      </c>
      <c r="CR16" s="115">
        <v>150</v>
      </c>
      <c r="CS16" s="115">
        <v>162</v>
      </c>
      <c r="CT16" s="115">
        <v>188</v>
      </c>
      <c r="CU16" s="115">
        <v>177</v>
      </c>
      <c r="CV16" s="115">
        <v>136</v>
      </c>
      <c r="CW16" s="115">
        <v>172</v>
      </c>
      <c r="CX16" s="115">
        <v>171</v>
      </c>
      <c r="CY16" s="115">
        <v>135</v>
      </c>
      <c r="CZ16" s="115">
        <v>137</v>
      </c>
      <c r="DA16" s="115">
        <v>131</v>
      </c>
      <c r="DB16" s="115">
        <v>129</v>
      </c>
      <c r="DC16" s="115">
        <f t="shared" ref="DC16:DF16" si="40">+CY16*0.9</f>
        <v>121.5</v>
      </c>
      <c r="DD16" s="115">
        <f t="shared" si="40"/>
        <v>123.3</v>
      </c>
      <c r="DE16" s="115">
        <f t="shared" si="40"/>
        <v>117.9</v>
      </c>
      <c r="DF16" s="115">
        <f t="shared" si="40"/>
        <v>116.10000000000001</v>
      </c>
      <c r="DG16" s="44"/>
      <c r="DH16" s="44"/>
      <c r="DL16" s="68"/>
      <c r="DM16" s="68"/>
      <c r="DN16" s="68"/>
      <c r="DO16" s="68"/>
      <c r="DP16" s="68"/>
      <c r="DQ16" s="68"/>
      <c r="DR16" s="68"/>
      <c r="DS16" s="68"/>
      <c r="DT16" s="68"/>
      <c r="DU16" s="68"/>
      <c r="DV16" s="68"/>
      <c r="DW16" s="68"/>
      <c r="DX16" s="68"/>
      <c r="DY16" s="68"/>
      <c r="DZ16" s="68"/>
      <c r="EA16" s="68"/>
      <c r="EB16" s="70"/>
      <c r="EC16" s="68"/>
      <c r="ED16" s="68"/>
      <c r="EE16" s="68"/>
      <c r="EF16" s="68"/>
      <c r="EG16" s="44"/>
      <c r="EH16" s="68"/>
      <c r="EI16" s="68"/>
      <c r="EJ16" s="68"/>
      <c r="EK16" s="68"/>
      <c r="EL16" s="44">
        <f t="shared" si="14"/>
        <v>625</v>
      </c>
      <c r="EM16" s="44">
        <f t="shared" si="4"/>
        <v>658</v>
      </c>
      <c r="EN16" s="44">
        <f t="shared" si="5"/>
        <v>656</v>
      </c>
      <c r="EO16" s="44">
        <f t="shared" si="6"/>
        <v>532</v>
      </c>
      <c r="EP16" s="44">
        <f t="shared" si="7"/>
        <v>478.80000000000007</v>
      </c>
      <c r="EQ16" s="44">
        <f t="shared" ref="EQ16:FB16" si="41">+EP16*0.9</f>
        <v>430.92000000000007</v>
      </c>
      <c r="ER16" s="44">
        <f t="shared" si="41"/>
        <v>387.82800000000009</v>
      </c>
      <c r="ES16" s="44">
        <f t="shared" si="41"/>
        <v>349.04520000000008</v>
      </c>
      <c r="ET16" s="44">
        <f t="shared" si="41"/>
        <v>314.14068000000009</v>
      </c>
      <c r="EU16" s="44">
        <f t="shared" si="41"/>
        <v>282.7266120000001</v>
      </c>
      <c r="EV16" s="44">
        <f t="shared" si="41"/>
        <v>254.45395080000009</v>
      </c>
      <c r="EW16" s="44">
        <f t="shared" si="41"/>
        <v>229.00855572000009</v>
      </c>
      <c r="EX16" s="44">
        <f t="shared" si="41"/>
        <v>206.10770014800008</v>
      </c>
      <c r="EY16" s="44">
        <f t="shared" si="41"/>
        <v>185.49693013320007</v>
      </c>
      <c r="EZ16" s="44">
        <f t="shared" si="41"/>
        <v>166.94723711988007</v>
      </c>
      <c r="FA16" s="44">
        <f t="shared" si="41"/>
        <v>150.25251340789208</v>
      </c>
      <c r="FB16" s="44">
        <f t="shared" si="41"/>
        <v>135.22726206710288</v>
      </c>
      <c r="FC16" s="68"/>
      <c r="FD16" s="68"/>
      <c r="FE16" s="68"/>
      <c r="FF16" s="68"/>
      <c r="FG16" s="68"/>
      <c r="FH16" s="83"/>
      <c r="FI16" s="68"/>
      <c r="FJ16" s="84"/>
      <c r="FK16" s="68"/>
    </row>
    <row r="17" spans="1:175" s="14" customFormat="1">
      <c r="B17" s="14" t="s">
        <v>1365</v>
      </c>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8"/>
      <c r="AF17" s="68"/>
      <c r="AG17" s="68"/>
      <c r="AH17" s="68"/>
      <c r="AI17" s="68"/>
      <c r="AJ17" s="68"/>
      <c r="AK17" s="68"/>
      <c r="AL17" s="68"/>
      <c r="AM17" s="70"/>
      <c r="AN17" s="103"/>
      <c r="AO17" s="103"/>
      <c r="AP17" s="103"/>
      <c r="AQ17" s="70"/>
      <c r="AR17" s="70"/>
      <c r="AS17" s="70"/>
      <c r="AT17" s="70"/>
      <c r="AU17" s="68"/>
      <c r="AV17" s="70"/>
      <c r="AW17" s="68"/>
      <c r="AX17" s="68"/>
      <c r="AY17" s="68"/>
      <c r="AZ17" s="68"/>
      <c r="BA17" s="68"/>
      <c r="BB17" s="68"/>
      <c r="BC17" s="70"/>
      <c r="BD17" s="68"/>
      <c r="BE17" s="68"/>
      <c r="BF17" s="70"/>
      <c r="BG17" s="68"/>
      <c r="BH17" s="70"/>
      <c r="BI17" s="68"/>
      <c r="BJ17" s="70"/>
      <c r="BK17" s="70"/>
      <c r="BL17" s="68"/>
      <c r="BM17" s="68"/>
      <c r="BN17" s="68"/>
      <c r="BO17" s="68"/>
      <c r="BP17" s="68"/>
      <c r="BQ17" s="68"/>
      <c r="BR17" s="68"/>
      <c r="BS17" s="44"/>
      <c r="BT17" s="44"/>
      <c r="BU17" s="44"/>
      <c r="BV17" s="44"/>
      <c r="BW17" s="44"/>
      <c r="BX17" s="44"/>
      <c r="BY17" s="44"/>
      <c r="BZ17" s="44"/>
      <c r="CA17" s="44"/>
      <c r="CB17" s="44"/>
      <c r="CC17" s="44"/>
      <c r="CD17" s="44"/>
      <c r="CE17" s="44"/>
      <c r="CF17" s="44"/>
      <c r="CG17" s="44"/>
      <c r="CH17" s="44"/>
      <c r="CI17" s="44"/>
      <c r="CJ17" s="44"/>
      <c r="CK17" s="44">
        <v>69</v>
      </c>
      <c r="CL17" s="44">
        <v>89</v>
      </c>
      <c r="CM17" s="44">
        <v>80</v>
      </c>
      <c r="CN17" s="115">
        <v>97</v>
      </c>
      <c r="CO17" s="115">
        <v>90</v>
      </c>
      <c r="CP17" s="115">
        <v>98</v>
      </c>
      <c r="CQ17" s="115">
        <v>100</v>
      </c>
      <c r="CR17" s="115">
        <v>113</v>
      </c>
      <c r="CS17" s="115">
        <v>111</v>
      </c>
      <c r="CT17" s="115">
        <v>126</v>
      </c>
      <c r="CU17" s="115">
        <v>123</v>
      </c>
      <c r="CV17" s="115">
        <v>136</v>
      </c>
      <c r="CW17" s="115">
        <v>136</v>
      </c>
      <c r="CX17" s="115">
        <v>145</v>
      </c>
      <c r="CY17" s="115">
        <v>128</v>
      </c>
      <c r="CZ17" s="115">
        <v>156</v>
      </c>
      <c r="DA17" s="115">
        <v>141</v>
      </c>
      <c r="DB17" s="115">
        <v>150</v>
      </c>
      <c r="DC17" s="115">
        <f t="shared" ref="DC17:DF17" si="42">+CY17*1.03</f>
        <v>131.84</v>
      </c>
      <c r="DD17" s="115">
        <f t="shared" si="42"/>
        <v>160.68</v>
      </c>
      <c r="DE17" s="115">
        <f t="shared" si="42"/>
        <v>145.22999999999999</v>
      </c>
      <c r="DF17" s="115">
        <f t="shared" si="42"/>
        <v>154.5</v>
      </c>
      <c r="DG17" s="44"/>
      <c r="DH17" s="44"/>
      <c r="DL17" s="68"/>
      <c r="DM17" s="68"/>
      <c r="DN17" s="68"/>
      <c r="DO17" s="68"/>
      <c r="DP17" s="68"/>
      <c r="DQ17" s="68"/>
      <c r="DR17" s="68"/>
      <c r="DS17" s="68"/>
      <c r="DT17" s="68"/>
      <c r="DU17" s="68"/>
      <c r="DV17" s="68"/>
      <c r="DW17" s="68"/>
      <c r="DX17" s="68"/>
      <c r="DY17" s="68"/>
      <c r="DZ17" s="68"/>
      <c r="EA17" s="68"/>
      <c r="EB17" s="70"/>
      <c r="EC17" s="68"/>
      <c r="ED17" s="68"/>
      <c r="EE17" s="68"/>
      <c r="EF17" s="68"/>
      <c r="EG17" s="44"/>
      <c r="EH17" s="68"/>
      <c r="EI17" s="68"/>
      <c r="EJ17" s="68"/>
      <c r="EK17" s="68"/>
      <c r="EL17" s="44">
        <f t="shared" si="14"/>
        <v>365</v>
      </c>
      <c r="EM17" s="44">
        <f t="shared" si="4"/>
        <v>450</v>
      </c>
      <c r="EN17" s="44">
        <f t="shared" si="5"/>
        <v>540</v>
      </c>
      <c r="EO17" s="44">
        <f t="shared" si="6"/>
        <v>575</v>
      </c>
      <c r="EP17" s="44">
        <f t="shared" si="7"/>
        <v>592.25</v>
      </c>
      <c r="EQ17" s="44">
        <f t="shared" ref="EQ17:FB17" si="43">+EP17*0.9</f>
        <v>533.02499999999998</v>
      </c>
      <c r="ER17" s="44">
        <f t="shared" si="43"/>
        <v>479.72249999999997</v>
      </c>
      <c r="ES17" s="44">
        <f t="shared" si="43"/>
        <v>431.75024999999999</v>
      </c>
      <c r="ET17" s="44">
        <f t="shared" si="43"/>
        <v>388.57522499999999</v>
      </c>
      <c r="EU17" s="44">
        <f t="shared" si="43"/>
        <v>349.71770249999997</v>
      </c>
      <c r="EV17" s="44">
        <f t="shared" si="43"/>
        <v>314.74593225000001</v>
      </c>
      <c r="EW17" s="44">
        <f t="shared" si="43"/>
        <v>283.27133902500003</v>
      </c>
      <c r="EX17" s="44">
        <f t="shared" si="43"/>
        <v>254.94420512250002</v>
      </c>
      <c r="EY17" s="44">
        <f t="shared" si="43"/>
        <v>229.44978461025002</v>
      </c>
      <c r="EZ17" s="44">
        <f t="shared" si="43"/>
        <v>206.50480614922503</v>
      </c>
      <c r="FA17" s="44">
        <f t="shared" si="43"/>
        <v>185.85432553430255</v>
      </c>
      <c r="FB17" s="44">
        <f t="shared" si="43"/>
        <v>167.26889298087229</v>
      </c>
      <c r="FC17" s="68"/>
      <c r="FD17" s="68"/>
      <c r="FE17" s="68"/>
      <c r="FF17" s="68"/>
      <c r="FG17" s="68"/>
      <c r="FH17" s="83"/>
      <c r="FI17" s="68"/>
      <c r="FJ17" s="84"/>
      <c r="FK17" s="68"/>
    </row>
    <row r="18" spans="1:175">
      <c r="B18" s="14" t="s">
        <v>315</v>
      </c>
      <c r="C18" s="62"/>
      <c r="D18" s="62"/>
      <c r="E18" s="62"/>
      <c r="F18" s="62"/>
      <c r="G18" s="62"/>
      <c r="H18" s="62"/>
      <c r="I18" s="62"/>
      <c r="J18" s="62"/>
      <c r="K18" s="62"/>
      <c r="L18" s="62"/>
      <c r="M18" s="62"/>
      <c r="N18" s="62"/>
      <c r="O18" s="62"/>
      <c r="P18" s="62"/>
      <c r="Q18" s="62"/>
      <c r="R18" s="62"/>
      <c r="S18" s="62"/>
      <c r="T18" s="62"/>
      <c r="U18" s="62"/>
      <c r="V18" s="62"/>
      <c r="W18" s="68"/>
      <c r="X18" s="68"/>
      <c r="Y18" s="68"/>
      <c r="Z18" s="68"/>
      <c r="AA18" s="44"/>
      <c r="AB18" s="44"/>
      <c r="AC18" s="44"/>
      <c r="AD18" s="44"/>
      <c r="AE18" s="44"/>
      <c r="AF18" s="44"/>
      <c r="AG18" s="44"/>
      <c r="AH18" s="44"/>
      <c r="AI18" s="68"/>
      <c r="AM18" s="69"/>
      <c r="AN18" s="69"/>
      <c r="AO18" s="69"/>
      <c r="AP18" s="103"/>
      <c r="AQ18" s="65"/>
      <c r="AR18" s="65"/>
      <c r="AS18" s="65"/>
      <c r="AT18" s="65"/>
      <c r="AU18" s="44"/>
      <c r="AV18" s="65"/>
      <c r="AW18" s="44"/>
      <c r="AX18" s="44"/>
      <c r="AY18" s="44"/>
      <c r="AZ18" s="44"/>
      <c r="BA18" s="44"/>
      <c r="BB18" s="44"/>
      <c r="BC18" s="65"/>
      <c r="BD18" s="44"/>
      <c r="BE18" s="44"/>
      <c r="BF18" s="65"/>
      <c r="BG18" s="44"/>
      <c r="BH18" s="65"/>
      <c r="BI18" s="44"/>
      <c r="BJ18" s="65"/>
      <c r="BK18" s="65">
        <v>17</v>
      </c>
      <c r="BL18" s="44"/>
      <c r="BM18" s="44"/>
      <c r="BN18" s="44">
        <v>45</v>
      </c>
      <c r="BO18" s="44">
        <v>53</v>
      </c>
      <c r="BP18" s="44">
        <v>67</v>
      </c>
      <c r="BQ18" s="44">
        <v>73</v>
      </c>
      <c r="BR18" s="44">
        <v>89</v>
      </c>
      <c r="BS18" s="44">
        <v>88</v>
      </c>
      <c r="BT18" s="44">
        <v>108</v>
      </c>
      <c r="BU18" s="44">
        <f t="shared" ref="BU18:BV18" si="44">+BT18+10</f>
        <v>118</v>
      </c>
      <c r="BV18" s="44">
        <f t="shared" si="44"/>
        <v>128</v>
      </c>
      <c r="BW18" s="44"/>
      <c r="BX18" s="44"/>
      <c r="BY18" s="44"/>
      <c r="BZ18" s="44"/>
      <c r="CA18" s="44"/>
      <c r="CB18" s="44"/>
      <c r="CC18" s="44"/>
      <c r="CD18" s="44"/>
      <c r="CE18" s="44"/>
      <c r="CF18" s="44"/>
      <c r="CG18" s="44"/>
      <c r="CH18" s="44"/>
      <c r="CI18" s="44"/>
      <c r="CJ18" s="44"/>
      <c r="CK18" s="44">
        <v>127</v>
      </c>
      <c r="CL18" s="44">
        <v>107</v>
      </c>
      <c r="CM18" s="44">
        <v>123</v>
      </c>
      <c r="CN18" s="115">
        <v>133</v>
      </c>
      <c r="CO18" s="115">
        <v>130</v>
      </c>
      <c r="CP18" s="115">
        <v>145</v>
      </c>
      <c r="CQ18" s="115">
        <v>149</v>
      </c>
      <c r="CR18" s="115">
        <v>138</v>
      </c>
      <c r="CS18" s="115">
        <v>122</v>
      </c>
      <c r="CT18" s="115">
        <v>135</v>
      </c>
      <c r="CU18" s="115">
        <v>134</v>
      </c>
      <c r="CV18" s="115">
        <v>120</v>
      </c>
      <c r="CW18" s="115">
        <v>116</v>
      </c>
      <c r="CX18" s="115">
        <v>122</v>
      </c>
      <c r="CY18" s="115">
        <v>127</v>
      </c>
      <c r="CZ18" s="115">
        <v>118</v>
      </c>
      <c r="DA18" s="115">
        <v>118</v>
      </c>
      <c r="DB18" s="115">
        <v>103</v>
      </c>
      <c r="DC18" s="115">
        <f t="shared" ref="DC18:DF20" si="45">+CY18</f>
        <v>127</v>
      </c>
      <c r="DD18" s="115">
        <f t="shared" si="45"/>
        <v>118</v>
      </c>
      <c r="DE18" s="115">
        <f t="shared" si="45"/>
        <v>118</v>
      </c>
      <c r="DF18" s="115">
        <f t="shared" si="45"/>
        <v>103</v>
      </c>
      <c r="DG18" s="44"/>
      <c r="DH18" s="44"/>
      <c r="DL18" s="68"/>
      <c r="DM18" s="68"/>
      <c r="DN18" s="68"/>
      <c r="DO18" s="68"/>
      <c r="DP18" s="68"/>
      <c r="DQ18" s="68"/>
      <c r="DR18" s="68"/>
      <c r="DS18" s="68"/>
      <c r="DT18" s="68"/>
      <c r="DU18" s="44"/>
      <c r="DV18" s="44"/>
      <c r="DW18" s="44"/>
      <c r="DX18" s="44"/>
      <c r="DY18" s="44"/>
      <c r="DZ18" s="44"/>
      <c r="EA18" s="44"/>
      <c r="EB18" s="65"/>
      <c r="EG18" s="44">
        <f>SUM(BS18:BV18)</f>
        <v>442</v>
      </c>
      <c r="EH18" s="44">
        <f>+EG18*1.1</f>
        <v>486.20000000000005</v>
      </c>
      <c r="EI18" s="44">
        <f t="shared" ref="EI18:EK18" si="46">+EH18*1.1</f>
        <v>534.82000000000005</v>
      </c>
      <c r="EJ18" s="44">
        <f t="shared" si="46"/>
        <v>588.30200000000013</v>
      </c>
      <c r="EK18" s="44">
        <f t="shared" si="46"/>
        <v>647.13220000000024</v>
      </c>
      <c r="EL18" s="44">
        <f t="shared" si="14"/>
        <v>531</v>
      </c>
      <c r="EM18" s="44">
        <f t="shared" si="4"/>
        <v>544</v>
      </c>
      <c r="EN18" s="44">
        <f t="shared" si="5"/>
        <v>492</v>
      </c>
      <c r="EO18" s="44">
        <f t="shared" si="6"/>
        <v>466</v>
      </c>
      <c r="EP18" s="44">
        <f t="shared" si="7"/>
        <v>466</v>
      </c>
      <c r="EQ18" s="44">
        <f t="shared" ref="EQ18:FB18" si="47">+EP18*0.9</f>
        <v>419.40000000000003</v>
      </c>
      <c r="ER18" s="44">
        <f t="shared" si="47"/>
        <v>377.46000000000004</v>
      </c>
      <c r="ES18" s="44">
        <f t="shared" si="47"/>
        <v>339.71400000000006</v>
      </c>
      <c r="ET18" s="44">
        <f t="shared" si="47"/>
        <v>305.74260000000004</v>
      </c>
      <c r="EU18" s="44">
        <f t="shared" si="47"/>
        <v>275.16834000000006</v>
      </c>
      <c r="EV18" s="44">
        <f t="shared" si="47"/>
        <v>247.65150600000007</v>
      </c>
      <c r="EW18" s="44">
        <f t="shared" si="47"/>
        <v>222.88635540000007</v>
      </c>
      <c r="EX18" s="44">
        <f t="shared" si="47"/>
        <v>200.59771986000007</v>
      </c>
      <c r="EY18" s="44">
        <f t="shared" si="47"/>
        <v>180.53794787400005</v>
      </c>
      <c r="EZ18" s="44">
        <f t="shared" si="47"/>
        <v>162.48415308660006</v>
      </c>
      <c r="FA18" s="44">
        <f t="shared" si="47"/>
        <v>146.23573777794005</v>
      </c>
      <c r="FB18" s="44">
        <f t="shared" si="47"/>
        <v>131.61216400014604</v>
      </c>
      <c r="FI18" s="85">
        <f>EH18*0.7</f>
        <v>340.34000000000003</v>
      </c>
      <c r="FJ18" s="86">
        <f>EM18*0.7</f>
        <v>380.79999999999995</v>
      </c>
    </row>
    <row r="19" spans="1:175" collapsed="1">
      <c r="B19" s="14" t="s">
        <v>701</v>
      </c>
      <c r="C19" s="37">
        <v>264</v>
      </c>
      <c r="D19" s="37">
        <v>158</v>
      </c>
      <c r="E19" s="37">
        <v>132</v>
      </c>
      <c r="F19" s="44">
        <f>DP19-E19-D19-C19</f>
        <v>267</v>
      </c>
      <c r="G19" s="37">
        <f>227+74</f>
        <v>301</v>
      </c>
      <c r="H19" s="37">
        <f>95+66</f>
        <v>161</v>
      </c>
      <c r="I19" s="37">
        <f>138+51</f>
        <v>189</v>
      </c>
      <c r="J19" s="37">
        <f>298+74</f>
        <v>372</v>
      </c>
      <c r="K19" s="37">
        <f>336+97</f>
        <v>433</v>
      </c>
      <c r="L19" s="37">
        <f>140+64</f>
        <v>204</v>
      </c>
      <c r="M19" s="37">
        <f>170+54</f>
        <v>224</v>
      </c>
      <c r="N19" s="37">
        <f>377+72</f>
        <v>449</v>
      </c>
      <c r="O19" s="37">
        <f>319+94</f>
        <v>413</v>
      </c>
      <c r="P19" s="37">
        <f>98+60</f>
        <v>158</v>
      </c>
      <c r="Q19" s="37">
        <f>181+108</f>
        <v>289</v>
      </c>
      <c r="R19" s="37">
        <f>439+83</f>
        <v>522</v>
      </c>
      <c r="S19" s="37">
        <f>316+102</f>
        <v>418</v>
      </c>
      <c r="T19" s="37">
        <f>173+89</f>
        <v>262</v>
      </c>
      <c r="U19" s="37">
        <f>198+69</f>
        <v>267</v>
      </c>
      <c r="V19" s="37">
        <f>451+109</f>
        <v>560</v>
      </c>
      <c r="W19" s="44">
        <f>299+108</f>
        <v>407</v>
      </c>
      <c r="X19" s="44">
        <f>160+91</f>
        <v>251</v>
      </c>
      <c r="Y19" s="44">
        <f>203+67</f>
        <v>270</v>
      </c>
      <c r="Z19" s="44">
        <f>484+103</f>
        <v>587</v>
      </c>
      <c r="AA19" s="44">
        <f>427+122</f>
        <v>549</v>
      </c>
      <c r="AB19" s="44">
        <f>215+99</f>
        <v>314</v>
      </c>
      <c r="AC19" s="44">
        <f>270+85</f>
        <v>355</v>
      </c>
      <c r="AD19" s="44">
        <f>665+126</f>
        <v>791</v>
      </c>
      <c r="AE19" s="44">
        <f>335+131</f>
        <v>466</v>
      </c>
      <c r="AF19" s="44">
        <f>260+110</f>
        <v>370</v>
      </c>
      <c r="AG19" s="44">
        <f>254+85</f>
        <v>339</v>
      </c>
      <c r="AH19" s="44">
        <f>545+130</f>
        <v>675</v>
      </c>
      <c r="AI19" s="68">
        <f>632+165</f>
        <v>797</v>
      </c>
      <c r="AJ19" s="44">
        <f>294+130</f>
        <v>424</v>
      </c>
      <c r="AK19" s="44">
        <f>309+93</f>
        <v>402</v>
      </c>
      <c r="AL19" s="65">
        <v>402</v>
      </c>
      <c r="AM19" s="65">
        <v>259</v>
      </c>
      <c r="AN19" s="65">
        <v>166</v>
      </c>
      <c r="AO19" s="65">
        <v>104</v>
      </c>
      <c r="AP19" s="70">
        <v>109</v>
      </c>
      <c r="AQ19" s="65">
        <v>131</v>
      </c>
      <c r="AR19" s="65">
        <v>108</v>
      </c>
      <c r="AS19" s="65">
        <v>89</v>
      </c>
      <c r="AT19" s="65">
        <v>110</v>
      </c>
      <c r="AU19" s="44">
        <f>6+114</f>
        <v>120</v>
      </c>
      <c r="AV19" s="65">
        <f>1+108</f>
        <v>109</v>
      </c>
      <c r="AW19" s="44">
        <v>91</v>
      </c>
      <c r="AX19" s="65">
        <v>109</v>
      </c>
      <c r="AY19" s="65">
        <v>114</v>
      </c>
      <c r="AZ19" s="44">
        <v>100</v>
      </c>
      <c r="BA19" s="44">
        <v>85</v>
      </c>
      <c r="BB19" s="44">
        <v>131</v>
      </c>
      <c r="BC19" s="65">
        <v>103</v>
      </c>
      <c r="BD19" s="44">
        <v>110</v>
      </c>
      <c r="BE19" s="44">
        <v>90</v>
      </c>
      <c r="BF19" s="65">
        <v>112</v>
      </c>
      <c r="BG19" s="44">
        <v>128</v>
      </c>
      <c r="BH19" s="65">
        <v>114</v>
      </c>
      <c r="BI19" s="44">
        <v>93</v>
      </c>
      <c r="BJ19" s="65">
        <v>118</v>
      </c>
      <c r="BK19" s="65">
        <v>123</v>
      </c>
      <c r="BL19" s="44">
        <v>106</v>
      </c>
      <c r="BM19" s="44">
        <v>89</v>
      </c>
      <c r="BN19" s="44">
        <v>117</v>
      </c>
      <c r="BO19" s="44">
        <v>116</v>
      </c>
      <c r="BP19" s="44">
        <v>83</v>
      </c>
      <c r="BQ19" s="44">
        <v>84</v>
      </c>
      <c r="BR19" s="44">
        <v>104</v>
      </c>
      <c r="BS19" s="44">
        <v>92</v>
      </c>
      <c r="BT19" s="44">
        <v>76</v>
      </c>
      <c r="BU19" s="44">
        <f>+BQ19</f>
        <v>84</v>
      </c>
      <c r="BV19" s="44">
        <f>+BR19</f>
        <v>104</v>
      </c>
      <c r="BW19" s="44"/>
      <c r="BX19" s="44"/>
      <c r="BY19" s="44"/>
      <c r="BZ19" s="44"/>
      <c r="CA19" s="44"/>
      <c r="CB19" s="44"/>
      <c r="CC19" s="44"/>
      <c r="CD19" s="44"/>
      <c r="CE19" s="44"/>
      <c r="CF19" s="44"/>
      <c r="CG19" s="44"/>
      <c r="CH19" s="44"/>
      <c r="CI19" s="44"/>
      <c r="CJ19" s="44"/>
      <c r="CK19" s="44">
        <v>61</v>
      </c>
      <c r="CL19" s="44">
        <v>83</v>
      </c>
      <c r="CM19" s="44">
        <v>104</v>
      </c>
      <c r="CN19" s="115">
        <v>73</v>
      </c>
      <c r="CO19" s="115">
        <v>77</v>
      </c>
      <c r="CP19" s="115">
        <v>82</v>
      </c>
      <c r="CQ19" s="115">
        <v>138</v>
      </c>
      <c r="CR19" s="115">
        <v>55</v>
      </c>
      <c r="CS19" s="115">
        <v>25</v>
      </c>
      <c r="CT19" s="115">
        <v>58</v>
      </c>
      <c r="CU19" s="115">
        <v>89</v>
      </c>
      <c r="CV19" s="115">
        <v>43</v>
      </c>
      <c r="CW19" s="115">
        <v>66</v>
      </c>
      <c r="CX19" s="115">
        <v>81</v>
      </c>
      <c r="CY19" s="115">
        <v>125</v>
      </c>
      <c r="CZ19" s="115">
        <v>54</v>
      </c>
      <c r="DA19" s="115">
        <v>71</v>
      </c>
      <c r="DB19" s="115">
        <v>81</v>
      </c>
      <c r="DC19" s="115">
        <f t="shared" si="45"/>
        <v>125</v>
      </c>
      <c r="DD19" s="115">
        <f t="shared" si="45"/>
        <v>54</v>
      </c>
      <c r="DE19" s="115">
        <f t="shared" si="45"/>
        <v>71</v>
      </c>
      <c r="DF19" s="115">
        <f t="shared" si="45"/>
        <v>81</v>
      </c>
      <c r="DG19" s="44"/>
      <c r="DH19" s="44"/>
      <c r="DL19" s="68"/>
      <c r="DM19" s="68">
        <v>206</v>
      </c>
      <c r="DN19" s="44">
        <v>406</v>
      </c>
      <c r="DO19" s="44">
        <v>619</v>
      </c>
      <c r="DP19" s="44">
        <f>554+267</f>
        <v>821</v>
      </c>
      <c r="DQ19" s="68">
        <f>SUM(G19:J19)</f>
        <v>1023</v>
      </c>
      <c r="DR19" s="68">
        <f>SUM(K19:N19)</f>
        <v>1310</v>
      </c>
      <c r="DS19" s="68">
        <f>SUM(O19:R19)</f>
        <v>1382</v>
      </c>
      <c r="DT19" s="68">
        <f>SUM(S19:V19)</f>
        <v>1507</v>
      </c>
      <c r="DU19" s="68">
        <f>SUM(W19:Z19)</f>
        <v>1515</v>
      </c>
      <c r="DV19" s="68">
        <f>SUM(AA19:AD19)</f>
        <v>2009</v>
      </c>
      <c r="DW19" s="68">
        <f>SUM(AE19:AH19)</f>
        <v>1850</v>
      </c>
      <c r="DX19" s="44">
        <v>2025</v>
      </c>
      <c r="DY19" s="44">
        <v>638</v>
      </c>
      <c r="DZ19" s="44">
        <f>SUM(AQ19:AT19)</f>
        <v>438</v>
      </c>
      <c r="EA19" s="44">
        <f>SUM(AU19:AX19)</f>
        <v>429</v>
      </c>
      <c r="EB19" s="65">
        <f>SUM(AY19:BB19)</f>
        <v>430</v>
      </c>
      <c r="EC19" s="44">
        <f>SUM(BC19:BF19)</f>
        <v>415</v>
      </c>
      <c r="ED19" s="44">
        <f>SUM(BG19:BJ19)</f>
        <v>453</v>
      </c>
      <c r="EE19" s="44">
        <f>SUM(BK19:BN19)</f>
        <v>435</v>
      </c>
      <c r="EF19" s="44">
        <f>SUM(BO19:BR19)</f>
        <v>387</v>
      </c>
      <c r="EG19" s="44">
        <f>SUM(BS19:BV19)</f>
        <v>356</v>
      </c>
      <c r="EH19" s="44">
        <f t="shared" ref="EH19:EK19" si="48">+EG19*0.95</f>
        <v>338.2</v>
      </c>
      <c r="EI19" s="44">
        <f t="shared" si="48"/>
        <v>321.28999999999996</v>
      </c>
      <c r="EJ19" s="44">
        <f t="shared" si="48"/>
        <v>305.22549999999995</v>
      </c>
      <c r="EK19" s="44">
        <f t="shared" si="48"/>
        <v>289.96422499999994</v>
      </c>
      <c r="EL19" s="44">
        <f t="shared" si="14"/>
        <v>336</v>
      </c>
      <c r="EM19" s="44">
        <f t="shared" si="4"/>
        <v>276</v>
      </c>
      <c r="EN19" s="44">
        <f t="shared" si="5"/>
        <v>279</v>
      </c>
      <c r="EO19" s="44">
        <f t="shared" si="6"/>
        <v>331</v>
      </c>
      <c r="EP19" s="44">
        <f t="shared" si="7"/>
        <v>331</v>
      </c>
      <c r="EQ19" s="44">
        <f t="shared" ref="EQ19:FB19" si="49">+EP19*0.9</f>
        <v>297.90000000000003</v>
      </c>
      <c r="ER19" s="44">
        <f t="shared" si="49"/>
        <v>268.11</v>
      </c>
      <c r="ES19" s="44">
        <f t="shared" si="49"/>
        <v>241.29900000000001</v>
      </c>
      <c r="ET19" s="44">
        <f t="shared" si="49"/>
        <v>217.16910000000001</v>
      </c>
      <c r="EU19" s="44">
        <f t="shared" si="49"/>
        <v>195.45219000000003</v>
      </c>
      <c r="EV19" s="44">
        <f t="shared" si="49"/>
        <v>175.90697100000003</v>
      </c>
      <c r="EW19" s="44">
        <f t="shared" si="49"/>
        <v>158.31627390000003</v>
      </c>
      <c r="EX19" s="44">
        <f t="shared" si="49"/>
        <v>142.48464651000003</v>
      </c>
      <c r="EY19" s="44">
        <f t="shared" si="49"/>
        <v>128.23618185900003</v>
      </c>
      <c r="EZ19" s="44">
        <f t="shared" si="49"/>
        <v>115.41256367310002</v>
      </c>
      <c r="FA19" s="44">
        <f t="shared" si="49"/>
        <v>103.87130730579003</v>
      </c>
      <c r="FB19" s="44">
        <f t="shared" si="49"/>
        <v>93.484176575211023</v>
      </c>
      <c r="FH19" s="81">
        <f>EC19*0.3</f>
        <v>124.5</v>
      </c>
      <c r="FI19" s="44">
        <f>EH19*0.3</f>
        <v>101.46</v>
      </c>
      <c r="FJ19" s="82">
        <f>+EM19*0.3</f>
        <v>82.8</v>
      </c>
      <c r="FL19" s="14"/>
    </row>
    <row r="20" spans="1:175">
      <c r="B20" s="14" t="s">
        <v>1366</v>
      </c>
      <c r="F20" s="44"/>
      <c r="W20" s="44"/>
      <c r="X20" s="44"/>
      <c r="Y20" s="44"/>
      <c r="Z20" s="44"/>
      <c r="AA20" s="44"/>
      <c r="AB20" s="44"/>
      <c r="AC20" s="44"/>
      <c r="AD20" s="44"/>
      <c r="AE20" s="44"/>
      <c r="AF20" s="44"/>
      <c r="AG20" s="44"/>
      <c r="AH20" s="44"/>
      <c r="AI20" s="68"/>
      <c r="AJ20" s="44"/>
      <c r="AK20" s="44"/>
      <c r="AL20" s="65"/>
      <c r="AM20" s="65"/>
      <c r="AN20" s="65"/>
      <c r="AO20" s="65"/>
      <c r="AP20" s="70"/>
      <c r="AQ20" s="65"/>
      <c r="AR20" s="65"/>
      <c r="AS20" s="65"/>
      <c r="AT20" s="65"/>
      <c r="AU20" s="44"/>
      <c r="AV20" s="65"/>
      <c r="AW20" s="44"/>
      <c r="AX20" s="65"/>
      <c r="AY20" s="65"/>
      <c r="AZ20" s="44"/>
      <c r="BA20" s="44"/>
      <c r="BB20" s="44"/>
      <c r="BC20" s="65"/>
      <c r="BD20" s="44"/>
      <c r="BE20" s="44"/>
      <c r="BF20" s="65"/>
      <c r="BG20" s="44"/>
      <c r="BH20" s="65"/>
      <c r="BI20" s="44"/>
      <c r="BJ20" s="65"/>
      <c r="BK20" s="65"/>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v>0</v>
      </c>
      <c r="CL20" s="44">
        <v>0</v>
      </c>
      <c r="CM20" s="44">
        <v>0</v>
      </c>
      <c r="CN20" s="115">
        <v>0</v>
      </c>
      <c r="CO20" s="115">
        <v>0</v>
      </c>
      <c r="CP20" s="115">
        <v>0</v>
      </c>
      <c r="CQ20" s="115">
        <v>0</v>
      </c>
      <c r="CR20" s="115">
        <v>0</v>
      </c>
      <c r="CS20" s="115">
        <v>59</v>
      </c>
      <c r="CT20" s="115">
        <v>92</v>
      </c>
      <c r="CU20" s="115">
        <v>98</v>
      </c>
      <c r="CV20" s="115">
        <v>120</v>
      </c>
      <c r="CW20" s="115">
        <v>124</v>
      </c>
      <c r="CX20" s="115">
        <v>148</v>
      </c>
      <c r="CY20" s="115">
        <v>124</v>
      </c>
      <c r="CZ20" s="115">
        <v>113</v>
      </c>
      <c r="DA20" s="115">
        <v>120</v>
      </c>
      <c r="DB20" s="115">
        <v>101</v>
      </c>
      <c r="DC20" s="115">
        <f t="shared" si="45"/>
        <v>124</v>
      </c>
      <c r="DD20" s="115">
        <f t="shared" si="45"/>
        <v>113</v>
      </c>
      <c r="DE20" s="115">
        <f t="shared" si="45"/>
        <v>120</v>
      </c>
      <c r="DF20" s="115">
        <f t="shared" si="45"/>
        <v>101</v>
      </c>
      <c r="DG20" s="44"/>
      <c r="DH20" s="44"/>
      <c r="DL20" s="68"/>
      <c r="DM20" s="68"/>
      <c r="DN20" s="44"/>
      <c r="DO20" s="44"/>
      <c r="DP20" s="44"/>
      <c r="DQ20" s="68"/>
      <c r="DR20" s="68"/>
      <c r="DS20" s="68"/>
      <c r="DT20" s="68"/>
      <c r="DU20" s="68"/>
      <c r="DV20" s="68"/>
      <c r="DW20" s="68"/>
      <c r="DX20" s="44"/>
      <c r="DY20" s="44"/>
      <c r="DZ20" s="44"/>
      <c r="EA20" s="44"/>
      <c r="EB20" s="65"/>
      <c r="EL20" s="44">
        <f t="shared" si="14"/>
        <v>0</v>
      </c>
      <c r="EM20" s="44">
        <f t="shared" si="4"/>
        <v>151</v>
      </c>
      <c r="EN20" s="44">
        <f t="shared" si="5"/>
        <v>490</v>
      </c>
      <c r="EO20" s="44">
        <f t="shared" si="6"/>
        <v>458</v>
      </c>
      <c r="EP20" s="44">
        <f t="shared" si="7"/>
        <v>458</v>
      </c>
      <c r="EQ20" s="44">
        <f t="shared" ref="EQ20:FB20" si="50">+EP20*0.9</f>
        <v>412.2</v>
      </c>
      <c r="ER20" s="44">
        <f t="shared" si="50"/>
        <v>370.98</v>
      </c>
      <c r="ES20" s="44">
        <f t="shared" si="50"/>
        <v>333.88200000000001</v>
      </c>
      <c r="ET20" s="44">
        <f t="shared" si="50"/>
        <v>300.49380000000002</v>
      </c>
      <c r="EU20" s="44">
        <f t="shared" si="50"/>
        <v>270.44442000000004</v>
      </c>
      <c r="EV20" s="44">
        <f t="shared" si="50"/>
        <v>243.39997800000003</v>
      </c>
      <c r="EW20" s="44">
        <f t="shared" si="50"/>
        <v>219.05998020000004</v>
      </c>
      <c r="EX20" s="44">
        <f t="shared" si="50"/>
        <v>197.15398218000004</v>
      </c>
      <c r="EY20" s="44">
        <f t="shared" si="50"/>
        <v>177.43858396200005</v>
      </c>
      <c r="EZ20" s="44">
        <f t="shared" si="50"/>
        <v>159.69472556580004</v>
      </c>
      <c r="FA20" s="44">
        <f t="shared" si="50"/>
        <v>143.72525300922004</v>
      </c>
      <c r="FB20" s="44">
        <f t="shared" si="50"/>
        <v>129.35272770829803</v>
      </c>
      <c r="FL20" s="14"/>
    </row>
    <row r="21" spans="1:175">
      <c r="B21" s="14" t="s">
        <v>1367</v>
      </c>
      <c r="F21" s="44"/>
      <c r="W21" s="44"/>
      <c r="X21" s="44"/>
      <c r="Y21" s="44"/>
      <c r="Z21" s="44"/>
      <c r="AA21" s="44"/>
      <c r="AB21" s="44"/>
      <c r="AC21" s="44"/>
      <c r="AD21" s="44"/>
      <c r="AE21" s="44"/>
      <c r="AF21" s="44"/>
      <c r="AG21" s="44"/>
      <c r="AH21" s="44"/>
      <c r="AI21" s="68"/>
      <c r="AJ21" s="44"/>
      <c r="AK21" s="44"/>
      <c r="AL21" s="65"/>
      <c r="AM21" s="65"/>
      <c r="AN21" s="65"/>
      <c r="AO21" s="65"/>
      <c r="AP21" s="70"/>
      <c r="AQ21" s="65"/>
      <c r="AR21" s="65"/>
      <c r="AS21" s="65"/>
      <c r="AT21" s="65"/>
      <c r="AU21" s="44"/>
      <c r="AV21" s="65"/>
      <c r="AW21" s="44"/>
      <c r="AX21" s="65"/>
      <c r="AY21" s="65"/>
      <c r="AZ21" s="44"/>
      <c r="BA21" s="44"/>
      <c r="BB21" s="44"/>
      <c r="BC21" s="65"/>
      <c r="BD21" s="44"/>
      <c r="BE21" s="44"/>
      <c r="BF21" s="65"/>
      <c r="BG21" s="44"/>
      <c r="BH21" s="65"/>
      <c r="BI21" s="44"/>
      <c r="BJ21" s="65"/>
      <c r="BK21" s="65"/>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v>19</v>
      </c>
      <c r="CL21" s="44">
        <v>27</v>
      </c>
      <c r="CM21" s="44">
        <v>31</v>
      </c>
      <c r="CN21" s="115">
        <v>51</v>
      </c>
      <c r="CO21" s="115">
        <v>64</v>
      </c>
      <c r="CP21" s="115">
        <v>79</v>
      </c>
      <c r="CQ21" s="115">
        <v>89</v>
      </c>
      <c r="CR21" s="115">
        <v>87</v>
      </c>
      <c r="CS21" s="115">
        <v>102</v>
      </c>
      <c r="CT21" s="115">
        <v>108</v>
      </c>
      <c r="CU21" s="115">
        <v>109</v>
      </c>
      <c r="CV21" s="115">
        <v>103</v>
      </c>
      <c r="CW21" s="115">
        <v>110</v>
      </c>
      <c r="CX21" s="115">
        <v>122</v>
      </c>
      <c r="CY21" s="115">
        <v>115</v>
      </c>
      <c r="CZ21" s="115">
        <v>106</v>
      </c>
      <c r="DA21" s="115">
        <v>87</v>
      </c>
      <c r="DB21" s="115">
        <v>86</v>
      </c>
      <c r="DC21" s="115">
        <f t="shared" ref="DC21:DF21" si="51">+CY21*0.9</f>
        <v>103.5</v>
      </c>
      <c r="DD21" s="115">
        <f t="shared" si="51"/>
        <v>95.4</v>
      </c>
      <c r="DE21" s="115">
        <f t="shared" si="51"/>
        <v>78.3</v>
      </c>
      <c r="DF21" s="115">
        <f t="shared" si="51"/>
        <v>77.400000000000006</v>
      </c>
      <c r="DG21" s="44"/>
      <c r="DH21" s="44"/>
      <c r="DL21" s="68"/>
      <c r="DM21" s="68"/>
      <c r="DN21" s="44"/>
      <c r="DO21" s="44"/>
      <c r="DP21" s="44"/>
      <c r="DQ21" s="68"/>
      <c r="DR21" s="68"/>
      <c r="DS21" s="68"/>
      <c r="DT21" s="68"/>
      <c r="DU21" s="68"/>
      <c r="DV21" s="68"/>
      <c r="DW21" s="68"/>
      <c r="DX21" s="44"/>
      <c r="DY21" s="44"/>
      <c r="DZ21" s="44"/>
      <c r="EA21" s="44"/>
      <c r="EB21" s="65"/>
      <c r="EL21" s="44">
        <f t="shared" si="14"/>
        <v>225</v>
      </c>
      <c r="EM21" s="44">
        <f t="shared" si="4"/>
        <v>386</v>
      </c>
      <c r="EN21" s="44">
        <f t="shared" si="5"/>
        <v>444</v>
      </c>
      <c r="EO21" s="44">
        <f t="shared" si="6"/>
        <v>394</v>
      </c>
      <c r="EP21" s="44">
        <f t="shared" si="7"/>
        <v>354.6</v>
      </c>
      <c r="EQ21" s="44">
        <f t="shared" ref="EQ21:FB21" si="52">+EP21*0.9</f>
        <v>319.14000000000004</v>
      </c>
      <c r="ER21" s="44">
        <f t="shared" si="52"/>
        <v>287.22600000000006</v>
      </c>
      <c r="ES21" s="44">
        <f t="shared" si="52"/>
        <v>258.50340000000006</v>
      </c>
      <c r="ET21" s="44">
        <f t="shared" si="52"/>
        <v>232.65306000000007</v>
      </c>
      <c r="EU21" s="44">
        <f t="shared" si="52"/>
        <v>209.38775400000006</v>
      </c>
      <c r="EV21" s="44">
        <f t="shared" si="52"/>
        <v>188.44897860000006</v>
      </c>
      <c r="EW21" s="44">
        <f t="shared" si="52"/>
        <v>169.60408074000006</v>
      </c>
      <c r="EX21" s="44">
        <f t="shared" si="52"/>
        <v>152.64367266600004</v>
      </c>
      <c r="EY21" s="44">
        <f t="shared" si="52"/>
        <v>137.37930539940004</v>
      </c>
      <c r="EZ21" s="44">
        <f t="shared" si="52"/>
        <v>123.64137485946004</v>
      </c>
      <c r="FA21" s="44">
        <f t="shared" si="52"/>
        <v>111.27723737351404</v>
      </c>
      <c r="FB21" s="44">
        <f t="shared" si="52"/>
        <v>100.14951363616264</v>
      </c>
      <c r="FL21" s="14"/>
    </row>
    <row r="22" spans="1:175" s="9" customFormat="1">
      <c r="A22" s="14"/>
      <c r="B22" s="14" t="s">
        <v>646</v>
      </c>
      <c r="C22" s="62" t="s">
        <v>605</v>
      </c>
      <c r="D22" s="62" t="s">
        <v>605</v>
      </c>
      <c r="E22" s="62" t="s">
        <v>605</v>
      </c>
      <c r="F22" s="62" t="s">
        <v>605</v>
      </c>
      <c r="G22" s="62" t="s">
        <v>605</v>
      </c>
      <c r="H22" s="62" t="s">
        <v>605</v>
      </c>
      <c r="I22" s="62" t="s">
        <v>605</v>
      </c>
      <c r="J22" s="62" t="s">
        <v>605</v>
      </c>
      <c r="K22" s="62" t="s">
        <v>605</v>
      </c>
      <c r="L22" s="62" t="s">
        <v>605</v>
      </c>
      <c r="M22" s="62" t="s">
        <v>605</v>
      </c>
      <c r="N22" s="62" t="s">
        <v>605</v>
      </c>
      <c r="O22" s="62" t="s">
        <v>605</v>
      </c>
      <c r="P22" s="62" t="s">
        <v>605</v>
      </c>
      <c r="Q22" s="62" t="s">
        <v>605</v>
      </c>
      <c r="R22" s="62" t="s">
        <v>605</v>
      </c>
      <c r="S22" s="62" t="s">
        <v>605</v>
      </c>
      <c r="T22" s="62" t="s">
        <v>605</v>
      </c>
      <c r="U22" s="62" t="s">
        <v>605</v>
      </c>
      <c r="V22" s="62" t="s">
        <v>605</v>
      </c>
      <c r="W22" s="62" t="s">
        <v>605</v>
      </c>
      <c r="X22" s="62" t="s">
        <v>605</v>
      </c>
      <c r="Y22" s="62" t="s">
        <v>605</v>
      </c>
      <c r="Z22" s="62" t="s">
        <v>605</v>
      </c>
      <c r="AA22" s="62" t="s">
        <v>605</v>
      </c>
      <c r="AB22" s="62" t="s">
        <v>605</v>
      </c>
      <c r="AC22" s="62" t="s">
        <v>605</v>
      </c>
      <c r="AD22" s="62" t="s">
        <v>605</v>
      </c>
      <c r="AE22" s="68" t="s">
        <v>605</v>
      </c>
      <c r="AF22" s="68" t="s">
        <v>605</v>
      </c>
      <c r="AG22" s="68" t="s">
        <v>605</v>
      </c>
      <c r="AH22" s="68" t="s">
        <v>605</v>
      </c>
      <c r="AI22" s="68" t="s">
        <v>605</v>
      </c>
      <c r="AJ22" s="68" t="s">
        <v>605</v>
      </c>
      <c r="AK22" s="68" t="s">
        <v>605</v>
      </c>
      <c r="AL22" s="70" t="s">
        <v>605</v>
      </c>
      <c r="AM22" s="70">
        <v>16</v>
      </c>
      <c r="AN22" s="103">
        <v>36</v>
      </c>
      <c r="AO22" s="103">
        <v>63</v>
      </c>
      <c r="AP22" s="103">
        <v>104</v>
      </c>
      <c r="AQ22" s="70">
        <v>102</v>
      </c>
      <c r="AR22" s="70">
        <v>146</v>
      </c>
      <c r="AS22" s="70">
        <v>151</v>
      </c>
      <c r="AT22" s="70">
        <v>182</v>
      </c>
      <c r="AU22" s="68">
        <f>66+124</f>
        <v>190</v>
      </c>
      <c r="AV22" s="70">
        <f>60+151</f>
        <v>211</v>
      </c>
      <c r="AW22" s="68">
        <v>226</v>
      </c>
      <c r="AX22" s="70">
        <v>220</v>
      </c>
      <c r="AY22" s="70">
        <v>202</v>
      </c>
      <c r="AZ22" s="68">
        <v>223</v>
      </c>
      <c r="BA22" s="68">
        <v>246</v>
      </c>
      <c r="BB22" s="68">
        <v>293</v>
      </c>
      <c r="BC22" s="70">
        <f>69+190</f>
        <v>259</v>
      </c>
      <c r="BD22" s="68">
        <v>255</v>
      </c>
      <c r="BE22" s="68">
        <v>257</v>
      </c>
      <c r="BF22" s="70">
        <v>295</v>
      </c>
      <c r="BG22" s="68">
        <v>276</v>
      </c>
      <c r="BH22" s="70">
        <v>296</v>
      </c>
      <c r="BI22" s="68">
        <v>298</v>
      </c>
      <c r="BJ22" s="70">
        <v>317</v>
      </c>
      <c r="BK22" s="70">
        <v>300</v>
      </c>
      <c r="BL22" s="68">
        <v>319</v>
      </c>
      <c r="BM22" s="68">
        <v>294</v>
      </c>
      <c r="BN22" s="68">
        <v>323</v>
      </c>
      <c r="BO22" s="68">
        <v>302</v>
      </c>
      <c r="BP22" s="68">
        <v>312</v>
      </c>
      <c r="BQ22" s="68">
        <v>278</v>
      </c>
      <c r="BR22" s="68">
        <v>312</v>
      </c>
      <c r="BS22" s="68">
        <v>268</v>
      </c>
      <c r="BT22" s="68">
        <v>310</v>
      </c>
      <c r="BU22" s="68">
        <f t="shared" ref="BU22:BV22" si="53">+BQ22*1.02</f>
        <v>283.56</v>
      </c>
      <c r="BV22" s="68">
        <f t="shared" si="53"/>
        <v>318.24</v>
      </c>
      <c r="BW22" s="68"/>
      <c r="BX22" s="68"/>
      <c r="BY22" s="68"/>
      <c r="BZ22" s="68"/>
      <c r="CA22" s="68"/>
      <c r="CB22" s="68"/>
      <c r="CC22" s="68"/>
      <c r="CD22" s="68"/>
      <c r="CE22" s="68"/>
      <c r="CF22" s="68"/>
      <c r="CG22" s="68"/>
      <c r="CH22" s="68"/>
      <c r="CI22" s="68"/>
      <c r="CJ22" s="68"/>
      <c r="CK22" s="68">
        <v>248</v>
      </c>
      <c r="CL22" s="68">
        <v>264</v>
      </c>
      <c r="CM22" s="68">
        <v>232</v>
      </c>
      <c r="CN22" s="122">
        <v>248</v>
      </c>
      <c r="CO22" s="122">
        <v>224</v>
      </c>
      <c r="CP22" s="122">
        <v>231</v>
      </c>
      <c r="CQ22" s="122">
        <v>205</v>
      </c>
      <c r="CR22" s="122">
        <v>209</v>
      </c>
      <c r="CS22" s="122">
        <v>202</v>
      </c>
      <c r="CT22" s="122">
        <v>203</v>
      </c>
      <c r="CU22" s="122">
        <v>200</v>
      </c>
      <c r="CV22" s="122">
        <v>194</v>
      </c>
      <c r="CW22" s="122">
        <v>142</v>
      </c>
      <c r="CX22" s="122">
        <v>137</v>
      </c>
      <c r="CY22" s="122">
        <v>114</v>
      </c>
      <c r="CZ22" s="122">
        <v>97</v>
      </c>
      <c r="DA22" s="122">
        <v>75</v>
      </c>
      <c r="DB22" s="122">
        <v>60</v>
      </c>
      <c r="DC22" s="122">
        <f t="shared" ref="DC22:DF22" si="54">+DB22-5</f>
        <v>55</v>
      </c>
      <c r="DD22" s="122">
        <f t="shared" si="54"/>
        <v>50</v>
      </c>
      <c r="DE22" s="122">
        <f t="shared" si="54"/>
        <v>45</v>
      </c>
      <c r="DF22" s="122">
        <f t="shared" si="54"/>
        <v>40</v>
      </c>
      <c r="DG22" s="68"/>
      <c r="DH22" s="68"/>
      <c r="DI22" s="14"/>
      <c r="DJ22" s="14"/>
      <c r="DK22" s="14"/>
      <c r="DL22" s="68"/>
      <c r="DM22" s="68" t="s">
        <v>605</v>
      </c>
      <c r="DN22" s="68" t="s">
        <v>605</v>
      </c>
      <c r="DO22" s="68" t="s">
        <v>605</v>
      </c>
      <c r="DP22" s="68" t="s">
        <v>605</v>
      </c>
      <c r="DQ22" s="68" t="s">
        <v>605</v>
      </c>
      <c r="DR22" s="68" t="s">
        <v>605</v>
      </c>
      <c r="DS22" s="68" t="s">
        <v>605</v>
      </c>
      <c r="DT22" s="68" t="s">
        <v>605</v>
      </c>
      <c r="DU22" s="68" t="s">
        <v>605</v>
      </c>
      <c r="DV22" s="68" t="s">
        <v>605</v>
      </c>
      <c r="DW22" s="68" t="s">
        <v>605</v>
      </c>
      <c r="DX22" s="68" t="s">
        <v>605</v>
      </c>
      <c r="DY22" s="68">
        <v>219</v>
      </c>
      <c r="DZ22" s="68">
        <f>SUM(AQ22:AT22)</f>
        <v>581</v>
      </c>
      <c r="EA22" s="44">
        <f>SUM(AU22:AX22)</f>
        <v>847</v>
      </c>
      <c r="EB22" s="65">
        <f>SUM(AY22:BB22)</f>
        <v>964</v>
      </c>
      <c r="EC22" s="68">
        <f>SUM(BC22:BF22)</f>
        <v>1066</v>
      </c>
      <c r="ED22" s="44">
        <f>SUM(BG22:BJ22)</f>
        <v>1187</v>
      </c>
      <c r="EE22" s="44">
        <f>SUM(BK22:BN22)</f>
        <v>1236</v>
      </c>
      <c r="EF22" s="44">
        <f>SUM(BO22:BR22)</f>
        <v>1204</v>
      </c>
      <c r="EG22" s="44">
        <f>SUM(BS22:BV22)</f>
        <v>1179.8</v>
      </c>
      <c r="EH22" s="68">
        <f t="shared" ref="EH22:EJ22" si="55">EG22*1.05</f>
        <v>1238.79</v>
      </c>
      <c r="EI22" s="68">
        <f t="shared" si="55"/>
        <v>1300.7294999999999</v>
      </c>
      <c r="EJ22" s="68">
        <f t="shared" si="55"/>
        <v>1365.765975</v>
      </c>
      <c r="EK22" s="68">
        <f>EJ22*0.3</f>
        <v>409.72979249999997</v>
      </c>
      <c r="EL22" s="44">
        <f t="shared" si="14"/>
        <v>935</v>
      </c>
      <c r="EM22" s="44">
        <f t="shared" si="4"/>
        <v>819</v>
      </c>
      <c r="EN22" s="44">
        <f t="shared" si="5"/>
        <v>673</v>
      </c>
      <c r="EO22" s="44">
        <f t="shared" si="6"/>
        <v>346</v>
      </c>
      <c r="EP22" s="44">
        <f t="shared" si="7"/>
        <v>190</v>
      </c>
      <c r="EQ22" s="44">
        <f t="shared" ref="EQ22:FB22" si="56">+EP22*0.9</f>
        <v>171</v>
      </c>
      <c r="ER22" s="44">
        <f t="shared" si="56"/>
        <v>153.9</v>
      </c>
      <c r="ES22" s="44">
        <f t="shared" si="56"/>
        <v>138.51000000000002</v>
      </c>
      <c r="ET22" s="44">
        <f t="shared" si="56"/>
        <v>124.65900000000002</v>
      </c>
      <c r="EU22" s="44">
        <f t="shared" si="56"/>
        <v>112.19310000000002</v>
      </c>
      <c r="EV22" s="44">
        <f t="shared" si="56"/>
        <v>100.97379000000002</v>
      </c>
      <c r="EW22" s="44">
        <f t="shared" si="56"/>
        <v>90.876411000000019</v>
      </c>
      <c r="EX22" s="44">
        <f t="shared" si="56"/>
        <v>81.78876990000002</v>
      </c>
      <c r="EY22" s="44">
        <f t="shared" si="56"/>
        <v>73.609892910000013</v>
      </c>
      <c r="EZ22" s="44">
        <f t="shared" si="56"/>
        <v>66.248903619000018</v>
      </c>
      <c r="FA22" s="44">
        <f t="shared" si="56"/>
        <v>59.624013257100017</v>
      </c>
      <c r="FB22" s="44">
        <f t="shared" si="56"/>
        <v>53.66161193139002</v>
      </c>
      <c r="FC22" s="68"/>
      <c r="FD22" s="68"/>
      <c r="FE22" s="68"/>
      <c r="FF22" s="68"/>
      <c r="FG22" s="68"/>
      <c r="FH22" s="83">
        <f>EC22*0.8</f>
        <v>852.80000000000007</v>
      </c>
      <c r="FI22" s="68">
        <f>EH22*0.8</f>
        <v>991.03200000000004</v>
      </c>
      <c r="FJ22" s="84">
        <f>EM22*0.5</f>
        <v>409.5</v>
      </c>
      <c r="FK22" s="68"/>
      <c r="FL22" s="14"/>
      <c r="FM22" s="14"/>
      <c r="FN22" s="14"/>
      <c r="FO22" s="14"/>
      <c r="FP22" s="14"/>
      <c r="FQ22" s="14"/>
      <c r="FR22" s="14"/>
      <c r="FS22" s="14"/>
    </row>
    <row r="23" spans="1:175" s="20" customFormat="1">
      <c r="B23" s="111" t="s">
        <v>1396</v>
      </c>
      <c r="C23" s="68" t="s">
        <v>605</v>
      </c>
      <c r="D23" s="68" t="s">
        <v>605</v>
      </c>
      <c r="E23" s="68" t="s">
        <v>605</v>
      </c>
      <c r="F23" s="68" t="s">
        <v>605</v>
      </c>
      <c r="G23" s="68" t="s">
        <v>605</v>
      </c>
      <c r="H23" s="68" t="s">
        <v>605</v>
      </c>
      <c r="I23" s="68" t="s">
        <v>605</v>
      </c>
      <c r="J23" s="68" t="s">
        <v>605</v>
      </c>
      <c r="K23" s="68" t="s">
        <v>605</v>
      </c>
      <c r="L23" s="68" t="s">
        <v>605</v>
      </c>
      <c r="M23" s="68" t="s">
        <v>605</v>
      </c>
      <c r="N23" s="68" t="s">
        <v>605</v>
      </c>
      <c r="O23" s="68" t="s">
        <v>605</v>
      </c>
      <c r="P23" s="68" t="s">
        <v>605</v>
      </c>
      <c r="Q23" s="68" t="s">
        <v>605</v>
      </c>
      <c r="R23" s="68" t="s">
        <v>605</v>
      </c>
      <c r="S23" s="68" t="s">
        <v>605</v>
      </c>
      <c r="T23" s="68" t="s">
        <v>605</v>
      </c>
      <c r="U23" s="68" t="s">
        <v>605</v>
      </c>
      <c r="V23" s="68" t="s">
        <v>605</v>
      </c>
      <c r="W23" s="68" t="s">
        <v>605</v>
      </c>
      <c r="X23" s="68" t="s">
        <v>605</v>
      </c>
      <c r="Y23" s="68" t="s">
        <v>605</v>
      </c>
      <c r="Z23" s="68" t="s">
        <v>605</v>
      </c>
      <c r="AA23" s="44" t="s">
        <v>605</v>
      </c>
      <c r="AB23" s="44" t="s">
        <v>605</v>
      </c>
      <c r="AC23" s="44" t="s">
        <v>605</v>
      </c>
      <c r="AD23" s="44" t="s">
        <v>605</v>
      </c>
      <c r="AE23" s="44" t="s">
        <v>605</v>
      </c>
      <c r="AF23" s="44" t="s">
        <v>605</v>
      </c>
      <c r="AG23" s="44" t="s">
        <v>605</v>
      </c>
      <c r="AH23" s="44" t="s">
        <v>605</v>
      </c>
      <c r="AI23" s="68" t="s">
        <v>605</v>
      </c>
      <c r="AJ23" s="44" t="s">
        <v>605</v>
      </c>
      <c r="AK23" s="44" t="s">
        <v>605</v>
      </c>
      <c r="AL23" s="44" t="s">
        <v>605</v>
      </c>
      <c r="AM23" s="65" t="s">
        <v>605</v>
      </c>
      <c r="AN23" s="65" t="s">
        <v>605</v>
      </c>
      <c r="AO23" s="65" t="s">
        <v>605</v>
      </c>
      <c r="AP23" s="70" t="s">
        <v>605</v>
      </c>
      <c r="AQ23" s="65" t="s">
        <v>605</v>
      </c>
      <c r="AR23" s="65" t="s">
        <v>605</v>
      </c>
      <c r="AS23" s="65" t="s">
        <v>605</v>
      </c>
      <c r="AT23" s="65" t="s">
        <v>605</v>
      </c>
      <c r="AU23" s="73" t="s">
        <v>639</v>
      </c>
      <c r="AV23" s="75" t="s">
        <v>640</v>
      </c>
      <c r="AW23" s="44"/>
      <c r="AX23" s="44"/>
      <c r="AY23" s="75" t="s">
        <v>641</v>
      </c>
      <c r="AZ23" s="73" t="s">
        <v>642</v>
      </c>
      <c r="BA23" s="73" t="s">
        <v>642</v>
      </c>
      <c r="BB23" s="73">
        <f>98+47</f>
        <v>145</v>
      </c>
      <c r="BC23" s="65">
        <f>154+90</f>
        <v>244</v>
      </c>
      <c r="BD23" s="44">
        <f>98+164</f>
        <v>262</v>
      </c>
      <c r="BE23" s="44">
        <f>102+156</f>
        <v>258</v>
      </c>
      <c r="BF23" s="65">
        <f>169+114</f>
        <v>283</v>
      </c>
      <c r="BG23" s="44">
        <f>117+164</f>
        <v>281</v>
      </c>
      <c r="BH23" s="65">
        <f>123+176</f>
        <v>299</v>
      </c>
      <c r="BI23" s="44">
        <f>178+140</f>
        <v>318</v>
      </c>
      <c r="BJ23" s="65">
        <f>175+126</f>
        <v>301</v>
      </c>
      <c r="BK23" s="65">
        <f>183+132</f>
        <v>315</v>
      </c>
      <c r="BL23" s="44">
        <f>193+138</f>
        <v>331</v>
      </c>
      <c r="BM23" s="44">
        <f>201+150</f>
        <v>351</v>
      </c>
      <c r="BN23" s="44">
        <f>198+164</f>
        <v>362</v>
      </c>
      <c r="BO23" s="44">
        <f>189+139</f>
        <v>328</v>
      </c>
      <c r="BP23" s="44">
        <f>217+146</f>
        <v>363</v>
      </c>
      <c r="BQ23" s="44">
        <f>213+148</f>
        <v>361</v>
      </c>
      <c r="BR23" s="44">
        <f>213+169</f>
        <v>382</v>
      </c>
      <c r="BS23" s="44">
        <f>201+145</f>
        <v>346</v>
      </c>
      <c r="BT23" s="44">
        <f>227+171</f>
        <v>398</v>
      </c>
      <c r="BU23" s="44">
        <f t="shared" ref="BU23:BV23" si="57">+BQ23</f>
        <v>361</v>
      </c>
      <c r="BV23" s="44">
        <f t="shared" si="57"/>
        <v>382</v>
      </c>
      <c r="BW23" s="44"/>
      <c r="BX23" s="44"/>
      <c r="BY23" s="44"/>
      <c r="BZ23" s="44"/>
      <c r="CA23" s="44"/>
      <c r="CB23" s="44"/>
      <c r="CC23" s="44"/>
      <c r="CD23" s="44"/>
      <c r="CE23" s="44"/>
      <c r="CF23" s="44"/>
      <c r="CG23" s="44"/>
      <c r="CH23" s="44"/>
      <c r="CI23" s="44"/>
      <c r="CJ23" s="44"/>
      <c r="CK23" s="44">
        <v>132</v>
      </c>
      <c r="CL23" s="44">
        <v>134</v>
      </c>
      <c r="CM23" s="44">
        <v>125</v>
      </c>
      <c r="CN23" s="115">
        <v>121</v>
      </c>
      <c r="CO23" s="115">
        <v>125</v>
      </c>
      <c r="CP23" s="115">
        <v>117</v>
      </c>
      <c r="CQ23" s="115">
        <v>121</v>
      </c>
      <c r="CR23" s="115">
        <v>109</v>
      </c>
      <c r="CS23" s="115">
        <v>107</v>
      </c>
      <c r="CT23" s="115">
        <v>117</v>
      </c>
      <c r="CU23" s="115">
        <v>112</v>
      </c>
      <c r="CV23" s="115">
        <v>112</v>
      </c>
      <c r="CW23" s="115">
        <v>104</v>
      </c>
      <c r="CX23" s="115">
        <v>109</v>
      </c>
      <c r="CY23" s="115">
        <v>112</v>
      </c>
      <c r="CZ23" s="115">
        <v>113</v>
      </c>
      <c r="DA23" s="115">
        <v>99</v>
      </c>
      <c r="DB23" s="115">
        <v>101</v>
      </c>
      <c r="DC23" s="115">
        <f t="shared" ref="DC23:DF23" si="58">+CY23*0.9</f>
        <v>100.8</v>
      </c>
      <c r="DD23" s="115">
        <f t="shared" si="58"/>
        <v>101.7</v>
      </c>
      <c r="DE23" s="115">
        <f t="shared" si="58"/>
        <v>89.100000000000009</v>
      </c>
      <c r="DF23" s="115">
        <f t="shared" si="58"/>
        <v>90.9</v>
      </c>
      <c r="DG23" s="44"/>
      <c r="DH23" s="44"/>
      <c r="DL23" s="68"/>
      <c r="DM23" s="68" t="s">
        <v>605</v>
      </c>
      <c r="DN23" s="68" t="s">
        <v>605</v>
      </c>
      <c r="DO23" s="68" t="s">
        <v>605</v>
      </c>
      <c r="DP23" s="68" t="s">
        <v>605</v>
      </c>
      <c r="DQ23" s="68" t="s">
        <v>605</v>
      </c>
      <c r="DR23" s="68" t="s">
        <v>605</v>
      </c>
      <c r="DS23" s="68" t="s">
        <v>605</v>
      </c>
      <c r="DT23" s="68" t="s">
        <v>605</v>
      </c>
      <c r="DU23" s="68" t="s">
        <v>605</v>
      </c>
      <c r="DV23" s="68" t="s">
        <v>605</v>
      </c>
      <c r="DW23" s="68" t="s">
        <v>605</v>
      </c>
      <c r="DX23" s="68" t="s">
        <v>605</v>
      </c>
      <c r="DY23" s="73" t="s">
        <v>643</v>
      </c>
      <c r="DZ23" s="73" t="s">
        <v>644</v>
      </c>
      <c r="EA23" s="73" t="s">
        <v>645</v>
      </c>
      <c r="EB23" s="75">
        <f t="shared" ref="EB23" si="59">SUM(AY23:BB23)</f>
        <v>145</v>
      </c>
      <c r="EC23" s="44">
        <f>SUM(BC23:BF23)</f>
        <v>1047</v>
      </c>
      <c r="ED23" s="44">
        <f>SUM(BG23:BJ23)</f>
        <v>1199</v>
      </c>
      <c r="EE23" s="44">
        <f>SUM(BK23:BN23)</f>
        <v>1359</v>
      </c>
      <c r="EF23" s="44">
        <f>SUM(BO23:BR23)</f>
        <v>1434</v>
      </c>
      <c r="EG23" s="44">
        <f t="shared" ref="EG23:EG75" si="60">SUM(BS23:BV23)</f>
        <v>1487</v>
      </c>
      <c r="EH23" s="44">
        <f t="shared" ref="EH23:EK23" si="61">+EG23*0.9</f>
        <v>1338.3</v>
      </c>
      <c r="EI23" s="44">
        <f t="shared" si="61"/>
        <v>1204.47</v>
      </c>
      <c r="EJ23" s="44">
        <f t="shared" si="61"/>
        <v>1084.0230000000001</v>
      </c>
      <c r="EK23" s="44">
        <f t="shared" si="61"/>
        <v>975.62070000000017</v>
      </c>
      <c r="EL23" s="44">
        <f t="shared" si="14"/>
        <v>488</v>
      </c>
      <c r="EM23" s="44">
        <f t="shared" si="4"/>
        <v>454</v>
      </c>
      <c r="EN23" s="44">
        <f t="shared" si="5"/>
        <v>437</v>
      </c>
      <c r="EO23" s="44">
        <f t="shared" si="6"/>
        <v>425</v>
      </c>
      <c r="EP23" s="44">
        <f t="shared" si="7"/>
        <v>382.5</v>
      </c>
      <c r="EQ23" s="44">
        <f t="shared" ref="EQ23:FB23" si="62">+EP23*0.9</f>
        <v>344.25</v>
      </c>
      <c r="ER23" s="44">
        <f t="shared" si="62"/>
        <v>309.82499999999999</v>
      </c>
      <c r="ES23" s="44">
        <f t="shared" si="62"/>
        <v>278.84249999999997</v>
      </c>
      <c r="ET23" s="44">
        <f t="shared" si="62"/>
        <v>250.95824999999999</v>
      </c>
      <c r="EU23" s="44">
        <f t="shared" si="62"/>
        <v>225.862425</v>
      </c>
      <c r="EV23" s="44">
        <f t="shared" si="62"/>
        <v>203.2761825</v>
      </c>
      <c r="EW23" s="44">
        <f t="shared" si="62"/>
        <v>182.94856425</v>
      </c>
      <c r="EX23" s="44">
        <f t="shared" si="62"/>
        <v>164.653707825</v>
      </c>
      <c r="EY23" s="44">
        <f t="shared" si="62"/>
        <v>148.1883370425</v>
      </c>
      <c r="EZ23" s="44">
        <f t="shared" si="62"/>
        <v>133.36950333825001</v>
      </c>
      <c r="FA23" s="44">
        <f t="shared" si="62"/>
        <v>120.03255300442501</v>
      </c>
      <c r="FB23" s="44">
        <f t="shared" si="62"/>
        <v>108.02929770398251</v>
      </c>
      <c r="FC23" s="44"/>
      <c r="FD23" s="44"/>
      <c r="FE23" s="44"/>
      <c r="FF23" s="44"/>
      <c r="FG23" s="44"/>
      <c r="FH23" s="81">
        <f>EC23*0.7</f>
        <v>732.9</v>
      </c>
      <c r="FI23" s="44">
        <f>EH23*0.7</f>
        <v>936.81</v>
      </c>
      <c r="FJ23" s="82">
        <f>EM23*0.7</f>
        <v>317.79999999999995</v>
      </c>
      <c r="FK23" s="44"/>
      <c r="FL23" s="111"/>
    </row>
    <row r="24" spans="1:175" s="9" customFormat="1">
      <c r="A24" s="14"/>
      <c r="B24" s="14" t="s">
        <v>1361</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8"/>
      <c r="AF24" s="68"/>
      <c r="AG24" s="68"/>
      <c r="AH24" s="68"/>
      <c r="AI24" s="68"/>
      <c r="AJ24" s="68"/>
      <c r="AK24" s="68"/>
      <c r="AL24" s="70"/>
      <c r="AM24" s="70"/>
      <c r="AN24" s="103"/>
      <c r="AO24" s="103"/>
      <c r="AP24" s="103"/>
      <c r="AQ24" s="70"/>
      <c r="AR24" s="70"/>
      <c r="AS24" s="70"/>
      <c r="AT24" s="70"/>
      <c r="AU24" s="68"/>
      <c r="AV24" s="70"/>
      <c r="AW24" s="68"/>
      <c r="AX24" s="70"/>
      <c r="AY24" s="70"/>
      <c r="AZ24" s="68"/>
      <c r="BA24" s="68"/>
      <c r="BB24" s="68"/>
      <c r="BC24" s="70"/>
      <c r="BD24" s="68"/>
      <c r="BE24" s="68"/>
      <c r="BF24" s="70"/>
      <c r="BG24" s="68"/>
      <c r="BH24" s="70"/>
      <c r="BI24" s="68"/>
      <c r="BJ24" s="70"/>
      <c r="BK24" s="70"/>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v>39</v>
      </c>
      <c r="CM24" s="68">
        <v>17</v>
      </c>
      <c r="CN24" s="122">
        <v>44</v>
      </c>
      <c r="CO24" s="122"/>
      <c r="CP24" s="122">
        <v>76</v>
      </c>
      <c r="CQ24" s="122">
        <v>74</v>
      </c>
      <c r="CR24" s="122">
        <v>63</v>
      </c>
      <c r="CS24" s="122">
        <v>88</v>
      </c>
      <c r="CT24" s="122">
        <v>105</v>
      </c>
      <c r="CU24" s="122">
        <v>105</v>
      </c>
      <c r="CV24" s="122">
        <v>107</v>
      </c>
      <c r="CW24" s="122">
        <v>99</v>
      </c>
      <c r="CX24" s="122">
        <v>119</v>
      </c>
      <c r="CY24" s="122">
        <v>107</v>
      </c>
      <c r="CZ24" s="122">
        <v>125</v>
      </c>
      <c r="DA24" s="122">
        <v>124</v>
      </c>
      <c r="DB24" s="122">
        <v>135</v>
      </c>
      <c r="DC24" s="122">
        <f t="shared" ref="DC24:DF24" si="63">+CY24*1.05</f>
        <v>112.35000000000001</v>
      </c>
      <c r="DD24" s="122">
        <f t="shared" si="63"/>
        <v>131.25</v>
      </c>
      <c r="DE24" s="122">
        <f t="shared" si="63"/>
        <v>130.20000000000002</v>
      </c>
      <c r="DF24" s="122">
        <f t="shared" si="63"/>
        <v>141.75</v>
      </c>
      <c r="DG24" s="68"/>
      <c r="DH24" s="68"/>
      <c r="DI24" s="14"/>
      <c r="DJ24" s="14"/>
      <c r="DK24" s="14"/>
      <c r="DL24" s="68"/>
      <c r="DM24" s="68"/>
      <c r="DN24" s="68"/>
      <c r="DO24" s="68"/>
      <c r="DP24" s="68"/>
      <c r="DQ24" s="68"/>
      <c r="DR24" s="68"/>
      <c r="DS24" s="68"/>
      <c r="DT24" s="68"/>
      <c r="DU24" s="68"/>
      <c r="DV24" s="68"/>
      <c r="DW24" s="68"/>
      <c r="DX24" s="68"/>
      <c r="DY24" s="68"/>
      <c r="DZ24" s="68"/>
      <c r="EA24" s="44"/>
      <c r="EB24" s="65"/>
      <c r="EC24" s="68"/>
      <c r="ED24" s="44"/>
      <c r="EE24" s="44"/>
      <c r="EF24" s="44"/>
      <c r="EG24" s="44"/>
      <c r="EH24" s="68"/>
      <c r="EI24" s="68"/>
      <c r="EJ24" s="68"/>
      <c r="EK24" s="68"/>
      <c r="EL24" s="44">
        <f t="shared" si="14"/>
        <v>137</v>
      </c>
      <c r="EM24" s="44">
        <f t="shared" si="4"/>
        <v>330</v>
      </c>
      <c r="EN24" s="44">
        <f t="shared" si="5"/>
        <v>430</v>
      </c>
      <c r="EO24" s="44">
        <f t="shared" si="6"/>
        <v>491</v>
      </c>
      <c r="EP24" s="44">
        <f t="shared" si="7"/>
        <v>515.55000000000007</v>
      </c>
      <c r="EQ24" s="44">
        <f t="shared" ref="EQ24:FB24" si="64">+EP24*0.9</f>
        <v>463.99500000000006</v>
      </c>
      <c r="ER24" s="44">
        <f t="shared" si="64"/>
        <v>417.59550000000007</v>
      </c>
      <c r="ES24" s="44">
        <f t="shared" si="64"/>
        <v>375.83595000000008</v>
      </c>
      <c r="ET24" s="44">
        <f t="shared" si="64"/>
        <v>338.25235500000008</v>
      </c>
      <c r="EU24" s="44">
        <f t="shared" si="64"/>
        <v>304.42711950000006</v>
      </c>
      <c r="EV24" s="44">
        <f t="shared" si="64"/>
        <v>273.98440755000007</v>
      </c>
      <c r="EW24" s="44">
        <f t="shared" si="64"/>
        <v>246.58596679500008</v>
      </c>
      <c r="EX24" s="44">
        <f t="shared" si="64"/>
        <v>221.92737011550008</v>
      </c>
      <c r="EY24" s="44">
        <f t="shared" si="64"/>
        <v>199.73463310395007</v>
      </c>
      <c r="EZ24" s="44">
        <f t="shared" si="64"/>
        <v>179.76116979355507</v>
      </c>
      <c r="FA24" s="44">
        <f t="shared" si="64"/>
        <v>161.78505281419956</v>
      </c>
      <c r="FB24" s="44">
        <f t="shared" si="64"/>
        <v>145.60654753277962</v>
      </c>
      <c r="FC24" s="68"/>
      <c r="FD24" s="68"/>
      <c r="FE24" s="68"/>
      <c r="FF24" s="68"/>
      <c r="FG24" s="68"/>
      <c r="FH24" s="83"/>
      <c r="FI24" s="68"/>
      <c r="FJ24" s="84"/>
      <c r="FK24" s="68"/>
      <c r="FL24" s="14"/>
      <c r="FM24" s="14"/>
      <c r="FN24" s="14"/>
      <c r="FO24" s="14"/>
      <c r="FP24" s="14"/>
      <c r="FQ24" s="14"/>
      <c r="FR24" s="14"/>
      <c r="FS24" s="14"/>
    </row>
    <row r="25" spans="1:175" s="9" customFormat="1">
      <c r="A25" s="14"/>
      <c r="B25" s="14" t="s">
        <v>1362</v>
      </c>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8"/>
      <c r="AF25" s="68"/>
      <c r="AG25" s="68"/>
      <c r="AH25" s="68"/>
      <c r="AI25" s="68"/>
      <c r="AJ25" s="68"/>
      <c r="AK25" s="68"/>
      <c r="AL25" s="70"/>
      <c r="AM25" s="70"/>
      <c r="AN25" s="103"/>
      <c r="AO25" s="103"/>
      <c r="AP25" s="103"/>
      <c r="AQ25" s="70"/>
      <c r="AR25" s="70"/>
      <c r="AS25" s="70"/>
      <c r="AT25" s="70"/>
      <c r="AU25" s="68"/>
      <c r="AV25" s="70"/>
      <c r="AW25" s="68"/>
      <c r="AX25" s="70"/>
      <c r="AY25" s="70"/>
      <c r="AZ25" s="68"/>
      <c r="BA25" s="68"/>
      <c r="BB25" s="68"/>
      <c r="BC25" s="70"/>
      <c r="BD25" s="68"/>
      <c r="BE25" s="68"/>
      <c r="BF25" s="70"/>
      <c r="BG25" s="68"/>
      <c r="BH25" s="70"/>
      <c r="BI25" s="68"/>
      <c r="BJ25" s="70"/>
      <c r="BK25" s="70"/>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v>0</v>
      </c>
      <c r="CL25" s="68">
        <v>0</v>
      </c>
      <c r="CM25" s="68">
        <v>0</v>
      </c>
      <c r="CN25" s="122">
        <v>0</v>
      </c>
      <c r="CO25" s="122">
        <v>0</v>
      </c>
      <c r="CP25" s="122">
        <v>0</v>
      </c>
      <c r="CQ25" s="122">
        <v>0</v>
      </c>
      <c r="CR25" s="122">
        <v>0</v>
      </c>
      <c r="CS25" s="122">
        <v>49</v>
      </c>
      <c r="CT25" s="122">
        <v>68</v>
      </c>
      <c r="CU25" s="122">
        <v>94</v>
      </c>
      <c r="CV25" s="122">
        <v>104</v>
      </c>
      <c r="CW25" s="122">
        <v>107</v>
      </c>
      <c r="CX25" s="122">
        <v>107</v>
      </c>
      <c r="CY25" s="122">
        <v>104</v>
      </c>
      <c r="CZ25" s="122">
        <v>100</v>
      </c>
      <c r="DA25" s="122">
        <v>98</v>
      </c>
      <c r="DB25" s="122">
        <v>109</v>
      </c>
      <c r="DC25" s="122">
        <f t="shared" ref="DC25:DF25" si="65">+CY25</f>
        <v>104</v>
      </c>
      <c r="DD25" s="122">
        <f t="shared" si="65"/>
        <v>100</v>
      </c>
      <c r="DE25" s="122">
        <f t="shared" si="65"/>
        <v>98</v>
      </c>
      <c r="DF25" s="122">
        <f t="shared" si="65"/>
        <v>109</v>
      </c>
      <c r="DG25" s="68"/>
      <c r="DH25" s="68"/>
      <c r="DI25" s="14"/>
      <c r="DJ25" s="14"/>
      <c r="DK25" s="14"/>
      <c r="DL25" s="68"/>
      <c r="DM25" s="68"/>
      <c r="DN25" s="68"/>
      <c r="DO25" s="68"/>
      <c r="DP25" s="68"/>
      <c r="DQ25" s="68"/>
      <c r="DR25" s="68"/>
      <c r="DS25" s="68"/>
      <c r="DT25" s="68"/>
      <c r="DU25" s="68"/>
      <c r="DV25" s="68"/>
      <c r="DW25" s="68"/>
      <c r="DX25" s="68"/>
      <c r="DY25" s="68"/>
      <c r="DZ25" s="68"/>
      <c r="EA25" s="44"/>
      <c r="EB25" s="65"/>
      <c r="EC25" s="68"/>
      <c r="ED25" s="44"/>
      <c r="EE25" s="44"/>
      <c r="EF25" s="44"/>
      <c r="EG25" s="44"/>
      <c r="EH25" s="68"/>
      <c r="EI25" s="68"/>
      <c r="EJ25" s="68"/>
      <c r="EK25" s="68"/>
      <c r="EL25" s="44">
        <f t="shared" si="14"/>
        <v>0</v>
      </c>
      <c r="EM25" s="44">
        <f t="shared" si="4"/>
        <v>117</v>
      </c>
      <c r="EN25" s="44">
        <f t="shared" si="5"/>
        <v>412</v>
      </c>
      <c r="EO25" s="44">
        <f t="shared" si="6"/>
        <v>411</v>
      </c>
      <c r="EP25" s="44">
        <f t="shared" si="7"/>
        <v>411</v>
      </c>
      <c r="EQ25" s="44">
        <f t="shared" ref="EQ25:FB25" si="66">+EP25*0.9</f>
        <v>369.90000000000003</v>
      </c>
      <c r="ER25" s="44">
        <f t="shared" si="66"/>
        <v>332.91</v>
      </c>
      <c r="ES25" s="44">
        <f t="shared" si="66"/>
        <v>299.61900000000003</v>
      </c>
      <c r="ET25" s="44">
        <f t="shared" si="66"/>
        <v>269.65710000000001</v>
      </c>
      <c r="EU25" s="44">
        <f t="shared" si="66"/>
        <v>242.69139000000001</v>
      </c>
      <c r="EV25" s="44">
        <f t="shared" si="66"/>
        <v>218.42225100000002</v>
      </c>
      <c r="EW25" s="44">
        <f t="shared" si="66"/>
        <v>196.58002590000001</v>
      </c>
      <c r="EX25" s="44">
        <f t="shared" si="66"/>
        <v>176.92202331000001</v>
      </c>
      <c r="EY25" s="44">
        <f t="shared" si="66"/>
        <v>159.22982097900001</v>
      </c>
      <c r="EZ25" s="44">
        <f t="shared" si="66"/>
        <v>143.30683888110002</v>
      </c>
      <c r="FA25" s="44">
        <f t="shared" si="66"/>
        <v>128.97615499299002</v>
      </c>
      <c r="FB25" s="44">
        <f t="shared" si="66"/>
        <v>116.07853949369103</v>
      </c>
      <c r="FC25" s="68"/>
      <c r="FD25" s="68"/>
      <c r="FE25" s="68"/>
      <c r="FF25" s="68"/>
      <c r="FG25" s="68"/>
      <c r="FH25" s="83"/>
      <c r="FI25" s="68"/>
      <c r="FJ25" s="84"/>
      <c r="FK25" s="68"/>
      <c r="FL25" s="14"/>
      <c r="FM25" s="14"/>
      <c r="FN25" s="14"/>
      <c r="FO25" s="14"/>
      <c r="FP25" s="14"/>
      <c r="FQ25" s="14"/>
      <c r="FR25" s="14"/>
      <c r="FS25" s="14"/>
    </row>
    <row r="26" spans="1:175">
      <c r="B26" s="14" t="s">
        <v>389</v>
      </c>
      <c r="C26" s="68"/>
      <c r="D26" s="68"/>
      <c r="E26" s="68"/>
      <c r="F26" s="68"/>
      <c r="G26" s="68" t="s">
        <v>605</v>
      </c>
      <c r="H26" s="68" t="s">
        <v>605</v>
      </c>
      <c r="I26" s="68" t="s">
        <v>605</v>
      </c>
      <c r="J26" s="68" t="s">
        <v>605</v>
      </c>
      <c r="K26" s="68" t="s">
        <v>605</v>
      </c>
      <c r="L26" s="68" t="s">
        <v>605</v>
      </c>
      <c r="M26" s="68" t="s">
        <v>605</v>
      </c>
      <c r="N26" s="68" t="s">
        <v>605</v>
      </c>
      <c r="O26" s="68" t="s">
        <v>605</v>
      </c>
      <c r="P26" s="68" t="s">
        <v>605</v>
      </c>
      <c r="Q26" s="68" t="s">
        <v>605</v>
      </c>
      <c r="R26" s="68" t="s">
        <v>605</v>
      </c>
      <c r="S26" s="68" t="s">
        <v>605</v>
      </c>
      <c r="T26" s="68" t="s">
        <v>605</v>
      </c>
      <c r="U26" s="68" t="s">
        <v>605</v>
      </c>
      <c r="V26" s="68" t="s">
        <v>605</v>
      </c>
      <c r="W26" s="68" t="s">
        <v>605</v>
      </c>
      <c r="X26" s="68" t="s">
        <v>605</v>
      </c>
      <c r="Y26" s="68" t="s">
        <v>605</v>
      </c>
      <c r="Z26" s="68" t="s">
        <v>605</v>
      </c>
      <c r="AA26" s="68" t="s">
        <v>605</v>
      </c>
      <c r="AB26" s="68" t="s">
        <v>605</v>
      </c>
      <c r="AC26" s="68" t="s">
        <v>605</v>
      </c>
      <c r="AD26" s="68" t="s">
        <v>605</v>
      </c>
      <c r="AE26" s="68" t="s">
        <v>605</v>
      </c>
      <c r="AF26" s="68" t="s">
        <v>605</v>
      </c>
      <c r="AG26" s="68" t="s">
        <v>605</v>
      </c>
      <c r="AH26" s="68" t="s">
        <v>605</v>
      </c>
      <c r="AI26" s="68" t="s">
        <v>605</v>
      </c>
      <c r="AJ26" s="68" t="s">
        <v>605</v>
      </c>
      <c r="AK26" s="68" t="s">
        <v>605</v>
      </c>
      <c r="AL26" s="70" t="s">
        <v>605</v>
      </c>
      <c r="AM26" s="70" t="s">
        <v>605</v>
      </c>
      <c r="AN26" s="65" t="s">
        <v>605</v>
      </c>
      <c r="AO26" s="70" t="s">
        <v>605</v>
      </c>
      <c r="AP26" s="70" t="s">
        <v>605</v>
      </c>
      <c r="AQ26" s="75" t="s">
        <v>663</v>
      </c>
      <c r="AR26" s="75" t="s">
        <v>664</v>
      </c>
      <c r="AS26" s="75" t="s">
        <v>665</v>
      </c>
      <c r="AT26" s="75" t="s">
        <v>666</v>
      </c>
      <c r="AU26" s="73" t="s">
        <v>667</v>
      </c>
      <c r="AV26" s="75" t="s">
        <v>668</v>
      </c>
      <c r="AW26" s="73" t="s">
        <v>669</v>
      </c>
      <c r="AX26" s="75" t="s">
        <v>670</v>
      </c>
      <c r="AY26" s="75" t="s">
        <v>671</v>
      </c>
      <c r="AZ26" s="73" t="s">
        <v>672</v>
      </c>
      <c r="BA26" s="73" t="s">
        <v>672</v>
      </c>
      <c r="BB26" s="73">
        <v>213</v>
      </c>
      <c r="BC26" s="65">
        <f>234+22</f>
        <v>256</v>
      </c>
      <c r="BD26" s="44">
        <v>260</v>
      </c>
      <c r="BE26" s="44">
        <v>263</v>
      </c>
      <c r="BF26" s="65">
        <v>261</v>
      </c>
      <c r="BG26" s="44">
        <v>235</v>
      </c>
      <c r="BH26" s="65">
        <v>255</v>
      </c>
      <c r="BI26" s="44">
        <v>267</v>
      </c>
      <c r="BJ26" s="65">
        <v>256</v>
      </c>
      <c r="BK26" s="65">
        <v>261</v>
      </c>
      <c r="BL26" s="44">
        <v>274</v>
      </c>
      <c r="BM26" s="44">
        <v>262</v>
      </c>
      <c r="BN26" s="44">
        <v>276</v>
      </c>
      <c r="BO26" s="44">
        <v>244</v>
      </c>
      <c r="BP26" s="44">
        <v>273</v>
      </c>
      <c r="BQ26" s="44">
        <v>276</v>
      </c>
      <c r="BR26" s="44">
        <v>299</v>
      </c>
      <c r="BS26" s="44">
        <v>248</v>
      </c>
      <c r="BT26" s="44">
        <v>274</v>
      </c>
      <c r="BU26" s="44">
        <f>+BQ26</f>
        <v>276</v>
      </c>
      <c r="BV26" s="44">
        <f>+BR26</f>
        <v>299</v>
      </c>
      <c r="BW26" s="44"/>
      <c r="BX26" s="44"/>
      <c r="BY26" s="44"/>
      <c r="BZ26" s="44"/>
      <c r="CA26" s="44"/>
      <c r="CB26" s="44"/>
      <c r="CC26" s="44"/>
      <c r="CD26" s="44"/>
      <c r="CE26" s="44"/>
      <c r="CF26" s="44"/>
      <c r="CG26" s="44"/>
      <c r="CH26" s="44"/>
      <c r="CI26" s="44"/>
      <c r="CJ26" s="44"/>
      <c r="CK26" s="44">
        <v>204</v>
      </c>
      <c r="CL26" s="44">
        <v>227</v>
      </c>
      <c r="CM26" s="44">
        <v>168</v>
      </c>
      <c r="CN26" s="115">
        <v>193</v>
      </c>
      <c r="CO26" s="115">
        <v>182</v>
      </c>
      <c r="CP26" s="115">
        <v>192</v>
      </c>
      <c r="CQ26" s="115">
        <v>152</v>
      </c>
      <c r="CR26" s="115">
        <v>152</v>
      </c>
      <c r="CS26" s="115">
        <v>168</v>
      </c>
      <c r="CT26" s="115">
        <v>208</v>
      </c>
      <c r="CU26" s="115">
        <v>143</v>
      </c>
      <c r="CV26" s="115">
        <v>128</v>
      </c>
      <c r="CW26" s="115">
        <v>148</v>
      </c>
      <c r="CX26" s="115">
        <v>143</v>
      </c>
      <c r="CY26" s="115">
        <v>102</v>
      </c>
      <c r="CZ26" s="115">
        <v>115</v>
      </c>
      <c r="DA26" s="115">
        <v>110</v>
      </c>
      <c r="DB26" s="115">
        <v>128</v>
      </c>
      <c r="DC26" s="115">
        <f t="shared" ref="DC26:DF26" si="67">+CY26*0.8</f>
        <v>81.600000000000009</v>
      </c>
      <c r="DD26" s="115">
        <f t="shared" si="67"/>
        <v>92</v>
      </c>
      <c r="DE26" s="115">
        <f t="shared" si="67"/>
        <v>88</v>
      </c>
      <c r="DF26" s="115">
        <f t="shared" si="67"/>
        <v>102.4</v>
      </c>
      <c r="DG26" s="44"/>
      <c r="DH26" s="44"/>
      <c r="DL26" s="68"/>
      <c r="DM26" s="68" t="s">
        <v>605</v>
      </c>
      <c r="DN26" s="68" t="s">
        <v>605</v>
      </c>
      <c r="DO26" s="68" t="s">
        <v>605</v>
      </c>
      <c r="DP26" s="68" t="s">
        <v>605</v>
      </c>
      <c r="DQ26" s="68" t="s">
        <v>605</v>
      </c>
      <c r="DR26" s="68" t="s">
        <v>605</v>
      </c>
      <c r="DS26" s="68" t="s">
        <v>605</v>
      </c>
      <c r="DT26" s="68" t="s">
        <v>605</v>
      </c>
      <c r="DU26" s="68" t="s">
        <v>605</v>
      </c>
      <c r="DV26" s="68" t="s">
        <v>605</v>
      </c>
      <c r="DW26" s="68" t="s">
        <v>605</v>
      </c>
      <c r="DX26" s="68" t="s">
        <v>605</v>
      </c>
      <c r="DY26" s="73" t="s">
        <v>673</v>
      </c>
      <c r="DZ26" s="73" t="s">
        <v>674</v>
      </c>
      <c r="EA26" s="73" t="s">
        <v>675</v>
      </c>
      <c r="EB26" s="65">
        <f>SUM(AY26:BB26)</f>
        <v>213</v>
      </c>
      <c r="EC26" s="68">
        <f>SUM(BC26:BF26)</f>
        <v>1040</v>
      </c>
      <c r="ED26" s="44">
        <f>SUM(BG26:BJ26)</f>
        <v>1013</v>
      </c>
      <c r="EE26" s="44">
        <f>SUM(BK26:BN26)</f>
        <v>1073</v>
      </c>
      <c r="EF26" s="44">
        <f>SUM(BO26:BR26)</f>
        <v>1092</v>
      </c>
      <c r="EG26" s="44">
        <f>SUM(BS26:BV26)</f>
        <v>1097</v>
      </c>
      <c r="EH26" s="44">
        <f t="shared" ref="EH26:EK26" si="68">EG26*0.99</f>
        <v>1086.03</v>
      </c>
      <c r="EI26" s="44">
        <f t="shared" si="68"/>
        <v>1075.1696999999999</v>
      </c>
      <c r="EJ26" s="44">
        <f t="shared" si="68"/>
        <v>1064.418003</v>
      </c>
      <c r="EK26" s="44">
        <f t="shared" si="68"/>
        <v>1053.7738229700001</v>
      </c>
      <c r="EL26" s="44">
        <f t="shared" si="14"/>
        <v>735</v>
      </c>
      <c r="EM26" s="44">
        <f t="shared" si="4"/>
        <v>680</v>
      </c>
      <c r="EN26" s="44">
        <f t="shared" si="5"/>
        <v>562</v>
      </c>
      <c r="EO26" s="44">
        <f t="shared" si="6"/>
        <v>455</v>
      </c>
      <c r="EP26" s="44">
        <f t="shared" si="7"/>
        <v>364</v>
      </c>
      <c r="EQ26" s="44">
        <f t="shared" ref="EQ26:FB26" si="69">+EP26*0.9</f>
        <v>327.60000000000002</v>
      </c>
      <c r="ER26" s="44">
        <f t="shared" si="69"/>
        <v>294.84000000000003</v>
      </c>
      <c r="ES26" s="44">
        <f t="shared" si="69"/>
        <v>265.35600000000005</v>
      </c>
      <c r="ET26" s="44">
        <f t="shared" si="69"/>
        <v>238.82040000000006</v>
      </c>
      <c r="EU26" s="44">
        <f t="shared" si="69"/>
        <v>214.93836000000007</v>
      </c>
      <c r="EV26" s="44">
        <f t="shared" si="69"/>
        <v>193.44452400000006</v>
      </c>
      <c r="EW26" s="44">
        <f t="shared" si="69"/>
        <v>174.10007160000006</v>
      </c>
      <c r="EX26" s="44">
        <f t="shared" si="69"/>
        <v>156.69006444000007</v>
      </c>
      <c r="EY26" s="44">
        <f t="shared" si="69"/>
        <v>141.02105799600008</v>
      </c>
      <c r="EZ26" s="44">
        <f t="shared" si="69"/>
        <v>126.91895219640007</v>
      </c>
      <c r="FA26" s="44">
        <f t="shared" si="69"/>
        <v>114.22705697676007</v>
      </c>
      <c r="FB26" s="44">
        <f t="shared" si="69"/>
        <v>102.80435127908406</v>
      </c>
      <c r="FH26" s="81">
        <f>EC26*0.5</f>
        <v>520</v>
      </c>
      <c r="FI26" s="44">
        <f>EH26*0.5</f>
        <v>543.01499999999999</v>
      </c>
      <c r="FJ26" s="82">
        <f>EM26*0.5</f>
        <v>340</v>
      </c>
    </row>
    <row r="27" spans="1:175">
      <c r="B27" s="14" t="s">
        <v>1379</v>
      </c>
      <c r="C27" s="62"/>
      <c r="D27" s="62"/>
      <c r="E27" s="62"/>
      <c r="F27" s="62"/>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44">
        <v>117</v>
      </c>
      <c r="X27" s="44">
        <v>133</v>
      </c>
      <c r="Y27" s="44">
        <v>136</v>
      </c>
      <c r="Z27" s="44">
        <v>165</v>
      </c>
      <c r="AA27" s="44">
        <v>140</v>
      </c>
      <c r="AB27" s="44">
        <f>39+50</f>
        <v>89</v>
      </c>
      <c r="AC27" s="44">
        <f>56+131</f>
        <v>187</v>
      </c>
      <c r="AD27" s="44">
        <f>67+138</f>
        <v>205</v>
      </c>
      <c r="AE27" s="44">
        <f>58+121</f>
        <v>179</v>
      </c>
      <c r="AF27" s="44">
        <f>47+133</f>
        <v>180</v>
      </c>
      <c r="AG27" s="44">
        <f>46+130</f>
        <v>176</v>
      </c>
      <c r="AH27" s="44">
        <f>57+143</f>
        <v>200</v>
      </c>
      <c r="AI27" s="68">
        <f>63+140</f>
        <v>203</v>
      </c>
      <c r="AJ27" s="37">
        <f>56+145</f>
        <v>201</v>
      </c>
      <c r="AK27" s="44">
        <f>59+141</f>
        <v>200</v>
      </c>
      <c r="AL27" s="65">
        <v>204</v>
      </c>
      <c r="AM27" s="65">
        <v>197</v>
      </c>
      <c r="AN27" s="69">
        <v>191</v>
      </c>
      <c r="AO27" s="70">
        <v>198</v>
      </c>
      <c r="AP27" s="70">
        <v>209</v>
      </c>
      <c r="AQ27" s="65">
        <v>201</v>
      </c>
      <c r="AR27" s="65">
        <v>202</v>
      </c>
      <c r="AS27" s="65">
        <v>216</v>
      </c>
      <c r="AT27" s="65">
        <v>224</v>
      </c>
      <c r="AU27" s="44">
        <f>55+151</f>
        <v>206</v>
      </c>
      <c r="AV27" s="65">
        <f>61+177</f>
        <v>238</v>
      </c>
      <c r="AW27" s="44">
        <v>225</v>
      </c>
      <c r="AX27" s="65">
        <v>229</v>
      </c>
      <c r="AY27" s="65">
        <v>197</v>
      </c>
      <c r="AZ27" s="44">
        <v>207</v>
      </c>
      <c r="BA27" s="44">
        <v>232</v>
      </c>
      <c r="BB27" s="44">
        <v>251</v>
      </c>
      <c r="BC27" s="65">
        <f>45+161</f>
        <v>206</v>
      </c>
      <c r="BD27" s="44">
        <v>233</v>
      </c>
      <c r="BE27" s="44">
        <v>211</v>
      </c>
      <c r="BF27" s="65">
        <v>235</v>
      </c>
      <c r="BG27" s="44">
        <v>209</v>
      </c>
      <c r="BH27" s="65">
        <v>230</v>
      </c>
      <c r="BI27" s="44">
        <v>215</v>
      </c>
      <c r="BJ27" s="65">
        <v>235</v>
      </c>
      <c r="BK27" s="65">
        <v>195</v>
      </c>
      <c r="BL27" s="44">
        <v>212</v>
      </c>
      <c r="BM27" s="44">
        <v>212</v>
      </c>
      <c r="BN27" s="44">
        <v>213</v>
      </c>
      <c r="BO27" s="44">
        <v>189</v>
      </c>
      <c r="BP27" s="44">
        <v>198</v>
      </c>
      <c r="BQ27" s="44">
        <v>183</v>
      </c>
      <c r="BR27" s="44">
        <v>202</v>
      </c>
      <c r="BS27" s="44">
        <v>166</v>
      </c>
      <c r="BT27" s="44">
        <v>194</v>
      </c>
      <c r="BU27" s="44">
        <f t="shared" ref="BU27:BU28" si="70">+BQ27</f>
        <v>183</v>
      </c>
      <c r="BV27" s="44">
        <f t="shared" ref="BV27:BV28" si="71">+BR27</f>
        <v>202</v>
      </c>
      <c r="BW27" s="44"/>
      <c r="BX27" s="44"/>
      <c r="BY27" s="44"/>
      <c r="BZ27" s="44"/>
      <c r="CA27" s="44"/>
      <c r="CB27" s="44"/>
      <c r="CC27" s="44"/>
      <c r="CD27" s="44"/>
      <c r="CE27" s="44"/>
      <c r="CF27" s="44"/>
      <c r="CG27" s="44"/>
      <c r="CH27" s="44"/>
      <c r="CI27" s="44"/>
      <c r="CJ27" s="44"/>
      <c r="CK27" s="44">
        <v>143</v>
      </c>
      <c r="CL27" s="44">
        <v>142</v>
      </c>
      <c r="CM27" s="44">
        <v>107</v>
      </c>
      <c r="CN27" s="115">
        <v>125</v>
      </c>
      <c r="CO27" s="115">
        <v>124</v>
      </c>
      <c r="CP27" s="115">
        <v>142</v>
      </c>
      <c r="CQ27" s="115">
        <v>103</v>
      </c>
      <c r="CR27" s="115">
        <v>106</v>
      </c>
      <c r="CS27" s="115">
        <v>107</v>
      </c>
      <c r="CT27" s="115">
        <v>112</v>
      </c>
      <c r="CU27" s="115">
        <v>80</v>
      </c>
      <c r="CV27" s="115">
        <v>109</v>
      </c>
      <c r="CW27" s="115">
        <v>95</v>
      </c>
      <c r="CX27" s="115">
        <v>106</v>
      </c>
      <c r="CY27" s="115">
        <v>80</v>
      </c>
      <c r="CZ27" s="115">
        <v>91</v>
      </c>
      <c r="DA27" s="115">
        <v>90</v>
      </c>
      <c r="DB27" s="115">
        <v>99</v>
      </c>
      <c r="DC27" s="115">
        <f t="shared" ref="DC27:DC28" si="72">+CY27*0.9</f>
        <v>72</v>
      </c>
      <c r="DD27" s="115">
        <f t="shared" ref="DD27:DD28" si="73">+CZ27*0.9</f>
        <v>81.900000000000006</v>
      </c>
      <c r="DE27" s="115">
        <f t="shared" ref="DE27:DE28" si="74">+DA27*0.9</f>
        <v>81</v>
      </c>
      <c r="DF27" s="115">
        <f t="shared" ref="DF27:DF28" si="75">+DB27*0.9</f>
        <v>89.100000000000009</v>
      </c>
      <c r="DG27" s="115"/>
      <c r="DH27" s="44"/>
      <c r="DL27" s="68"/>
      <c r="DM27" s="68" t="s">
        <v>605</v>
      </c>
      <c r="DN27" s="68" t="s">
        <v>605</v>
      </c>
      <c r="DO27" s="68" t="s">
        <v>605</v>
      </c>
      <c r="DP27" s="68" t="s">
        <v>605</v>
      </c>
      <c r="DQ27" s="68" t="s">
        <v>605</v>
      </c>
      <c r="DR27" s="68" t="s">
        <v>605</v>
      </c>
      <c r="DS27" s="68" t="s">
        <v>605</v>
      </c>
      <c r="DT27" s="68" t="s">
        <v>605</v>
      </c>
      <c r="DU27" s="44">
        <v>551</v>
      </c>
      <c r="DV27" s="44">
        <v>481</v>
      </c>
      <c r="DW27" s="44">
        <v>736</v>
      </c>
      <c r="DX27" s="44">
        <v>808</v>
      </c>
      <c r="DY27" s="44">
        <v>795</v>
      </c>
      <c r="DZ27" s="44">
        <f>SUM(AQ27:AT27)</f>
        <v>843</v>
      </c>
      <c r="EA27" s="44">
        <f>SUM(AU27:AX27)</f>
        <v>898</v>
      </c>
      <c r="EB27" s="65">
        <f>SUM(AY27:BB27)</f>
        <v>887</v>
      </c>
      <c r="EC27" s="68">
        <f>SUM(BC27:BF27)</f>
        <v>885</v>
      </c>
      <c r="ED27" s="44">
        <f>SUM(BG27:BJ27)</f>
        <v>889</v>
      </c>
      <c r="EE27" s="44">
        <f>SUM(BK27:BN27)</f>
        <v>832</v>
      </c>
      <c r="EF27" s="44">
        <f>SUM(BO27:BR27)</f>
        <v>772</v>
      </c>
      <c r="EG27" s="44">
        <f t="shared" si="60"/>
        <v>745</v>
      </c>
      <c r="EH27" s="44">
        <f t="shared" ref="EH27:EK27" si="76">EG27*1.01</f>
        <v>752.45</v>
      </c>
      <c r="EI27" s="44">
        <f t="shared" si="76"/>
        <v>759.97450000000003</v>
      </c>
      <c r="EJ27" s="44">
        <f t="shared" si="76"/>
        <v>767.57424500000002</v>
      </c>
      <c r="EK27" s="44">
        <f t="shared" si="76"/>
        <v>775.24998745000005</v>
      </c>
      <c r="EL27" s="44">
        <f t="shared" si="14"/>
        <v>498</v>
      </c>
      <c r="EM27" s="44">
        <f t="shared" si="4"/>
        <v>428</v>
      </c>
      <c r="EN27" s="44">
        <f t="shared" si="5"/>
        <v>390</v>
      </c>
      <c r="EO27" s="44">
        <f t="shared" si="6"/>
        <v>360</v>
      </c>
      <c r="EP27" s="44">
        <f t="shared" si="7"/>
        <v>324</v>
      </c>
      <c r="EQ27" s="44">
        <f t="shared" ref="EQ27:FB27" si="77">+EP27*0.9</f>
        <v>291.60000000000002</v>
      </c>
      <c r="ER27" s="44">
        <f t="shared" si="77"/>
        <v>262.44000000000005</v>
      </c>
      <c r="ES27" s="44">
        <f t="shared" si="77"/>
        <v>236.19600000000005</v>
      </c>
      <c r="ET27" s="44">
        <f t="shared" si="77"/>
        <v>212.57640000000006</v>
      </c>
      <c r="EU27" s="44">
        <f t="shared" si="77"/>
        <v>191.31876000000005</v>
      </c>
      <c r="EV27" s="44">
        <f t="shared" si="77"/>
        <v>172.18688400000005</v>
      </c>
      <c r="EW27" s="44">
        <f t="shared" si="77"/>
        <v>154.96819560000006</v>
      </c>
      <c r="EX27" s="44">
        <f t="shared" si="77"/>
        <v>139.47137604000005</v>
      </c>
      <c r="EY27" s="44">
        <f t="shared" si="77"/>
        <v>125.52423843600005</v>
      </c>
      <c r="EZ27" s="44">
        <f t="shared" si="77"/>
        <v>112.97181459240005</v>
      </c>
      <c r="FA27" s="44">
        <f t="shared" si="77"/>
        <v>101.67463313316004</v>
      </c>
      <c r="FB27" s="44">
        <f t="shared" si="77"/>
        <v>91.507169819844037</v>
      </c>
      <c r="FH27" s="81">
        <f>EC27*0.7</f>
        <v>619.5</v>
      </c>
      <c r="FI27" s="44">
        <f>EH27*0.7</f>
        <v>526.71500000000003</v>
      </c>
      <c r="FJ27" s="82">
        <f>EM27*0.7</f>
        <v>299.59999999999997</v>
      </c>
      <c r="FL27" s="14"/>
    </row>
    <row r="28" spans="1:175">
      <c r="B28" s="14" t="s">
        <v>683</v>
      </c>
      <c r="C28" s="62"/>
      <c r="D28" s="62"/>
      <c r="E28" s="62"/>
      <c r="F28" s="62"/>
      <c r="G28" s="62"/>
      <c r="H28" s="62"/>
      <c r="I28" s="62"/>
      <c r="J28" s="62"/>
      <c r="K28" s="62"/>
      <c r="L28" s="62"/>
      <c r="M28" s="62"/>
      <c r="N28" s="62"/>
      <c r="O28" s="62"/>
      <c r="P28" s="62"/>
      <c r="Q28" s="62"/>
      <c r="R28" s="62"/>
      <c r="S28" s="62"/>
      <c r="T28" s="62"/>
      <c r="U28" s="62"/>
      <c r="V28" s="62"/>
      <c r="W28" s="68"/>
      <c r="X28" s="68"/>
      <c r="Y28" s="68"/>
      <c r="Z28" s="68"/>
      <c r="AA28" s="44"/>
      <c r="AB28" s="44"/>
      <c r="AC28" s="44"/>
      <c r="AD28" s="44"/>
      <c r="AE28" s="44"/>
      <c r="AF28" s="44"/>
      <c r="AG28" s="44"/>
      <c r="AH28" s="44"/>
      <c r="AI28" s="68"/>
      <c r="AM28" s="69"/>
      <c r="AN28" s="69"/>
      <c r="AO28" s="69"/>
      <c r="AP28" s="103"/>
      <c r="AQ28" s="65"/>
      <c r="AR28" s="65"/>
      <c r="AS28" s="65"/>
      <c r="AT28" s="65"/>
      <c r="AU28" s="44"/>
      <c r="AV28" s="65"/>
      <c r="AW28" s="44"/>
      <c r="AX28" s="44"/>
      <c r="AY28" s="44"/>
      <c r="AZ28" s="44"/>
      <c r="BA28" s="44"/>
      <c r="BB28" s="44"/>
      <c r="BC28" s="65">
        <v>109</v>
      </c>
      <c r="BD28" s="44">
        <v>113</v>
      </c>
      <c r="BE28" s="44">
        <v>119</v>
      </c>
      <c r="BF28" s="65">
        <v>114</v>
      </c>
      <c r="BG28" s="44">
        <v>121</v>
      </c>
      <c r="BH28" s="65">
        <v>127</v>
      </c>
      <c r="BI28" s="44">
        <v>127</v>
      </c>
      <c r="BJ28" s="65">
        <v>127</v>
      </c>
      <c r="BK28" s="65">
        <v>134</v>
      </c>
      <c r="BL28" s="44">
        <v>141</v>
      </c>
      <c r="BM28" s="44">
        <v>113</v>
      </c>
      <c r="BN28" s="44">
        <v>135</v>
      </c>
      <c r="BO28" s="44">
        <v>113</v>
      </c>
      <c r="BP28" s="44">
        <v>123</v>
      </c>
      <c r="BQ28" s="44">
        <v>107</v>
      </c>
      <c r="BR28" s="44">
        <v>121</v>
      </c>
      <c r="BS28" s="44">
        <v>106</v>
      </c>
      <c r="BT28" s="44">
        <v>115</v>
      </c>
      <c r="BU28" s="44">
        <f t="shared" si="70"/>
        <v>107</v>
      </c>
      <c r="BV28" s="44">
        <f t="shared" si="71"/>
        <v>121</v>
      </c>
      <c r="BW28" s="44"/>
      <c r="BX28" s="44"/>
      <c r="BY28" s="44"/>
      <c r="BZ28" s="44"/>
      <c r="CA28" s="44"/>
      <c r="CB28" s="44"/>
      <c r="CC28" s="44"/>
      <c r="CD28" s="44"/>
      <c r="CE28" s="44"/>
      <c r="CF28" s="44"/>
      <c r="CG28" s="44"/>
      <c r="CH28" s="44"/>
      <c r="CI28" s="44"/>
      <c r="CJ28" s="44"/>
      <c r="CK28" s="44">
        <v>110</v>
      </c>
      <c r="CL28" s="44">
        <v>124</v>
      </c>
      <c r="CM28" s="44">
        <v>120</v>
      </c>
      <c r="CN28" s="115">
        <v>120</v>
      </c>
      <c r="CO28" s="115">
        <v>109</v>
      </c>
      <c r="CP28" s="115">
        <v>121</v>
      </c>
      <c r="CQ28" s="115">
        <v>129</v>
      </c>
      <c r="CR28" s="115">
        <v>78</v>
      </c>
      <c r="CS28" s="115">
        <v>87</v>
      </c>
      <c r="CT28" s="115">
        <v>107</v>
      </c>
      <c r="CU28" s="115">
        <v>99</v>
      </c>
      <c r="CV28" s="115">
        <v>112</v>
      </c>
      <c r="CW28" s="115">
        <v>109</v>
      </c>
      <c r="CX28" s="115">
        <v>112</v>
      </c>
      <c r="CY28" s="115">
        <v>76</v>
      </c>
      <c r="CZ28" s="115">
        <v>79</v>
      </c>
      <c r="DA28" s="115">
        <v>79</v>
      </c>
      <c r="DB28" s="115">
        <v>93</v>
      </c>
      <c r="DC28" s="115">
        <f t="shared" si="72"/>
        <v>68.400000000000006</v>
      </c>
      <c r="DD28" s="115">
        <f t="shared" si="73"/>
        <v>71.100000000000009</v>
      </c>
      <c r="DE28" s="115">
        <f t="shared" si="74"/>
        <v>71.100000000000009</v>
      </c>
      <c r="DF28" s="115">
        <f t="shared" si="75"/>
        <v>83.7</v>
      </c>
      <c r="DG28" s="115"/>
      <c r="DH28" s="44"/>
      <c r="DL28" s="68"/>
      <c r="DM28" s="68"/>
      <c r="DN28" s="68"/>
      <c r="DO28" s="68"/>
      <c r="DP28" s="68"/>
      <c r="DQ28" s="68"/>
      <c r="DR28" s="68"/>
      <c r="DS28" s="68"/>
      <c r="DT28" s="68"/>
      <c r="DU28" s="44"/>
      <c r="DV28" s="44"/>
      <c r="DW28" s="44"/>
      <c r="DX28" s="44"/>
      <c r="DY28" s="44"/>
      <c r="DZ28" s="44"/>
      <c r="EA28" s="44"/>
      <c r="EB28" s="65"/>
      <c r="EC28" s="44">
        <f>SUM(BC28:BF28)</f>
        <v>455</v>
      </c>
      <c r="ED28" s="44">
        <f t="shared" ref="ED28:ED63" si="78">SUM(BG28:BJ28)</f>
        <v>502</v>
      </c>
      <c r="EE28" s="44">
        <f t="shared" ref="EE28:EE65" si="79">SUM(BK28:BN28)</f>
        <v>523</v>
      </c>
      <c r="EF28" s="44">
        <f t="shared" ref="EF28:EF65" si="80">SUM(BO28:BR28)</f>
        <v>464</v>
      </c>
      <c r="EG28" s="44">
        <f t="shared" si="60"/>
        <v>449</v>
      </c>
      <c r="EH28" s="44">
        <f t="shared" ref="EH28:EK28" si="81">+EG28*0.7</f>
        <v>314.29999999999995</v>
      </c>
      <c r="EI28" s="44">
        <f t="shared" si="81"/>
        <v>220.00999999999996</v>
      </c>
      <c r="EJ28" s="44">
        <f t="shared" si="81"/>
        <v>154.00699999999998</v>
      </c>
      <c r="EK28" s="44">
        <f t="shared" si="81"/>
        <v>107.80489999999998</v>
      </c>
      <c r="EL28" s="44">
        <f t="shared" si="14"/>
        <v>470</v>
      </c>
      <c r="EM28" s="44">
        <f t="shared" si="4"/>
        <v>401</v>
      </c>
      <c r="EN28" s="44">
        <f t="shared" si="5"/>
        <v>432</v>
      </c>
      <c r="EO28" s="44">
        <f t="shared" si="6"/>
        <v>327</v>
      </c>
      <c r="EP28" s="44">
        <f t="shared" si="7"/>
        <v>294.3</v>
      </c>
      <c r="EQ28" s="44">
        <f t="shared" ref="EQ28:FB28" si="82">+EP28*0.9</f>
        <v>264.87</v>
      </c>
      <c r="ER28" s="44">
        <f t="shared" si="82"/>
        <v>238.38300000000001</v>
      </c>
      <c r="ES28" s="44">
        <f t="shared" si="82"/>
        <v>214.54470000000001</v>
      </c>
      <c r="ET28" s="44">
        <f t="shared" si="82"/>
        <v>193.09023000000002</v>
      </c>
      <c r="EU28" s="44">
        <f t="shared" si="82"/>
        <v>173.78120700000002</v>
      </c>
      <c r="EV28" s="44">
        <f t="shared" si="82"/>
        <v>156.40308630000001</v>
      </c>
      <c r="EW28" s="44">
        <f t="shared" si="82"/>
        <v>140.76277767000002</v>
      </c>
      <c r="EX28" s="44">
        <f t="shared" si="82"/>
        <v>126.68649990300003</v>
      </c>
      <c r="EY28" s="44">
        <f t="shared" si="82"/>
        <v>114.01784991270003</v>
      </c>
      <c r="EZ28" s="44">
        <f t="shared" si="82"/>
        <v>102.61606492143002</v>
      </c>
      <c r="FA28" s="44">
        <f t="shared" si="82"/>
        <v>92.354458429287021</v>
      </c>
      <c r="FB28" s="44">
        <f t="shared" si="82"/>
        <v>83.119012586358323</v>
      </c>
      <c r="FJ28" s="82">
        <f>+EM28*0.1</f>
        <v>40.1</v>
      </c>
    </row>
    <row r="29" spans="1:175">
      <c r="B29" s="14" t="s">
        <v>1358</v>
      </c>
      <c r="C29" s="62"/>
      <c r="D29" s="62"/>
      <c r="E29" s="62"/>
      <c r="F29" s="62"/>
      <c r="G29" s="62"/>
      <c r="H29" s="62"/>
      <c r="I29" s="62"/>
      <c r="J29" s="62"/>
      <c r="K29" s="62"/>
      <c r="L29" s="62"/>
      <c r="M29" s="62"/>
      <c r="N29" s="62"/>
      <c r="O29" s="62"/>
      <c r="P29" s="62"/>
      <c r="Q29" s="62"/>
      <c r="R29" s="62"/>
      <c r="S29" s="62"/>
      <c r="T29" s="62"/>
      <c r="U29" s="62"/>
      <c r="V29" s="62"/>
      <c r="W29" s="68"/>
      <c r="X29" s="68"/>
      <c r="Y29" s="68"/>
      <c r="Z29" s="68"/>
      <c r="AA29" s="44"/>
      <c r="AB29" s="44"/>
      <c r="AC29" s="44"/>
      <c r="AD29" s="44"/>
      <c r="AE29" s="44"/>
      <c r="AF29" s="44"/>
      <c r="AG29" s="44"/>
      <c r="AH29" s="44"/>
      <c r="AI29" s="68"/>
      <c r="AM29" s="69"/>
      <c r="AN29" s="69"/>
      <c r="AO29" s="69"/>
      <c r="AP29" s="103"/>
      <c r="AQ29" s="65"/>
      <c r="AR29" s="65"/>
      <c r="AS29" s="65"/>
      <c r="AT29" s="65"/>
      <c r="AU29" s="44"/>
      <c r="AV29" s="65"/>
      <c r="AW29" s="44"/>
      <c r="AX29" s="44"/>
      <c r="AY29" s="44"/>
      <c r="AZ29" s="44"/>
      <c r="BA29" s="44"/>
      <c r="BB29" s="44"/>
      <c r="BC29" s="65"/>
      <c r="BD29" s="44"/>
      <c r="BE29" s="44"/>
      <c r="BF29" s="65"/>
      <c r="BG29" s="44"/>
      <c r="BH29" s="65"/>
      <c r="BI29" s="44"/>
      <c r="BJ29" s="65"/>
      <c r="BK29" s="65"/>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v>46</v>
      </c>
      <c r="CL29" s="44">
        <v>44</v>
      </c>
      <c r="CM29" s="44">
        <v>50</v>
      </c>
      <c r="CN29" s="115">
        <v>58</v>
      </c>
      <c r="CO29" s="115">
        <v>52</v>
      </c>
      <c r="CP29" s="115">
        <v>70</v>
      </c>
      <c r="CQ29" s="115">
        <v>75</v>
      </c>
      <c r="CR29" s="115">
        <v>56</v>
      </c>
      <c r="CS29" s="115">
        <v>50</v>
      </c>
      <c r="CT29" s="115">
        <v>40</v>
      </c>
      <c r="CU29" s="115">
        <v>46</v>
      </c>
      <c r="CV29" s="115">
        <v>49</v>
      </c>
      <c r="CW29" s="115">
        <v>51</v>
      </c>
      <c r="CX29" s="115">
        <v>48</v>
      </c>
      <c r="CY29" s="115">
        <v>77</v>
      </c>
      <c r="CZ29" s="115">
        <v>65</v>
      </c>
      <c r="DA29" s="115">
        <v>79</v>
      </c>
      <c r="DB29" s="115">
        <v>48</v>
      </c>
      <c r="DC29" s="115">
        <f t="shared" ref="DC29:DC30" si="83">+CY29*1.05</f>
        <v>80.850000000000009</v>
      </c>
      <c r="DD29" s="115">
        <f t="shared" ref="DD29:DD30" si="84">+CZ29*1.05</f>
        <v>68.25</v>
      </c>
      <c r="DE29" s="115">
        <f t="shared" ref="DE29:DE30" si="85">+DA29*1.05</f>
        <v>82.95</v>
      </c>
      <c r="DF29" s="115">
        <f t="shared" ref="DF29:DF30" si="86">+DB29*1.05</f>
        <v>50.400000000000006</v>
      </c>
      <c r="DG29" s="44"/>
      <c r="DH29" s="44"/>
      <c r="DL29" s="68"/>
      <c r="DM29" s="68"/>
      <c r="DN29" s="68"/>
      <c r="DO29" s="68"/>
      <c r="DP29" s="68"/>
      <c r="DQ29" s="68"/>
      <c r="DR29" s="68"/>
      <c r="DS29" s="68"/>
      <c r="DT29" s="68"/>
      <c r="DU29" s="44"/>
      <c r="DV29" s="44"/>
      <c r="DW29" s="44"/>
      <c r="DX29" s="44"/>
      <c r="DY29" s="44"/>
      <c r="DZ29" s="44"/>
      <c r="EA29" s="44"/>
      <c r="EB29" s="65"/>
      <c r="EL29" s="44">
        <f t="shared" si="14"/>
        <v>230</v>
      </c>
      <c r="EM29" s="44">
        <f t="shared" si="4"/>
        <v>221</v>
      </c>
      <c r="EN29" s="44">
        <f t="shared" si="5"/>
        <v>194</v>
      </c>
      <c r="EO29" s="44">
        <f t="shared" si="6"/>
        <v>269</v>
      </c>
      <c r="EP29" s="44">
        <f t="shared" si="7"/>
        <v>282.45000000000005</v>
      </c>
      <c r="EQ29" s="44">
        <f t="shared" ref="EQ29:FB29" si="87">+EP29*0.9</f>
        <v>254.20500000000004</v>
      </c>
      <c r="ER29" s="44">
        <f t="shared" si="87"/>
        <v>228.78450000000004</v>
      </c>
      <c r="ES29" s="44">
        <f t="shared" si="87"/>
        <v>205.90605000000005</v>
      </c>
      <c r="ET29" s="44">
        <f t="shared" si="87"/>
        <v>185.31544500000004</v>
      </c>
      <c r="EU29" s="44">
        <f t="shared" si="87"/>
        <v>166.78390050000004</v>
      </c>
      <c r="EV29" s="44">
        <f t="shared" si="87"/>
        <v>150.10551045000005</v>
      </c>
      <c r="EW29" s="44">
        <f t="shared" si="87"/>
        <v>135.09495940500005</v>
      </c>
      <c r="EX29" s="44">
        <f t="shared" si="87"/>
        <v>121.58546346450005</v>
      </c>
      <c r="EY29" s="44">
        <f t="shared" si="87"/>
        <v>109.42691711805004</v>
      </c>
      <c r="EZ29" s="44">
        <f t="shared" si="87"/>
        <v>98.484225406245045</v>
      </c>
      <c r="FA29" s="44">
        <f t="shared" si="87"/>
        <v>88.635802865620548</v>
      </c>
      <c r="FB29" s="44">
        <f t="shared" si="87"/>
        <v>79.772222579058493</v>
      </c>
    </row>
    <row r="30" spans="1:175">
      <c r="B30" s="14" t="s">
        <v>1368</v>
      </c>
      <c r="C30" s="62"/>
      <c r="D30" s="62"/>
      <c r="E30" s="62"/>
      <c r="F30" s="62"/>
      <c r="G30" s="62"/>
      <c r="H30" s="62"/>
      <c r="I30" s="62"/>
      <c r="J30" s="62"/>
      <c r="K30" s="62"/>
      <c r="L30" s="62"/>
      <c r="M30" s="62"/>
      <c r="N30" s="62"/>
      <c r="O30" s="62"/>
      <c r="P30" s="62"/>
      <c r="Q30" s="62"/>
      <c r="R30" s="62"/>
      <c r="S30" s="62"/>
      <c r="T30" s="62"/>
      <c r="U30" s="62"/>
      <c r="V30" s="62"/>
      <c r="W30" s="68"/>
      <c r="X30" s="68"/>
      <c r="Y30" s="68"/>
      <c r="Z30" s="68"/>
      <c r="AA30" s="44"/>
      <c r="AB30" s="44"/>
      <c r="AC30" s="44"/>
      <c r="AD30" s="44"/>
      <c r="AE30" s="44"/>
      <c r="AF30" s="44"/>
      <c r="AG30" s="44"/>
      <c r="AH30" s="44"/>
      <c r="AI30" s="68"/>
      <c r="AM30" s="69"/>
      <c r="AN30" s="69"/>
      <c r="AO30" s="69"/>
      <c r="AP30" s="103"/>
      <c r="AQ30" s="65"/>
      <c r="AR30" s="65"/>
      <c r="AS30" s="65"/>
      <c r="AT30" s="65"/>
      <c r="AU30" s="44"/>
      <c r="AV30" s="65"/>
      <c r="AW30" s="44"/>
      <c r="AX30" s="44"/>
      <c r="AY30" s="44"/>
      <c r="AZ30" s="44"/>
      <c r="BA30" s="44"/>
      <c r="BB30" s="44"/>
      <c r="BC30" s="65"/>
      <c r="BD30" s="44"/>
      <c r="BE30" s="44"/>
      <c r="BF30" s="65"/>
      <c r="BG30" s="44"/>
      <c r="BH30" s="65"/>
      <c r="BI30" s="44"/>
      <c r="BJ30" s="65"/>
      <c r="BK30" s="65"/>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v>0</v>
      </c>
      <c r="CL30" s="44">
        <v>0</v>
      </c>
      <c r="CM30" s="44">
        <v>0</v>
      </c>
      <c r="CN30" s="115">
        <v>0</v>
      </c>
      <c r="CO30" s="115">
        <v>0</v>
      </c>
      <c r="CP30" s="115">
        <v>0</v>
      </c>
      <c r="CQ30" s="115">
        <v>0</v>
      </c>
      <c r="CR30" s="115">
        <v>0</v>
      </c>
      <c r="CS30" s="115">
        <v>55</v>
      </c>
      <c r="CT30" s="115">
        <v>62</v>
      </c>
      <c r="CU30" s="115">
        <v>60</v>
      </c>
      <c r="CV30" s="115">
        <v>66</v>
      </c>
      <c r="CW30" s="115">
        <v>67</v>
      </c>
      <c r="CX30" s="115">
        <v>73</v>
      </c>
      <c r="CY30" s="115">
        <v>72</v>
      </c>
      <c r="CZ30" s="115">
        <v>77</v>
      </c>
      <c r="DA30" s="115">
        <v>99</v>
      </c>
      <c r="DB30" s="115">
        <v>95</v>
      </c>
      <c r="DC30" s="115">
        <f t="shared" si="83"/>
        <v>75.600000000000009</v>
      </c>
      <c r="DD30" s="115">
        <f t="shared" si="84"/>
        <v>80.850000000000009</v>
      </c>
      <c r="DE30" s="115">
        <f t="shared" si="85"/>
        <v>103.95</v>
      </c>
      <c r="DF30" s="115">
        <f t="shared" si="86"/>
        <v>99.75</v>
      </c>
      <c r="DG30" s="44"/>
      <c r="DH30" s="44"/>
      <c r="DL30" s="68"/>
      <c r="DM30" s="68"/>
      <c r="DN30" s="68"/>
      <c r="DO30" s="68"/>
      <c r="DP30" s="68"/>
      <c r="DQ30" s="68"/>
      <c r="DR30" s="68"/>
      <c r="DS30" s="68"/>
      <c r="DT30" s="68"/>
      <c r="DU30" s="44"/>
      <c r="DV30" s="44"/>
      <c r="DW30" s="44"/>
      <c r="DX30" s="44"/>
      <c r="DY30" s="44"/>
      <c r="DZ30" s="44"/>
      <c r="EA30" s="44"/>
      <c r="EB30" s="65"/>
      <c r="EL30" s="44">
        <f t="shared" si="14"/>
        <v>0</v>
      </c>
      <c r="EM30" s="44">
        <f t="shared" si="4"/>
        <v>117</v>
      </c>
      <c r="EN30" s="44">
        <f t="shared" si="5"/>
        <v>266</v>
      </c>
      <c r="EO30" s="44">
        <f t="shared" si="6"/>
        <v>343</v>
      </c>
      <c r="EP30" s="44">
        <f t="shared" si="7"/>
        <v>360.15000000000003</v>
      </c>
      <c r="EQ30" s="44">
        <f t="shared" ref="EQ30:FB30" si="88">+EP30*0.9</f>
        <v>324.13500000000005</v>
      </c>
      <c r="ER30" s="44">
        <f t="shared" si="88"/>
        <v>291.72150000000005</v>
      </c>
      <c r="ES30" s="44">
        <f t="shared" si="88"/>
        <v>262.54935000000006</v>
      </c>
      <c r="ET30" s="44">
        <f t="shared" si="88"/>
        <v>236.29441500000007</v>
      </c>
      <c r="EU30" s="44">
        <f t="shared" si="88"/>
        <v>212.66497350000006</v>
      </c>
      <c r="EV30" s="44">
        <f t="shared" si="88"/>
        <v>191.39847615000005</v>
      </c>
      <c r="EW30" s="44">
        <f t="shared" si="88"/>
        <v>172.25862853500004</v>
      </c>
      <c r="EX30" s="44">
        <f t="shared" si="88"/>
        <v>155.03276568150005</v>
      </c>
      <c r="EY30" s="44">
        <f t="shared" si="88"/>
        <v>139.52948911335005</v>
      </c>
      <c r="EZ30" s="44">
        <f t="shared" si="88"/>
        <v>125.57654020201505</v>
      </c>
      <c r="FA30" s="44">
        <f t="shared" si="88"/>
        <v>113.01888618181356</v>
      </c>
      <c r="FB30" s="44">
        <f t="shared" si="88"/>
        <v>101.71699756363221</v>
      </c>
    </row>
    <row r="31" spans="1:175">
      <c r="B31" s="14" t="s">
        <v>704</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E31" s="44"/>
      <c r="AF31" s="44"/>
      <c r="AG31" s="44"/>
      <c r="AH31" s="44"/>
      <c r="AI31" s="62"/>
      <c r="AK31" s="62"/>
      <c r="AL31" s="103"/>
      <c r="AM31" s="103"/>
      <c r="AN31" s="103"/>
      <c r="AO31" s="103"/>
      <c r="AP31" s="103"/>
      <c r="AQ31" s="70"/>
      <c r="AR31" s="70"/>
      <c r="AS31" s="70"/>
      <c r="AT31" s="70"/>
      <c r="AU31" s="68"/>
      <c r="AV31" s="65"/>
      <c r="AW31" s="44"/>
      <c r="AX31" s="70"/>
      <c r="AY31" s="75"/>
      <c r="AZ31" s="44"/>
      <c r="BA31" s="44"/>
      <c r="BB31" s="44"/>
      <c r="BC31" s="65">
        <v>90</v>
      </c>
      <c r="BD31" s="44">
        <v>84</v>
      </c>
      <c r="BE31" s="44">
        <v>84</v>
      </c>
      <c r="BF31" s="65">
        <v>83</v>
      </c>
      <c r="BG31" s="44">
        <v>91</v>
      </c>
      <c r="BH31" s="65">
        <v>97</v>
      </c>
      <c r="BI31" s="44">
        <v>95</v>
      </c>
      <c r="BJ31" s="65">
        <v>99</v>
      </c>
      <c r="BK31" s="65">
        <v>91</v>
      </c>
      <c r="BL31" s="44">
        <v>101</v>
      </c>
      <c r="BM31" s="44">
        <v>91</v>
      </c>
      <c r="BN31" s="44">
        <v>98</v>
      </c>
      <c r="BO31" s="44">
        <v>86</v>
      </c>
      <c r="BP31" s="44">
        <v>94</v>
      </c>
      <c r="BQ31" s="44">
        <v>83</v>
      </c>
      <c r="BR31" s="44">
        <v>96</v>
      </c>
      <c r="BS31" s="44">
        <v>81</v>
      </c>
      <c r="BT31" s="44">
        <v>95</v>
      </c>
      <c r="BU31" s="44">
        <f t="shared" ref="BU31:BV62" si="89">+BQ31</f>
        <v>83</v>
      </c>
      <c r="BV31" s="44">
        <f t="shared" si="89"/>
        <v>96</v>
      </c>
      <c r="BW31" s="44"/>
      <c r="BX31" s="44"/>
      <c r="BY31" s="44"/>
      <c r="BZ31" s="44"/>
      <c r="CA31" s="44"/>
      <c r="CB31" s="44"/>
      <c r="CC31" s="44"/>
      <c r="CD31" s="44"/>
      <c r="CE31" s="44"/>
      <c r="CF31" s="44"/>
      <c r="CG31" s="44"/>
      <c r="CH31" s="44"/>
      <c r="CI31" s="44"/>
      <c r="CJ31" s="44"/>
      <c r="CK31" s="44">
        <v>76</v>
      </c>
      <c r="CL31" s="44">
        <v>72</v>
      </c>
      <c r="CM31" s="44">
        <v>60</v>
      </c>
      <c r="CN31" s="115">
        <v>63</v>
      </c>
      <c r="CO31" s="115">
        <v>62</v>
      </c>
      <c r="CP31" s="115">
        <v>68</v>
      </c>
      <c r="CQ31" s="115">
        <v>59</v>
      </c>
      <c r="CR31" s="115">
        <v>58</v>
      </c>
      <c r="CS31" s="115">
        <v>60</v>
      </c>
      <c r="CT31" s="115">
        <v>75</v>
      </c>
      <c r="CU31" s="115">
        <v>71</v>
      </c>
      <c r="CV31" s="115">
        <v>77</v>
      </c>
      <c r="CW31" s="115">
        <v>74</v>
      </c>
      <c r="CX31" s="115">
        <v>82</v>
      </c>
      <c r="CY31" s="115">
        <v>70</v>
      </c>
      <c r="CZ31" s="115">
        <v>72</v>
      </c>
      <c r="DA31" s="115">
        <v>60</v>
      </c>
      <c r="DB31" s="115">
        <v>67</v>
      </c>
      <c r="DC31" s="115">
        <f t="shared" ref="DC31:DF31" si="90">+DB31-1</f>
        <v>66</v>
      </c>
      <c r="DD31" s="115">
        <f t="shared" si="90"/>
        <v>65</v>
      </c>
      <c r="DE31" s="115">
        <f t="shared" si="90"/>
        <v>64</v>
      </c>
      <c r="DF31" s="115">
        <f t="shared" si="90"/>
        <v>63</v>
      </c>
      <c r="DG31" s="44"/>
      <c r="DH31" s="44"/>
      <c r="DL31" s="68"/>
      <c r="DM31" s="68"/>
      <c r="DN31" s="68"/>
      <c r="DO31" s="68"/>
      <c r="DP31" s="68"/>
      <c r="DQ31" s="68"/>
      <c r="DR31" s="68"/>
      <c r="DS31" s="68"/>
      <c r="DT31" s="68"/>
      <c r="DU31" s="68"/>
      <c r="DV31" s="68"/>
      <c r="DW31" s="68"/>
      <c r="DX31" s="68"/>
      <c r="DY31" s="68"/>
      <c r="DZ31" s="68"/>
      <c r="EA31" s="68"/>
      <c r="EB31" s="65"/>
      <c r="EC31" s="44">
        <f>SUM(BC31:BF31)</f>
        <v>341</v>
      </c>
      <c r="ED31" s="44">
        <f>SUM(BG31:BJ31)</f>
        <v>382</v>
      </c>
      <c r="EE31" s="44">
        <f>SUM(BK31:BN31)</f>
        <v>381</v>
      </c>
      <c r="EF31" s="44">
        <f>SUM(BO31:BR31)</f>
        <v>359</v>
      </c>
      <c r="EG31" s="44">
        <f t="shared" ref="EG31:EG62" si="91">SUM(BS31:BV31)</f>
        <v>355</v>
      </c>
      <c r="EH31" s="44">
        <f t="shared" ref="EH31:EK31" si="92">+EG31</f>
        <v>355</v>
      </c>
      <c r="EI31" s="44">
        <f t="shared" si="92"/>
        <v>355</v>
      </c>
      <c r="EJ31" s="44">
        <f t="shared" si="92"/>
        <v>355</v>
      </c>
      <c r="EK31" s="44">
        <f t="shared" si="92"/>
        <v>355</v>
      </c>
      <c r="EL31" s="44">
        <f t="shared" si="14"/>
        <v>253</v>
      </c>
      <c r="EM31" s="44">
        <f t="shared" si="4"/>
        <v>252</v>
      </c>
      <c r="EN31" s="44">
        <f t="shared" si="5"/>
        <v>304</v>
      </c>
      <c r="EO31" s="44">
        <f t="shared" si="6"/>
        <v>269</v>
      </c>
      <c r="EP31" s="44">
        <f t="shared" si="7"/>
        <v>258</v>
      </c>
      <c r="EQ31" s="44">
        <f t="shared" ref="EQ31:FB31" si="93">+EP31*0.9</f>
        <v>232.20000000000002</v>
      </c>
      <c r="ER31" s="44">
        <f t="shared" si="93"/>
        <v>208.98000000000002</v>
      </c>
      <c r="ES31" s="44">
        <f t="shared" si="93"/>
        <v>188.08200000000002</v>
      </c>
      <c r="ET31" s="44">
        <f t="shared" si="93"/>
        <v>169.27380000000002</v>
      </c>
      <c r="EU31" s="44">
        <f t="shared" si="93"/>
        <v>152.34642000000002</v>
      </c>
      <c r="EV31" s="44">
        <f t="shared" si="93"/>
        <v>137.11177800000002</v>
      </c>
      <c r="EW31" s="44">
        <f t="shared" si="93"/>
        <v>123.40060020000001</v>
      </c>
      <c r="EX31" s="44">
        <f t="shared" si="93"/>
        <v>111.06054018000002</v>
      </c>
      <c r="EY31" s="44">
        <f t="shared" si="93"/>
        <v>99.954486162000023</v>
      </c>
      <c r="EZ31" s="44">
        <f t="shared" si="93"/>
        <v>89.95903754580003</v>
      </c>
      <c r="FA31" s="44">
        <f t="shared" si="93"/>
        <v>80.963133791220031</v>
      </c>
      <c r="FB31" s="44">
        <f t="shared" si="93"/>
        <v>72.866820412098036</v>
      </c>
      <c r="FJ31" s="82">
        <f>+EM31*0.5</f>
        <v>126</v>
      </c>
      <c r="FL31" s="14" t="s">
        <v>705</v>
      </c>
    </row>
    <row r="32" spans="1:175">
      <c r="B32" s="14" t="s">
        <v>749</v>
      </c>
      <c r="AE32" s="44"/>
      <c r="AF32" s="44"/>
      <c r="AG32" s="44"/>
      <c r="AH32" s="44"/>
      <c r="AI32" s="68"/>
      <c r="AJ32" s="44"/>
      <c r="AK32" s="44"/>
      <c r="AL32" s="44"/>
      <c r="AM32" s="65"/>
      <c r="AN32" s="69"/>
      <c r="AO32" s="69"/>
      <c r="AP32" s="103"/>
      <c r="AQ32" s="65"/>
      <c r="AR32" s="65"/>
      <c r="AS32" s="65"/>
      <c r="AT32" s="65"/>
      <c r="AU32" s="44"/>
      <c r="AV32" s="65"/>
      <c r="AW32" s="44"/>
      <c r="AX32" s="44"/>
      <c r="AY32" s="44"/>
      <c r="AZ32" s="44"/>
      <c r="BA32" s="44"/>
      <c r="BB32" s="44"/>
      <c r="BC32" s="65"/>
      <c r="BD32" s="44"/>
      <c r="BE32" s="44"/>
      <c r="BF32" s="65">
        <v>42</v>
      </c>
      <c r="BG32" s="44"/>
      <c r="BH32" s="65"/>
      <c r="BI32" s="44"/>
      <c r="BJ32" s="65">
        <v>50</v>
      </c>
      <c r="BK32" s="65"/>
      <c r="BL32" s="44"/>
      <c r="BM32" s="44"/>
      <c r="BN32" s="44">
        <v>55</v>
      </c>
      <c r="BO32" s="68" t="s">
        <v>605</v>
      </c>
      <c r="BP32" s="44">
        <v>55</v>
      </c>
      <c r="BQ32" s="44">
        <v>56</v>
      </c>
      <c r="BR32" s="68">
        <v>58</v>
      </c>
      <c r="BS32" s="44">
        <v>50</v>
      </c>
      <c r="BT32" s="44">
        <v>59</v>
      </c>
      <c r="BU32" s="44">
        <f>+BQ32</f>
        <v>56</v>
      </c>
      <c r="BV32" s="44">
        <f>+BR32</f>
        <v>58</v>
      </c>
      <c r="BW32" s="44"/>
      <c r="BX32" s="44"/>
      <c r="BY32" s="44"/>
      <c r="BZ32" s="44"/>
      <c r="CA32" s="44"/>
      <c r="CB32" s="44"/>
      <c r="CC32" s="44"/>
      <c r="CD32" s="44"/>
      <c r="CE32" s="44"/>
      <c r="CF32" s="44"/>
      <c r="CG32" s="44"/>
      <c r="CH32" s="44"/>
      <c r="CI32" s="44"/>
      <c r="CJ32" s="44"/>
      <c r="CK32" s="44">
        <v>64</v>
      </c>
      <c r="CL32" s="44">
        <v>73</v>
      </c>
      <c r="CM32" s="44">
        <v>59</v>
      </c>
      <c r="CN32" s="115">
        <v>68</v>
      </c>
      <c r="CO32" s="115">
        <v>64</v>
      </c>
      <c r="CP32" s="115">
        <v>72</v>
      </c>
      <c r="CQ32" s="115">
        <v>64</v>
      </c>
      <c r="CR32" s="115">
        <v>67</v>
      </c>
      <c r="CS32" s="115">
        <v>67</v>
      </c>
      <c r="CT32" s="115">
        <v>79</v>
      </c>
      <c r="CU32" s="115">
        <v>65</v>
      </c>
      <c r="CV32" s="115">
        <v>68</v>
      </c>
      <c r="CW32" s="115">
        <v>70</v>
      </c>
      <c r="CX32" s="115">
        <v>74</v>
      </c>
      <c r="CY32" s="115">
        <v>68</v>
      </c>
      <c r="CZ32" s="115">
        <v>64</v>
      </c>
      <c r="DA32" s="115">
        <v>70</v>
      </c>
      <c r="DB32" s="115">
        <v>66</v>
      </c>
      <c r="DC32" s="115">
        <f t="shared" ref="DC32:DF32" si="94">+DB32-1</f>
        <v>65</v>
      </c>
      <c r="DD32" s="115">
        <f t="shared" si="94"/>
        <v>64</v>
      </c>
      <c r="DE32" s="115">
        <f t="shared" si="94"/>
        <v>63</v>
      </c>
      <c r="DF32" s="115">
        <f t="shared" si="94"/>
        <v>62</v>
      </c>
      <c r="DG32" s="44"/>
      <c r="DH32" s="44"/>
      <c r="DL32" s="44"/>
      <c r="DM32" s="44"/>
      <c r="DN32" s="44"/>
      <c r="DO32" s="44"/>
      <c r="DP32" s="44"/>
      <c r="DQ32" s="44"/>
      <c r="DR32" s="44"/>
      <c r="DS32" s="44"/>
      <c r="DT32" s="44"/>
      <c r="DU32" s="44"/>
      <c r="DV32" s="44"/>
      <c r="DW32" s="44"/>
      <c r="DX32" s="44"/>
      <c r="DY32" s="44"/>
      <c r="DZ32" s="44"/>
      <c r="EA32" s="44"/>
      <c r="EB32" s="65"/>
      <c r="EG32" s="44">
        <f>SUM(BS32:BV32)</f>
        <v>223</v>
      </c>
      <c r="EL32" s="44">
        <f t="shared" si="14"/>
        <v>263</v>
      </c>
      <c r="EM32" s="44">
        <f t="shared" si="4"/>
        <v>277</v>
      </c>
      <c r="EN32" s="44">
        <f t="shared" si="5"/>
        <v>277</v>
      </c>
      <c r="EO32" s="44">
        <f t="shared" si="6"/>
        <v>268</v>
      </c>
      <c r="EP32" s="44">
        <f t="shared" si="7"/>
        <v>254</v>
      </c>
      <c r="EQ32" s="44">
        <f t="shared" ref="EQ32:FB32" si="95">+EP32*0.9</f>
        <v>228.6</v>
      </c>
      <c r="ER32" s="44">
        <f t="shared" si="95"/>
        <v>205.74</v>
      </c>
      <c r="ES32" s="44">
        <f t="shared" si="95"/>
        <v>185.16600000000003</v>
      </c>
      <c r="ET32" s="44">
        <f t="shared" si="95"/>
        <v>166.64940000000001</v>
      </c>
      <c r="EU32" s="44">
        <f t="shared" si="95"/>
        <v>149.98446000000001</v>
      </c>
      <c r="EV32" s="44">
        <f t="shared" si="95"/>
        <v>134.98601400000001</v>
      </c>
      <c r="EW32" s="44">
        <f t="shared" si="95"/>
        <v>121.48741260000001</v>
      </c>
      <c r="EX32" s="44">
        <f t="shared" si="95"/>
        <v>109.33867134000002</v>
      </c>
      <c r="EY32" s="44">
        <f t="shared" si="95"/>
        <v>98.404804206000023</v>
      </c>
      <c r="EZ32" s="44">
        <f t="shared" si="95"/>
        <v>88.56432378540002</v>
      </c>
      <c r="FA32" s="44">
        <f t="shared" si="95"/>
        <v>79.707891406860014</v>
      </c>
      <c r="FB32" s="44">
        <f t="shared" si="95"/>
        <v>71.73710226617402</v>
      </c>
    </row>
    <row r="33" spans="1:175">
      <c r="B33" s="14" t="s">
        <v>715</v>
      </c>
      <c r="C33" s="68"/>
      <c r="D33" s="68"/>
      <c r="E33" s="68"/>
      <c r="F33" s="68"/>
      <c r="G33" s="68"/>
      <c r="H33" s="68"/>
      <c r="I33" s="68"/>
      <c r="J33" s="68"/>
      <c r="K33" s="68"/>
      <c r="L33" s="68"/>
      <c r="M33" s="68"/>
      <c r="N33" s="68"/>
      <c r="O33" s="68"/>
      <c r="P33" s="68"/>
      <c r="Q33" s="68"/>
      <c r="R33" s="68"/>
      <c r="S33" s="68"/>
      <c r="T33" s="68"/>
      <c r="U33" s="68"/>
      <c r="V33" s="68"/>
      <c r="W33" s="68"/>
      <c r="X33" s="68"/>
      <c r="Y33" s="68"/>
      <c r="Z33" s="62"/>
      <c r="AA33" s="68"/>
      <c r="AB33" s="68"/>
      <c r="AC33" s="68"/>
      <c r="AD33" s="62"/>
      <c r="AI33" s="68"/>
      <c r="AJ33" s="68"/>
      <c r="AK33" s="68"/>
      <c r="AL33" s="70"/>
      <c r="AM33" s="69"/>
      <c r="AN33" s="69"/>
      <c r="AO33" s="69"/>
      <c r="AP33" s="103"/>
      <c r="AQ33" s="65"/>
      <c r="AR33" s="65"/>
      <c r="AS33" s="65"/>
      <c r="AT33" s="65"/>
      <c r="AU33" s="44"/>
      <c r="AV33" s="65"/>
      <c r="AW33" s="44"/>
      <c r="AX33" s="65"/>
      <c r="AY33" s="65"/>
      <c r="AZ33" s="44"/>
      <c r="BA33" s="44"/>
      <c r="BB33" s="44"/>
      <c r="BC33" s="65">
        <v>98</v>
      </c>
      <c r="BD33" s="44">
        <v>99</v>
      </c>
      <c r="BE33" s="44">
        <v>101</v>
      </c>
      <c r="BF33" s="65">
        <v>102</v>
      </c>
      <c r="BG33" s="44">
        <v>93</v>
      </c>
      <c r="BH33" s="65">
        <v>101</v>
      </c>
      <c r="BI33" s="44">
        <v>83</v>
      </c>
      <c r="BJ33" s="65">
        <v>63</v>
      </c>
      <c r="BK33" s="65">
        <v>67</v>
      </c>
      <c r="BL33" s="44">
        <v>67</v>
      </c>
      <c r="BM33" s="44">
        <v>58</v>
      </c>
      <c r="BN33" s="44">
        <v>71</v>
      </c>
      <c r="BO33" s="68" t="s">
        <v>605</v>
      </c>
      <c r="BP33" s="68">
        <v>66</v>
      </c>
      <c r="BQ33" s="68" t="s">
        <v>605</v>
      </c>
      <c r="BR33" s="68">
        <v>51</v>
      </c>
      <c r="BS33" s="44" t="s">
        <v>605</v>
      </c>
      <c r="BT33" s="44">
        <v>51</v>
      </c>
      <c r="BU33" s="44" t="str">
        <f>+BQ33</f>
        <v>-</v>
      </c>
      <c r="BV33" s="44">
        <f>+BR33</f>
        <v>51</v>
      </c>
      <c r="BW33" s="44"/>
      <c r="BX33" s="44"/>
      <c r="BY33" s="44"/>
      <c r="BZ33" s="44"/>
      <c r="CA33" s="44"/>
      <c r="CB33" s="44"/>
      <c r="CC33" s="44"/>
      <c r="CD33" s="44"/>
      <c r="CE33" s="44"/>
      <c r="CF33" s="44"/>
      <c r="CG33" s="44"/>
      <c r="CH33" s="44"/>
      <c r="CI33" s="44"/>
      <c r="CJ33" s="44"/>
      <c r="CK33" s="44">
        <v>54</v>
      </c>
      <c r="CL33" s="44">
        <v>72</v>
      </c>
      <c r="CM33" s="44">
        <v>67</v>
      </c>
      <c r="CN33" s="115">
        <v>79</v>
      </c>
      <c r="CO33" s="115">
        <v>66</v>
      </c>
      <c r="CP33" s="115">
        <v>75</v>
      </c>
      <c r="CQ33" s="115">
        <v>69</v>
      </c>
      <c r="CR33" s="115">
        <v>57</v>
      </c>
      <c r="CS33" s="115">
        <v>70</v>
      </c>
      <c r="CT33" s="115">
        <v>77</v>
      </c>
      <c r="CU33" s="115">
        <v>49</v>
      </c>
      <c r="CV33" s="115">
        <v>66</v>
      </c>
      <c r="CW33" s="115">
        <v>71</v>
      </c>
      <c r="CX33" s="115">
        <v>80</v>
      </c>
      <c r="CY33" s="115">
        <v>67</v>
      </c>
      <c r="CZ33" s="115">
        <v>75</v>
      </c>
      <c r="DA33" s="115">
        <v>58</v>
      </c>
      <c r="DB33" s="115">
        <v>76</v>
      </c>
      <c r="DC33" s="115">
        <f t="shared" ref="DC33:DF33" si="96">+DB33-1</f>
        <v>75</v>
      </c>
      <c r="DD33" s="115">
        <f t="shared" si="96"/>
        <v>74</v>
      </c>
      <c r="DE33" s="115">
        <f t="shared" si="96"/>
        <v>73</v>
      </c>
      <c r="DF33" s="115">
        <f t="shared" si="96"/>
        <v>72</v>
      </c>
      <c r="DG33" s="44"/>
      <c r="DH33" s="44"/>
      <c r="DL33" s="68"/>
      <c r="DM33" s="68"/>
      <c r="DN33" s="68"/>
      <c r="DO33" s="68"/>
      <c r="DP33" s="68"/>
      <c r="DQ33" s="68"/>
      <c r="DR33" s="68"/>
      <c r="DS33" s="68"/>
      <c r="DT33" s="68"/>
      <c r="DU33" s="68"/>
      <c r="DW33" s="44"/>
      <c r="DX33" s="44"/>
      <c r="DY33" s="44"/>
      <c r="DZ33" s="44"/>
      <c r="EA33" s="44"/>
      <c r="EB33" s="65"/>
      <c r="EC33" s="44">
        <f>SUM(BC33:BF33)</f>
        <v>400</v>
      </c>
      <c r="ED33" s="44">
        <f>SUM(BG33:BJ33)</f>
        <v>340</v>
      </c>
      <c r="EE33" s="44">
        <f>SUM(BK33:BN33)</f>
        <v>263</v>
      </c>
      <c r="EF33" s="44">
        <f>SUM(BO33:BR33)</f>
        <v>117</v>
      </c>
      <c r="EG33" s="44">
        <f>SUM(BS33:BV33)</f>
        <v>102</v>
      </c>
      <c r="EH33" s="44">
        <f t="shared" ref="EH33:EK33" si="97">+EG33</f>
        <v>102</v>
      </c>
      <c r="EI33" s="44">
        <f t="shared" si="97"/>
        <v>102</v>
      </c>
      <c r="EJ33" s="44">
        <f t="shared" si="97"/>
        <v>102</v>
      </c>
      <c r="EK33" s="44">
        <f t="shared" si="97"/>
        <v>102</v>
      </c>
      <c r="EL33" s="44">
        <f t="shared" si="14"/>
        <v>287</v>
      </c>
      <c r="EM33" s="44">
        <f t="shared" si="4"/>
        <v>273</v>
      </c>
      <c r="EN33" s="44">
        <f t="shared" si="5"/>
        <v>266</v>
      </c>
      <c r="EO33" s="44">
        <f t="shared" si="6"/>
        <v>276</v>
      </c>
      <c r="EP33" s="44">
        <f t="shared" si="7"/>
        <v>294</v>
      </c>
      <c r="EQ33" s="44">
        <f t="shared" ref="EQ33:FB34" si="98">+EP33*0.9</f>
        <v>264.60000000000002</v>
      </c>
      <c r="ER33" s="44">
        <f t="shared" si="98"/>
        <v>238.14000000000001</v>
      </c>
      <c r="ES33" s="44">
        <f t="shared" si="98"/>
        <v>214.32600000000002</v>
      </c>
      <c r="ET33" s="44">
        <f t="shared" si="98"/>
        <v>192.89340000000001</v>
      </c>
      <c r="EU33" s="44">
        <f t="shared" si="98"/>
        <v>173.60406</v>
      </c>
      <c r="EV33" s="44">
        <f t="shared" si="98"/>
        <v>156.24365400000002</v>
      </c>
      <c r="EW33" s="44">
        <f t="shared" si="98"/>
        <v>140.61928860000003</v>
      </c>
      <c r="EX33" s="44">
        <f t="shared" si="98"/>
        <v>126.55735974000004</v>
      </c>
      <c r="EY33" s="44">
        <f t="shared" si="98"/>
        <v>113.90162376600004</v>
      </c>
      <c r="EZ33" s="44">
        <f t="shared" si="98"/>
        <v>102.51146138940004</v>
      </c>
      <c r="FA33" s="44">
        <f t="shared" si="98"/>
        <v>92.260315250460039</v>
      </c>
      <c r="FB33" s="44">
        <f t="shared" si="98"/>
        <v>83.034283725414042</v>
      </c>
      <c r="FJ33" s="82">
        <f>+EM33*0.5</f>
        <v>136.5</v>
      </c>
      <c r="FL33" s="14"/>
    </row>
    <row r="34" spans="1:175">
      <c r="B34" s="14" t="s">
        <v>1587</v>
      </c>
      <c r="C34" s="68"/>
      <c r="D34" s="68"/>
      <c r="E34" s="68"/>
      <c r="F34" s="68"/>
      <c r="G34" s="68"/>
      <c r="H34" s="68"/>
      <c r="I34" s="68"/>
      <c r="J34" s="68"/>
      <c r="K34" s="68"/>
      <c r="L34" s="68"/>
      <c r="M34" s="68"/>
      <c r="N34" s="68"/>
      <c r="O34" s="68"/>
      <c r="P34" s="68"/>
      <c r="Q34" s="68"/>
      <c r="R34" s="68"/>
      <c r="S34" s="68"/>
      <c r="T34" s="68"/>
      <c r="U34" s="68"/>
      <c r="V34" s="68"/>
      <c r="W34" s="68"/>
      <c r="X34" s="68"/>
      <c r="Y34" s="68"/>
      <c r="Z34" s="62"/>
      <c r="AA34" s="68"/>
      <c r="AB34" s="68"/>
      <c r="AC34" s="68"/>
      <c r="AD34" s="62"/>
      <c r="AI34" s="68"/>
      <c r="AJ34" s="68"/>
      <c r="AK34" s="68"/>
      <c r="AL34" s="70"/>
      <c r="AM34" s="69"/>
      <c r="AN34" s="69"/>
      <c r="AO34" s="69"/>
      <c r="AP34" s="103"/>
      <c r="AQ34" s="65"/>
      <c r="AR34" s="65"/>
      <c r="AS34" s="65"/>
      <c r="AT34" s="65"/>
      <c r="AU34" s="44"/>
      <c r="AV34" s="65"/>
      <c r="AW34" s="44"/>
      <c r="AX34" s="65"/>
      <c r="AY34" s="65"/>
      <c r="AZ34" s="44"/>
      <c r="BA34" s="44"/>
      <c r="BB34" s="44"/>
      <c r="BC34" s="65"/>
      <c r="BD34" s="44"/>
      <c r="BE34" s="44"/>
      <c r="BF34" s="65"/>
      <c r="BG34" s="44"/>
      <c r="BH34" s="65"/>
      <c r="BI34" s="44"/>
      <c r="BJ34" s="65"/>
      <c r="BK34" s="65"/>
      <c r="BL34" s="44"/>
      <c r="BM34" s="44"/>
      <c r="BN34" s="44"/>
      <c r="BO34" s="68"/>
      <c r="BP34" s="68"/>
      <c r="BQ34" s="68"/>
      <c r="BR34" s="68"/>
      <c r="BS34" s="44"/>
      <c r="BT34" s="44"/>
      <c r="BU34" s="44"/>
      <c r="BV34" s="44"/>
      <c r="BW34" s="44"/>
      <c r="BX34" s="44"/>
      <c r="BY34" s="44"/>
      <c r="BZ34" s="44"/>
      <c r="CA34" s="44"/>
      <c r="CB34" s="44"/>
      <c r="CC34" s="44"/>
      <c r="CD34" s="44"/>
      <c r="CE34" s="44"/>
      <c r="CF34" s="44"/>
      <c r="CG34" s="44"/>
      <c r="CH34" s="44"/>
      <c r="CI34" s="44"/>
      <c r="CJ34" s="44"/>
      <c r="CK34" s="44"/>
      <c r="CL34" s="44"/>
      <c r="CM34" s="44"/>
      <c r="CN34" s="115"/>
      <c r="CO34" s="115"/>
      <c r="CP34" s="115"/>
      <c r="CQ34" s="115"/>
      <c r="CR34" s="115"/>
      <c r="CS34" s="115"/>
      <c r="CT34" s="115"/>
      <c r="CU34" s="115"/>
      <c r="CV34" s="115"/>
      <c r="CW34" s="115"/>
      <c r="CX34" s="115"/>
      <c r="CY34" s="115"/>
      <c r="CZ34" s="115"/>
      <c r="DA34" s="115"/>
      <c r="DB34" s="115">
        <v>73</v>
      </c>
      <c r="DC34" s="115">
        <f>+DB34+1</f>
        <v>74</v>
      </c>
      <c r="DD34" s="115">
        <f t="shared" ref="DD34:DF34" si="99">+DC34+1</f>
        <v>75</v>
      </c>
      <c r="DE34" s="115">
        <f t="shared" si="99"/>
        <v>76</v>
      </c>
      <c r="DF34" s="115">
        <f t="shared" si="99"/>
        <v>77</v>
      </c>
      <c r="DG34" s="44"/>
      <c r="DH34" s="44"/>
      <c r="DL34" s="68"/>
      <c r="DM34" s="68"/>
      <c r="DN34" s="68"/>
      <c r="DO34" s="68"/>
      <c r="DP34" s="68"/>
      <c r="DQ34" s="68"/>
      <c r="DR34" s="68"/>
      <c r="DS34" s="68"/>
      <c r="DT34" s="68"/>
      <c r="DU34" s="68"/>
      <c r="DW34" s="44"/>
      <c r="DX34" s="44"/>
      <c r="DY34" s="44"/>
      <c r="DZ34" s="44"/>
      <c r="EA34" s="44"/>
      <c r="EB34" s="65"/>
      <c r="EP34" s="44">
        <f t="shared" si="7"/>
        <v>302</v>
      </c>
      <c r="EQ34" s="44">
        <f>+EP34*1.1</f>
        <v>332.20000000000005</v>
      </c>
      <c r="ER34" s="44">
        <f t="shared" ref="ER34:EU34" si="100">+EQ34*1.1</f>
        <v>365.42000000000007</v>
      </c>
      <c r="ES34" s="44">
        <f t="shared" si="100"/>
        <v>401.9620000000001</v>
      </c>
      <c r="ET34" s="44">
        <f t="shared" si="100"/>
        <v>442.15820000000014</v>
      </c>
      <c r="EU34" s="44">
        <f t="shared" si="100"/>
        <v>486.3740200000002</v>
      </c>
      <c r="EV34" s="44">
        <f t="shared" si="98"/>
        <v>437.73661800000019</v>
      </c>
      <c r="EW34" s="44">
        <f t="shared" si="98"/>
        <v>393.96295620000018</v>
      </c>
      <c r="EX34" s="44">
        <f t="shared" si="98"/>
        <v>354.56666058000019</v>
      </c>
      <c r="EY34" s="44">
        <f t="shared" si="98"/>
        <v>319.10999452200019</v>
      </c>
      <c r="EZ34" s="44">
        <f t="shared" si="98"/>
        <v>287.19899506980016</v>
      </c>
      <c r="FA34" s="44">
        <f t="shared" si="98"/>
        <v>258.47909556282013</v>
      </c>
      <c r="FB34" s="44">
        <f t="shared" si="98"/>
        <v>232.63118600653812</v>
      </c>
      <c r="FL34" s="14"/>
    </row>
    <row r="35" spans="1:175">
      <c r="B35" s="14" t="s">
        <v>1369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E35" s="44"/>
      <c r="AF35" s="44"/>
      <c r="AG35" s="44"/>
      <c r="AH35" s="44"/>
      <c r="AI35" s="62"/>
      <c r="AK35" s="62"/>
      <c r="AL35" s="103"/>
      <c r="AM35" s="103"/>
      <c r="AN35" s="103"/>
      <c r="AO35" s="103"/>
      <c r="AP35" s="103"/>
      <c r="AQ35" s="70"/>
      <c r="AR35" s="70"/>
      <c r="AS35" s="70"/>
      <c r="AT35" s="70"/>
      <c r="AU35" s="68"/>
      <c r="AV35" s="65"/>
      <c r="AW35" s="44"/>
      <c r="AX35" s="70"/>
      <c r="AY35" s="75"/>
      <c r="AZ35" s="44"/>
      <c r="BA35" s="44"/>
      <c r="BB35" s="44"/>
      <c r="BC35" s="65"/>
      <c r="BD35" s="44"/>
      <c r="BE35" s="44"/>
      <c r="BF35" s="65"/>
      <c r="BG35" s="44"/>
      <c r="BH35" s="65"/>
      <c r="BI35" s="44"/>
      <c r="BJ35" s="65"/>
      <c r="BK35" s="65"/>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v>0</v>
      </c>
      <c r="CL35" s="44">
        <v>0</v>
      </c>
      <c r="CM35" s="44">
        <v>0</v>
      </c>
      <c r="CN35" s="115">
        <v>0</v>
      </c>
      <c r="CO35" s="115">
        <v>0</v>
      </c>
      <c r="CP35" s="115">
        <v>0</v>
      </c>
      <c r="CQ35" s="115">
        <v>0</v>
      </c>
      <c r="CR35" s="115">
        <v>0</v>
      </c>
      <c r="CS35" s="115">
        <v>21</v>
      </c>
      <c r="CT35" s="115">
        <v>29</v>
      </c>
      <c r="CU35" s="115">
        <v>32</v>
      </c>
      <c r="CV35" s="115">
        <v>37</v>
      </c>
      <c r="CW35" s="115">
        <v>54</v>
      </c>
      <c r="CX35" s="115">
        <v>56</v>
      </c>
      <c r="CY35" s="115">
        <v>67</v>
      </c>
      <c r="CZ35" s="115">
        <v>58</v>
      </c>
      <c r="DA35" s="115">
        <v>73</v>
      </c>
      <c r="DB35" s="115">
        <v>72</v>
      </c>
      <c r="DC35" s="115">
        <f t="shared" ref="DC35:DF35" si="101">+CY35*1.3</f>
        <v>87.100000000000009</v>
      </c>
      <c r="DD35" s="115">
        <f t="shared" si="101"/>
        <v>75.400000000000006</v>
      </c>
      <c r="DE35" s="115">
        <f t="shared" si="101"/>
        <v>94.9</v>
      </c>
      <c r="DF35" s="115">
        <f t="shared" si="101"/>
        <v>93.600000000000009</v>
      </c>
      <c r="DG35" s="44"/>
      <c r="DH35" s="44"/>
      <c r="DL35" s="68"/>
      <c r="DM35" s="68"/>
      <c r="DN35" s="68"/>
      <c r="DO35" s="68"/>
      <c r="DP35" s="68"/>
      <c r="DQ35" s="68"/>
      <c r="DR35" s="68"/>
      <c r="DS35" s="68"/>
      <c r="DT35" s="68"/>
      <c r="DU35" s="68"/>
      <c r="DV35" s="68"/>
      <c r="DW35" s="68"/>
      <c r="DX35" s="68"/>
      <c r="DY35" s="68"/>
      <c r="DZ35" s="68"/>
      <c r="EA35" s="68"/>
      <c r="EB35" s="65"/>
      <c r="EL35" s="44">
        <f t="shared" si="14"/>
        <v>0</v>
      </c>
      <c r="EM35" s="44">
        <f t="shared" si="4"/>
        <v>50</v>
      </c>
      <c r="EN35" s="44">
        <f t="shared" si="5"/>
        <v>179</v>
      </c>
      <c r="EO35" s="44">
        <f t="shared" si="6"/>
        <v>270</v>
      </c>
      <c r="EP35" s="44">
        <f t="shared" si="7"/>
        <v>351</v>
      </c>
      <c r="EQ35" s="44">
        <f>+EP35*1.01</f>
        <v>354.51</v>
      </c>
      <c r="ER35" s="44">
        <f t="shared" ref="ER35:FB35" si="102">+EQ35*1.01</f>
        <v>358.05509999999998</v>
      </c>
      <c r="ES35" s="44">
        <f t="shared" si="102"/>
        <v>361.635651</v>
      </c>
      <c r="ET35" s="44">
        <f t="shared" si="102"/>
        <v>365.25200751</v>
      </c>
      <c r="EU35" s="44">
        <f t="shared" si="102"/>
        <v>368.90452758510003</v>
      </c>
      <c r="EV35" s="44">
        <f t="shared" si="102"/>
        <v>372.59357286095104</v>
      </c>
      <c r="EW35" s="44">
        <f t="shared" si="102"/>
        <v>376.31950858956054</v>
      </c>
      <c r="EX35" s="44">
        <f t="shared" si="102"/>
        <v>380.08270367545617</v>
      </c>
      <c r="EY35" s="44">
        <f t="shared" si="102"/>
        <v>383.88353071221076</v>
      </c>
      <c r="EZ35" s="44">
        <f t="shared" si="102"/>
        <v>387.72236601933287</v>
      </c>
      <c r="FA35" s="44">
        <f t="shared" si="102"/>
        <v>391.59958967952622</v>
      </c>
      <c r="FB35" s="44">
        <f t="shared" si="102"/>
        <v>395.51558557632148</v>
      </c>
      <c r="FL35" s="14"/>
    </row>
    <row r="36" spans="1:175" s="20" customFormat="1">
      <c r="B36" s="111" t="s">
        <v>1374</v>
      </c>
      <c r="C36" s="68"/>
      <c r="D36" s="68"/>
      <c r="E36" s="68"/>
      <c r="F36" s="68"/>
      <c r="G36" s="68"/>
      <c r="H36" s="68"/>
      <c r="I36" s="68"/>
      <c r="J36" s="68"/>
      <c r="K36" s="68"/>
      <c r="L36" s="68"/>
      <c r="M36" s="68"/>
      <c r="N36" s="68"/>
      <c r="O36" s="68"/>
      <c r="P36" s="68"/>
      <c r="Q36" s="68"/>
      <c r="R36" s="68"/>
      <c r="S36" s="68"/>
      <c r="T36" s="68"/>
      <c r="U36" s="68"/>
      <c r="V36" s="68"/>
      <c r="W36" s="68"/>
      <c r="X36" s="68"/>
      <c r="Y36" s="68"/>
      <c r="Z36" s="68"/>
      <c r="AA36" s="44"/>
      <c r="AB36" s="44"/>
      <c r="AC36" s="44"/>
      <c r="AD36" s="44"/>
      <c r="AE36" s="44"/>
      <c r="AF36" s="44"/>
      <c r="AG36" s="44"/>
      <c r="AH36" s="44"/>
      <c r="AI36" s="68"/>
      <c r="AJ36" s="44"/>
      <c r="AK36" s="44"/>
      <c r="AL36" s="44"/>
      <c r="AM36" s="65"/>
      <c r="AN36" s="65"/>
      <c r="AO36" s="65"/>
      <c r="AP36" s="70"/>
      <c r="AQ36" s="65"/>
      <c r="AR36" s="65"/>
      <c r="AS36" s="65"/>
      <c r="AT36" s="65"/>
      <c r="AU36" s="73"/>
      <c r="AV36" s="75"/>
      <c r="AW36" s="44"/>
      <c r="AX36" s="44"/>
      <c r="AY36" s="75"/>
      <c r="AZ36" s="73"/>
      <c r="BA36" s="73"/>
      <c r="BB36" s="73"/>
      <c r="BC36" s="65"/>
      <c r="BD36" s="44"/>
      <c r="BE36" s="44"/>
      <c r="BF36" s="65"/>
      <c r="BG36" s="44"/>
      <c r="BH36" s="65"/>
      <c r="BI36" s="44"/>
      <c r="BJ36" s="65"/>
      <c r="BK36" s="65"/>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v>117</v>
      </c>
      <c r="CL36" s="44">
        <v>125</v>
      </c>
      <c r="CM36" s="44">
        <v>106</v>
      </c>
      <c r="CN36" s="115">
        <v>108</v>
      </c>
      <c r="CO36" s="115">
        <v>104</v>
      </c>
      <c r="CP36" s="115">
        <v>107</v>
      </c>
      <c r="CQ36" s="115">
        <v>89</v>
      </c>
      <c r="CR36" s="115">
        <v>91</v>
      </c>
      <c r="CS36" s="115">
        <v>92</v>
      </c>
      <c r="CT36" s="115">
        <v>97</v>
      </c>
      <c r="CU36" s="115">
        <v>89</v>
      </c>
      <c r="CV36" s="115">
        <v>77</v>
      </c>
      <c r="CW36" s="115">
        <v>69</v>
      </c>
      <c r="CX36" s="115">
        <v>69</v>
      </c>
      <c r="CY36" s="115">
        <v>66</v>
      </c>
      <c r="CZ36" s="115">
        <v>64</v>
      </c>
      <c r="DA36" s="115">
        <v>58</v>
      </c>
      <c r="DB36" s="115">
        <v>52</v>
      </c>
      <c r="DC36" s="115">
        <f t="shared" ref="DC36:DF36" si="103">+DB36-1</f>
        <v>51</v>
      </c>
      <c r="DD36" s="115">
        <f t="shared" si="103"/>
        <v>50</v>
      </c>
      <c r="DE36" s="115">
        <f t="shared" si="103"/>
        <v>49</v>
      </c>
      <c r="DF36" s="115">
        <f t="shared" si="103"/>
        <v>48</v>
      </c>
      <c r="DG36" s="44"/>
      <c r="DH36" s="44"/>
      <c r="DL36" s="68"/>
      <c r="DM36" s="68"/>
      <c r="DN36" s="68"/>
      <c r="DO36" s="68"/>
      <c r="DP36" s="68"/>
      <c r="DQ36" s="68"/>
      <c r="DR36" s="68"/>
      <c r="DS36" s="68"/>
      <c r="DT36" s="68"/>
      <c r="DU36" s="68"/>
      <c r="DV36" s="68"/>
      <c r="DW36" s="68"/>
      <c r="DX36" s="68"/>
      <c r="DY36" s="73"/>
      <c r="DZ36" s="73"/>
      <c r="EA36" s="73"/>
      <c r="EB36" s="75"/>
      <c r="EC36" s="44"/>
      <c r="ED36" s="44"/>
      <c r="EE36" s="44"/>
      <c r="EF36" s="44"/>
      <c r="EG36" s="44"/>
      <c r="EH36" s="44"/>
      <c r="EI36" s="44"/>
      <c r="EJ36" s="44"/>
      <c r="EK36" s="44"/>
      <c r="EL36" s="44">
        <f t="shared" si="14"/>
        <v>425</v>
      </c>
      <c r="EM36" s="44">
        <f t="shared" si="4"/>
        <v>369</v>
      </c>
      <c r="EN36" s="44">
        <f t="shared" si="5"/>
        <v>304</v>
      </c>
      <c r="EO36" s="44">
        <f t="shared" si="6"/>
        <v>240</v>
      </c>
      <c r="EP36" s="44">
        <f t="shared" si="7"/>
        <v>198</v>
      </c>
      <c r="EQ36" s="44">
        <f t="shared" ref="EQ36:FB36" si="104">+EP36*1.01</f>
        <v>199.98</v>
      </c>
      <c r="ER36" s="44">
        <f t="shared" si="104"/>
        <v>201.97979999999998</v>
      </c>
      <c r="ES36" s="44">
        <f t="shared" si="104"/>
        <v>203.99959799999999</v>
      </c>
      <c r="ET36" s="44">
        <f t="shared" si="104"/>
        <v>206.03959398000001</v>
      </c>
      <c r="EU36" s="44">
        <f t="shared" si="104"/>
        <v>208.09998991980001</v>
      </c>
      <c r="EV36" s="44">
        <f t="shared" si="104"/>
        <v>210.180989818998</v>
      </c>
      <c r="EW36" s="44">
        <f t="shared" si="104"/>
        <v>212.28279971718797</v>
      </c>
      <c r="EX36" s="44">
        <f t="shared" si="104"/>
        <v>214.40562771435984</v>
      </c>
      <c r="EY36" s="44">
        <f t="shared" si="104"/>
        <v>216.54968399150343</v>
      </c>
      <c r="EZ36" s="44">
        <f t="shared" si="104"/>
        <v>218.71518083141845</v>
      </c>
      <c r="FA36" s="44">
        <f t="shared" si="104"/>
        <v>220.90233263973263</v>
      </c>
      <c r="FB36" s="44">
        <f t="shared" si="104"/>
        <v>223.11135596612996</v>
      </c>
      <c r="FC36" s="44"/>
      <c r="FD36" s="44"/>
      <c r="FE36" s="44"/>
      <c r="FF36" s="44"/>
      <c r="FG36" s="44"/>
      <c r="FH36" s="81"/>
      <c r="FI36" s="44"/>
      <c r="FJ36" s="82"/>
      <c r="FK36" s="44"/>
      <c r="FL36" s="111"/>
    </row>
    <row r="37" spans="1:175">
      <c r="B37" s="4" t="s">
        <v>676</v>
      </c>
      <c r="C37" s="62"/>
      <c r="D37" s="62"/>
      <c r="E37" s="62"/>
      <c r="F37" s="62"/>
      <c r="G37" s="62" t="s">
        <v>605</v>
      </c>
      <c r="H37" s="62" t="s">
        <v>605</v>
      </c>
      <c r="I37" s="62" t="s">
        <v>605</v>
      </c>
      <c r="J37" s="62" t="s">
        <v>605</v>
      </c>
      <c r="K37" s="62" t="s">
        <v>605</v>
      </c>
      <c r="L37" s="62" t="s">
        <v>605</v>
      </c>
      <c r="M37" s="62" t="s">
        <v>605</v>
      </c>
      <c r="N37" s="62" t="s">
        <v>605</v>
      </c>
      <c r="O37" s="62" t="s">
        <v>605</v>
      </c>
      <c r="P37" s="62" t="s">
        <v>605</v>
      </c>
      <c r="Q37" s="62" t="s">
        <v>605</v>
      </c>
      <c r="R37" s="62" t="s">
        <v>605</v>
      </c>
      <c r="S37" s="62" t="s">
        <v>605</v>
      </c>
      <c r="T37" s="62" t="s">
        <v>605</v>
      </c>
      <c r="U37" s="62" t="s">
        <v>605</v>
      </c>
      <c r="V37" s="62" t="s">
        <v>605</v>
      </c>
      <c r="W37" s="62" t="s">
        <v>605</v>
      </c>
      <c r="X37" s="62" t="s">
        <v>605</v>
      </c>
      <c r="Y37" s="37">
        <v>12</v>
      </c>
      <c r="Z37" s="37">
        <v>29</v>
      </c>
      <c r="AA37" s="37">
        <f>18+17</f>
        <v>35</v>
      </c>
      <c r="AB37" s="37">
        <f>20+26</f>
        <v>46</v>
      </c>
      <c r="AC37" s="37">
        <f>26+31</f>
        <v>57</v>
      </c>
      <c r="AD37" s="37">
        <f>28+34</f>
        <v>62</v>
      </c>
      <c r="AE37" s="44">
        <f>27+37</f>
        <v>64</v>
      </c>
      <c r="AF37" s="44">
        <f>30+41</f>
        <v>71</v>
      </c>
      <c r="AG37" s="44">
        <f>29+40</f>
        <v>69</v>
      </c>
      <c r="AH37" s="44">
        <f>33+50</f>
        <v>83</v>
      </c>
      <c r="AI37" s="68">
        <f>34+54</f>
        <v>88</v>
      </c>
      <c r="AJ37" s="44">
        <f>31+60</f>
        <v>91</v>
      </c>
      <c r="AK37" s="44">
        <v>106</v>
      </c>
      <c r="AL37" s="65">
        <v>112</v>
      </c>
      <c r="AM37" s="65">
        <v>117</v>
      </c>
      <c r="AN37" s="69">
        <v>118</v>
      </c>
      <c r="AO37" s="69">
        <v>132</v>
      </c>
      <c r="AP37" s="103">
        <v>148</v>
      </c>
      <c r="AQ37" s="65">
        <v>148</v>
      </c>
      <c r="AR37" s="65">
        <v>145</v>
      </c>
      <c r="AS37" s="65">
        <v>162</v>
      </c>
      <c r="AT37" s="65">
        <v>177</v>
      </c>
      <c r="AU37" s="44">
        <f>53+118</f>
        <v>171</v>
      </c>
      <c r="AV37" s="65">
        <f>55+132</f>
        <v>187</v>
      </c>
      <c r="AW37" s="44">
        <v>189</v>
      </c>
      <c r="AX37" s="65">
        <v>196</v>
      </c>
      <c r="AY37" s="65">
        <v>179</v>
      </c>
      <c r="AZ37" s="44">
        <v>180</v>
      </c>
      <c r="BA37" s="44">
        <v>196</v>
      </c>
      <c r="BB37" s="44">
        <v>243</v>
      </c>
      <c r="BC37" s="65">
        <f>60+128</f>
        <v>188</v>
      </c>
      <c r="BD37" s="44">
        <v>207</v>
      </c>
      <c r="BE37" s="44">
        <v>200</v>
      </c>
      <c r="BF37" s="65">
        <v>230</v>
      </c>
      <c r="BG37" s="44">
        <v>195</v>
      </c>
      <c r="BH37" s="65">
        <v>192</v>
      </c>
      <c r="BI37" s="44">
        <v>171</v>
      </c>
      <c r="BJ37" s="65">
        <v>189</v>
      </c>
      <c r="BK37" s="65">
        <v>178</v>
      </c>
      <c r="BL37" s="44">
        <v>178</v>
      </c>
      <c r="BM37" s="44">
        <v>187</v>
      </c>
      <c r="BN37" s="44">
        <v>211</v>
      </c>
      <c r="BO37" s="44">
        <v>187</v>
      </c>
      <c r="BP37" s="44">
        <v>177</v>
      </c>
      <c r="BQ37" s="44">
        <v>193</v>
      </c>
      <c r="BR37" s="44">
        <v>218</v>
      </c>
      <c r="BS37" s="44">
        <v>177</v>
      </c>
      <c r="BT37" s="44">
        <v>221</v>
      </c>
      <c r="BU37" s="44">
        <f t="shared" ref="BU37:BV39" si="105">+BQ37</f>
        <v>193</v>
      </c>
      <c r="BV37" s="44">
        <f t="shared" si="105"/>
        <v>218</v>
      </c>
      <c r="BW37" s="44"/>
      <c r="BX37" s="44"/>
      <c r="BY37" s="44"/>
      <c r="BZ37" s="44"/>
      <c r="CA37" s="44"/>
      <c r="CB37" s="44"/>
      <c r="CC37" s="44"/>
      <c r="CD37" s="44"/>
      <c r="CE37" s="44"/>
      <c r="CF37" s="44"/>
      <c r="CG37" s="44"/>
      <c r="CH37" s="44"/>
      <c r="CI37" s="44"/>
      <c r="CJ37" s="44"/>
      <c r="CK37" s="44">
        <v>87</v>
      </c>
      <c r="CL37" s="44">
        <v>98</v>
      </c>
      <c r="CM37" s="44">
        <v>85</v>
      </c>
      <c r="CN37" s="115">
        <v>94</v>
      </c>
      <c r="CO37" s="115">
        <v>87</v>
      </c>
      <c r="CP37" s="115">
        <v>80</v>
      </c>
      <c r="CQ37" s="115">
        <v>74</v>
      </c>
      <c r="CR37" s="115">
        <v>75</v>
      </c>
      <c r="CS37" s="115">
        <v>52</v>
      </c>
      <c r="CT37" s="115">
        <v>69</v>
      </c>
      <c r="CU37" s="115">
        <v>80</v>
      </c>
      <c r="CV37" s="115">
        <v>72</v>
      </c>
      <c r="CW37" s="115">
        <v>51</v>
      </c>
      <c r="CX37" s="115">
        <v>63</v>
      </c>
      <c r="CY37" s="115">
        <v>65</v>
      </c>
      <c r="CZ37" s="115">
        <v>54</v>
      </c>
      <c r="DA37" s="115">
        <v>51</v>
      </c>
      <c r="DB37" s="115">
        <v>55</v>
      </c>
      <c r="DC37" s="115">
        <f t="shared" ref="DC37:DF37" si="106">+DB37-1</f>
        <v>54</v>
      </c>
      <c r="DD37" s="115">
        <f t="shared" si="106"/>
        <v>53</v>
      </c>
      <c r="DE37" s="115">
        <f t="shared" si="106"/>
        <v>52</v>
      </c>
      <c r="DF37" s="115">
        <f t="shared" si="106"/>
        <v>51</v>
      </c>
      <c r="DG37" s="44"/>
      <c r="DH37" s="44"/>
      <c r="DL37" s="68"/>
      <c r="DM37" s="68" t="s">
        <v>605</v>
      </c>
      <c r="DN37" s="68" t="s">
        <v>605</v>
      </c>
      <c r="DO37" s="68" t="s">
        <v>605</v>
      </c>
      <c r="DP37" s="68" t="s">
        <v>605</v>
      </c>
      <c r="DQ37" s="68" t="s">
        <v>605</v>
      </c>
      <c r="DR37" s="68" t="s">
        <v>605</v>
      </c>
      <c r="DS37" s="68" t="s">
        <v>605</v>
      </c>
      <c r="DT37" s="68" t="s">
        <v>605</v>
      </c>
      <c r="DU37" s="68">
        <f>SUM(W37:Z37)</f>
        <v>41</v>
      </c>
      <c r="DV37" s="68">
        <f>SUM(AA37:AD37)</f>
        <v>200</v>
      </c>
      <c r="DW37" s="68">
        <f>SUM(AE37:AH37)</f>
        <v>287</v>
      </c>
      <c r="DX37" s="44">
        <v>397</v>
      </c>
      <c r="DY37" s="44">
        <v>515</v>
      </c>
      <c r="DZ37" s="44">
        <f>SUM(AQ37:AT37)</f>
        <v>632</v>
      </c>
      <c r="EA37" s="44">
        <f>SUM(AU37:AX37)</f>
        <v>743</v>
      </c>
      <c r="EB37" s="65">
        <f>SUM(AY37:BB37)</f>
        <v>798</v>
      </c>
      <c r="EC37" s="44">
        <f>SUM(BC37:BF37)</f>
        <v>825</v>
      </c>
      <c r="ED37" s="44">
        <f>SUM(BG37:BJ37)</f>
        <v>747</v>
      </c>
      <c r="EE37" s="44">
        <f>SUM(BK37:BN37)</f>
        <v>754</v>
      </c>
      <c r="EF37" s="44">
        <f>SUM(BO37:BR37)</f>
        <v>775</v>
      </c>
      <c r="EG37" s="44">
        <f>SUM(BS37:BV37)</f>
        <v>809</v>
      </c>
      <c r="EH37" s="44">
        <f>EG37*0.2</f>
        <v>161.80000000000001</v>
      </c>
      <c r="EI37" s="44">
        <f>EH37*0.2</f>
        <v>32.360000000000007</v>
      </c>
      <c r="EJ37" s="44">
        <f>EI37*0.2</f>
        <v>6.4720000000000013</v>
      </c>
      <c r="EK37" s="44">
        <f>EJ37*0.2</f>
        <v>1.2944000000000004</v>
      </c>
      <c r="EL37" s="44">
        <f t="shared" si="14"/>
        <v>346</v>
      </c>
      <c r="EM37" s="44">
        <f t="shared" si="4"/>
        <v>270</v>
      </c>
      <c r="EN37" s="44">
        <f t="shared" si="5"/>
        <v>266</v>
      </c>
      <c r="EO37" s="44">
        <f t="shared" ref="EO37:EO70" si="107">SUM(CY37:DB37)</f>
        <v>225</v>
      </c>
      <c r="EP37" s="44">
        <f t="shared" si="7"/>
        <v>210</v>
      </c>
      <c r="EQ37" s="44">
        <f t="shared" ref="EQ37:FB37" si="108">+EP37*0.9</f>
        <v>189</v>
      </c>
      <c r="ER37" s="44">
        <f t="shared" si="108"/>
        <v>170.1</v>
      </c>
      <c r="ES37" s="44">
        <f t="shared" si="108"/>
        <v>153.09</v>
      </c>
      <c r="ET37" s="44">
        <f t="shared" si="108"/>
        <v>137.78100000000001</v>
      </c>
      <c r="EU37" s="44">
        <f t="shared" si="108"/>
        <v>124.00290000000001</v>
      </c>
      <c r="EV37" s="44">
        <f t="shared" si="108"/>
        <v>111.60261000000001</v>
      </c>
      <c r="EW37" s="44">
        <f t="shared" si="108"/>
        <v>100.44234900000001</v>
      </c>
      <c r="EX37" s="44">
        <f t="shared" si="108"/>
        <v>90.398114100000015</v>
      </c>
      <c r="EY37" s="44">
        <f t="shared" si="108"/>
        <v>81.358302690000016</v>
      </c>
      <c r="EZ37" s="44">
        <f t="shared" si="108"/>
        <v>73.22247242100002</v>
      </c>
      <c r="FA37" s="44">
        <f t="shared" si="108"/>
        <v>65.900225178900016</v>
      </c>
      <c r="FB37" s="44">
        <f t="shared" si="108"/>
        <v>59.310202661010017</v>
      </c>
      <c r="FH37" s="81">
        <f>EC37*0.7</f>
        <v>577.5</v>
      </c>
      <c r="FI37" s="44">
        <v>0</v>
      </c>
      <c r="FJ37" s="82">
        <v>0</v>
      </c>
    </row>
    <row r="38" spans="1:175">
      <c r="B38" s="14" t="s">
        <v>713</v>
      </c>
      <c r="C38" s="68"/>
      <c r="D38" s="68"/>
      <c r="E38" s="68"/>
      <c r="F38" s="68"/>
      <c r="G38" s="68" t="s">
        <v>605</v>
      </c>
      <c r="H38" s="68" t="s">
        <v>605</v>
      </c>
      <c r="I38" s="68" t="s">
        <v>605</v>
      </c>
      <c r="J38" s="68" t="s">
        <v>605</v>
      </c>
      <c r="K38" s="68" t="s">
        <v>605</v>
      </c>
      <c r="L38" s="68" t="s">
        <v>605</v>
      </c>
      <c r="M38" s="68" t="s">
        <v>605</v>
      </c>
      <c r="N38" s="68" t="s">
        <v>605</v>
      </c>
      <c r="O38" s="68" t="s">
        <v>605</v>
      </c>
      <c r="P38" s="68" t="s">
        <v>605</v>
      </c>
      <c r="Q38" s="68" t="s">
        <v>605</v>
      </c>
      <c r="R38" s="68" t="s">
        <v>605</v>
      </c>
      <c r="S38" s="68" t="s">
        <v>605</v>
      </c>
      <c r="T38" s="68" t="s">
        <v>605</v>
      </c>
      <c r="U38" s="68" t="s">
        <v>605</v>
      </c>
      <c r="V38" s="68" t="s">
        <v>605</v>
      </c>
      <c r="W38" s="68" t="s">
        <v>605</v>
      </c>
      <c r="X38" s="68" t="s">
        <v>605</v>
      </c>
      <c r="Y38" s="68" t="s">
        <v>605</v>
      </c>
      <c r="Z38" s="62" t="s">
        <v>605</v>
      </c>
      <c r="AA38" s="68" t="s">
        <v>605</v>
      </c>
      <c r="AB38" s="68" t="s">
        <v>605</v>
      </c>
      <c r="AC38" s="68" t="s">
        <v>605</v>
      </c>
      <c r="AD38" s="62" t="s">
        <v>605</v>
      </c>
      <c r="AE38" s="37">
        <f>4+20</f>
        <v>24</v>
      </c>
      <c r="AH38" s="37">
        <v>49</v>
      </c>
      <c r="AI38" s="68">
        <f>20+35</f>
        <v>55</v>
      </c>
      <c r="AJ38" s="68">
        <f>18+40</f>
        <v>58</v>
      </c>
      <c r="AK38" s="68">
        <f>22+41</f>
        <v>63</v>
      </c>
      <c r="AL38" s="70">
        <v>71</v>
      </c>
      <c r="AM38" s="69">
        <v>70</v>
      </c>
      <c r="AN38" s="69">
        <v>75</v>
      </c>
      <c r="AO38" s="69">
        <v>84</v>
      </c>
      <c r="AP38" s="103">
        <v>91</v>
      </c>
      <c r="AQ38" s="65">
        <v>93</v>
      </c>
      <c r="AR38" s="65">
        <v>92</v>
      </c>
      <c r="AS38" s="65">
        <v>102</v>
      </c>
      <c r="AT38" s="65">
        <v>114</v>
      </c>
      <c r="AU38" s="44">
        <f>37+67</f>
        <v>104</v>
      </c>
      <c r="AV38" s="65">
        <f>32+85</f>
        <v>117</v>
      </c>
      <c r="AW38" s="44">
        <v>121</v>
      </c>
      <c r="AX38" s="65">
        <v>123</v>
      </c>
      <c r="AY38" s="65">
        <v>110</v>
      </c>
      <c r="AZ38" s="44">
        <v>114</v>
      </c>
      <c r="BA38" s="44">
        <v>123</v>
      </c>
      <c r="BB38" s="44">
        <v>136</v>
      </c>
      <c r="BC38" s="65">
        <f>42+86</f>
        <v>128</v>
      </c>
      <c r="BD38" s="44">
        <v>122</v>
      </c>
      <c r="BE38" s="44">
        <v>111</v>
      </c>
      <c r="BF38" s="65">
        <v>122</v>
      </c>
      <c r="BG38" s="44">
        <v>114</v>
      </c>
      <c r="BH38" s="65">
        <v>95</v>
      </c>
      <c r="BI38" s="44">
        <v>85</v>
      </c>
      <c r="BJ38" s="65">
        <v>67</v>
      </c>
      <c r="BK38" s="65">
        <v>56</v>
      </c>
      <c r="BL38" s="44">
        <v>55</v>
      </c>
      <c r="BM38" s="44">
        <v>51</v>
      </c>
      <c r="BN38" s="68">
        <v>48</v>
      </c>
      <c r="BO38" s="68">
        <v>51</v>
      </c>
      <c r="BP38" s="68" t="s">
        <v>605</v>
      </c>
      <c r="BQ38" s="68" t="s">
        <v>605</v>
      </c>
      <c r="BR38" s="68">
        <v>50</v>
      </c>
      <c r="BS38" s="44" t="s">
        <v>605</v>
      </c>
      <c r="BT38" s="44" t="s">
        <v>605</v>
      </c>
      <c r="BU38" s="44" t="str">
        <f t="shared" si="105"/>
        <v>-</v>
      </c>
      <c r="BV38" s="44">
        <f t="shared" si="105"/>
        <v>50</v>
      </c>
      <c r="BW38" s="44"/>
      <c r="BX38" s="44"/>
      <c r="BY38" s="44"/>
      <c r="BZ38" s="44"/>
      <c r="CA38" s="44"/>
      <c r="CB38" s="44"/>
      <c r="CC38" s="44"/>
      <c r="CD38" s="44"/>
      <c r="CE38" s="44"/>
      <c r="CF38" s="44"/>
      <c r="CG38" s="44"/>
      <c r="CH38" s="44"/>
      <c r="CI38" s="44"/>
      <c r="CJ38" s="44"/>
      <c r="CK38" s="44">
        <v>0</v>
      </c>
      <c r="CL38" s="44">
        <v>0</v>
      </c>
      <c r="CM38" s="44">
        <v>0</v>
      </c>
      <c r="CN38" s="115">
        <v>0</v>
      </c>
      <c r="CO38" s="115">
        <v>0</v>
      </c>
      <c r="CP38" s="115">
        <v>0</v>
      </c>
      <c r="CQ38" s="115">
        <v>0</v>
      </c>
      <c r="CR38" s="115">
        <v>0</v>
      </c>
      <c r="CS38" s="115">
        <v>35</v>
      </c>
      <c r="CT38" s="115">
        <v>41</v>
      </c>
      <c r="CU38" s="115">
        <v>52</v>
      </c>
      <c r="CV38" s="115">
        <v>51</v>
      </c>
      <c r="CW38" s="115">
        <v>56</v>
      </c>
      <c r="CX38" s="115">
        <v>53</v>
      </c>
      <c r="CY38" s="115">
        <v>62</v>
      </c>
      <c r="CZ38" s="115">
        <v>59</v>
      </c>
      <c r="DA38" s="115">
        <v>66</v>
      </c>
      <c r="DB38" s="115">
        <v>61</v>
      </c>
      <c r="DC38" s="115">
        <f t="shared" ref="DC38:DF38" si="109">+DB38-1</f>
        <v>60</v>
      </c>
      <c r="DD38" s="115">
        <f t="shared" si="109"/>
        <v>59</v>
      </c>
      <c r="DE38" s="115">
        <f t="shared" si="109"/>
        <v>58</v>
      </c>
      <c r="DF38" s="115">
        <f t="shared" si="109"/>
        <v>57</v>
      </c>
      <c r="DG38" s="44"/>
      <c r="DH38" s="44"/>
      <c r="DL38" s="68"/>
      <c r="DM38" s="68" t="s">
        <v>605</v>
      </c>
      <c r="DN38" s="68" t="s">
        <v>605</v>
      </c>
      <c r="DO38" s="68" t="s">
        <v>605</v>
      </c>
      <c r="DP38" s="68" t="s">
        <v>605</v>
      </c>
      <c r="DQ38" s="68" t="s">
        <v>605</v>
      </c>
      <c r="DR38" s="68" t="s">
        <v>605</v>
      </c>
      <c r="DS38" s="68" t="s">
        <v>605</v>
      </c>
      <c r="DT38" s="68" t="s">
        <v>605</v>
      </c>
      <c r="DU38" s="68" t="s">
        <v>605</v>
      </c>
      <c r="DV38" s="37">
        <v>50</v>
      </c>
      <c r="DW38" s="44">
        <v>143</v>
      </c>
      <c r="DX38" s="44">
        <v>247</v>
      </c>
      <c r="DY38" s="44">
        <v>320</v>
      </c>
      <c r="DZ38" s="44">
        <f>SUM(AQ38:AT38)</f>
        <v>401</v>
      </c>
      <c r="EA38" s="44">
        <f>SUM(AU38:AX38)</f>
        <v>465</v>
      </c>
      <c r="EB38" s="65">
        <f>SUM(AY38:BB38)</f>
        <v>483</v>
      </c>
      <c r="EC38" s="44">
        <f>SUM(BC38:BF38)</f>
        <v>483</v>
      </c>
      <c r="ED38" s="44">
        <f>EC38*0.5</f>
        <v>241.5</v>
      </c>
      <c r="EE38" s="44">
        <f>SUM(BK38:BN38)</f>
        <v>210</v>
      </c>
      <c r="EF38" s="44">
        <f>SUM(BO38:BR38)</f>
        <v>101</v>
      </c>
      <c r="EG38" s="44">
        <f>SUM(BS38:BV38)</f>
        <v>50</v>
      </c>
      <c r="EH38" s="44">
        <f t="shared" ref="EH38:EK38" si="110">EG38*0.9</f>
        <v>45</v>
      </c>
      <c r="EI38" s="44">
        <f t="shared" si="110"/>
        <v>40.5</v>
      </c>
      <c r="EJ38" s="44">
        <f t="shared" si="110"/>
        <v>36.450000000000003</v>
      </c>
      <c r="EK38" s="44">
        <f t="shared" si="110"/>
        <v>32.805000000000007</v>
      </c>
      <c r="EL38" s="44">
        <f t="shared" si="14"/>
        <v>0</v>
      </c>
      <c r="EM38" s="44">
        <f t="shared" si="4"/>
        <v>76</v>
      </c>
      <c r="EN38" s="44">
        <f t="shared" si="5"/>
        <v>212</v>
      </c>
      <c r="EO38" s="44">
        <f t="shared" si="107"/>
        <v>248</v>
      </c>
      <c r="EP38" s="44">
        <f t="shared" si="7"/>
        <v>234</v>
      </c>
      <c r="EQ38" s="44">
        <f t="shared" ref="EQ38:FB38" si="111">+EP38*0.9</f>
        <v>210.6</v>
      </c>
      <c r="ER38" s="44">
        <f t="shared" si="111"/>
        <v>189.54</v>
      </c>
      <c r="ES38" s="44">
        <f t="shared" si="111"/>
        <v>170.58599999999998</v>
      </c>
      <c r="ET38" s="44">
        <f t="shared" si="111"/>
        <v>153.5274</v>
      </c>
      <c r="EU38" s="44">
        <f t="shared" si="111"/>
        <v>138.17466000000002</v>
      </c>
      <c r="EV38" s="44">
        <f t="shared" si="111"/>
        <v>124.35719400000002</v>
      </c>
      <c r="EW38" s="44">
        <f t="shared" si="111"/>
        <v>111.92147460000002</v>
      </c>
      <c r="EX38" s="44">
        <f t="shared" si="111"/>
        <v>100.72932714000002</v>
      </c>
      <c r="EY38" s="44">
        <f t="shared" si="111"/>
        <v>90.65639442600002</v>
      </c>
      <c r="EZ38" s="44">
        <f t="shared" si="111"/>
        <v>81.590754983400018</v>
      </c>
      <c r="FA38" s="44">
        <f t="shared" si="111"/>
        <v>73.431679485060016</v>
      </c>
      <c r="FB38" s="44">
        <f t="shared" si="111"/>
        <v>66.088511536554023</v>
      </c>
      <c r="FH38" s="81">
        <f>EC38*0.5</f>
        <v>241.5</v>
      </c>
      <c r="FI38" s="44">
        <f>EH38*0.2</f>
        <v>9</v>
      </c>
      <c r="FJ38" s="82">
        <f>EM38*0.1</f>
        <v>7.6000000000000005</v>
      </c>
      <c r="FL38" s="14" t="s">
        <v>714</v>
      </c>
    </row>
    <row r="39" spans="1:175">
      <c r="B39" s="4" t="s">
        <v>372</v>
      </c>
      <c r="AE39" s="44"/>
      <c r="AF39" s="44"/>
      <c r="AG39" s="44"/>
      <c r="AH39" s="44"/>
      <c r="AI39" s="62"/>
      <c r="AM39" s="69"/>
      <c r="AP39" s="62"/>
      <c r="AQ39" s="44"/>
      <c r="AR39" s="44"/>
      <c r="AS39" s="44"/>
      <c r="AT39" s="44"/>
      <c r="AU39" s="44"/>
      <c r="AV39" s="65"/>
      <c r="AW39" s="44"/>
      <c r="AX39" s="44"/>
      <c r="AY39" s="44"/>
      <c r="AZ39" s="44"/>
      <c r="BA39" s="44"/>
      <c r="BB39" s="44"/>
      <c r="BC39" s="65"/>
      <c r="BD39" s="44"/>
      <c r="BE39" s="44"/>
      <c r="BF39" s="65">
        <v>43</v>
      </c>
      <c r="BG39" s="44"/>
      <c r="BH39" s="65">
        <v>46</v>
      </c>
      <c r="BI39" s="44">
        <v>49</v>
      </c>
      <c r="BJ39" s="65">
        <v>50</v>
      </c>
      <c r="BK39" s="65"/>
      <c r="BL39" s="44">
        <v>53</v>
      </c>
      <c r="BM39" s="44">
        <v>52</v>
      </c>
      <c r="BN39" s="44">
        <v>57</v>
      </c>
      <c r="BO39" s="68">
        <v>52</v>
      </c>
      <c r="BP39" s="68">
        <v>65</v>
      </c>
      <c r="BQ39" s="68">
        <v>57</v>
      </c>
      <c r="BR39" s="68">
        <v>62</v>
      </c>
      <c r="BS39" s="44">
        <v>63</v>
      </c>
      <c r="BT39" s="44">
        <v>79</v>
      </c>
      <c r="BU39" s="44">
        <f t="shared" si="105"/>
        <v>57</v>
      </c>
      <c r="BV39" s="44">
        <f t="shared" si="105"/>
        <v>62</v>
      </c>
      <c r="BW39" s="44"/>
      <c r="BX39" s="44"/>
      <c r="BY39" s="44"/>
      <c r="BZ39" s="44"/>
      <c r="CA39" s="44"/>
      <c r="CB39" s="44"/>
      <c r="CC39" s="44"/>
      <c r="CD39" s="44"/>
      <c r="CE39" s="44"/>
      <c r="CF39" s="44"/>
      <c r="CG39" s="44"/>
      <c r="CH39" s="44"/>
      <c r="CI39" s="44"/>
      <c r="CJ39" s="44"/>
      <c r="CK39" s="44">
        <v>67</v>
      </c>
      <c r="CL39" s="44">
        <v>74</v>
      </c>
      <c r="CM39" s="44">
        <v>60</v>
      </c>
      <c r="CN39" s="115">
        <v>65</v>
      </c>
      <c r="CO39" s="115">
        <v>61</v>
      </c>
      <c r="CP39" s="115">
        <v>64</v>
      </c>
      <c r="CQ39" s="115">
        <v>60</v>
      </c>
      <c r="CR39" s="115">
        <v>64</v>
      </c>
      <c r="CS39" s="115">
        <v>59</v>
      </c>
      <c r="CT39" s="115">
        <v>69</v>
      </c>
      <c r="CU39" s="115">
        <v>57</v>
      </c>
      <c r="CV39" s="115">
        <v>62</v>
      </c>
      <c r="CW39" s="115">
        <v>56</v>
      </c>
      <c r="CX39" s="115">
        <v>64</v>
      </c>
      <c r="CY39" s="115">
        <v>54</v>
      </c>
      <c r="CZ39" s="115">
        <v>45</v>
      </c>
      <c r="DA39" s="115">
        <v>30</v>
      </c>
      <c r="DB39" s="115">
        <v>16</v>
      </c>
      <c r="DC39" s="115">
        <f t="shared" ref="DC39:DF39" si="112">+DB39-1</f>
        <v>15</v>
      </c>
      <c r="DD39" s="115">
        <f t="shared" si="112"/>
        <v>14</v>
      </c>
      <c r="DE39" s="115">
        <f t="shared" si="112"/>
        <v>13</v>
      </c>
      <c r="DF39" s="115">
        <f t="shared" si="112"/>
        <v>12</v>
      </c>
      <c r="DG39" s="44"/>
      <c r="DH39" s="44"/>
      <c r="DL39" s="44"/>
      <c r="DM39" s="44"/>
      <c r="DN39" s="44"/>
      <c r="DO39" s="44"/>
      <c r="DP39" s="44"/>
      <c r="DQ39" s="44"/>
      <c r="DR39" s="44"/>
      <c r="DS39" s="44"/>
      <c r="DT39" s="44"/>
      <c r="DU39" s="44"/>
      <c r="DV39" s="44"/>
      <c r="DW39" s="44"/>
      <c r="DX39" s="44"/>
      <c r="DY39" s="44"/>
      <c r="DZ39" s="44"/>
      <c r="EA39" s="44">
        <v>0</v>
      </c>
      <c r="EB39" s="65"/>
      <c r="EG39" s="44">
        <f>SUM(BS39:BV39)</f>
        <v>261</v>
      </c>
      <c r="EH39" s="44">
        <f>+EG39*0.9</f>
        <v>234.9</v>
      </c>
      <c r="EI39" s="44">
        <f t="shared" ref="EI39:EK39" si="113">+EH39*0.9</f>
        <v>211.41</v>
      </c>
      <c r="EJ39" s="44">
        <f t="shared" si="113"/>
        <v>190.26900000000001</v>
      </c>
      <c r="EK39" s="44">
        <f t="shared" si="113"/>
        <v>171.24210000000002</v>
      </c>
      <c r="EL39" s="44">
        <f t="shared" si="14"/>
        <v>250</v>
      </c>
      <c r="EM39" s="44">
        <f t="shared" si="4"/>
        <v>252</v>
      </c>
      <c r="EN39" s="44">
        <f t="shared" si="5"/>
        <v>239</v>
      </c>
      <c r="EO39" s="44">
        <f t="shared" si="107"/>
        <v>145</v>
      </c>
      <c r="EP39" s="44">
        <f t="shared" si="7"/>
        <v>54</v>
      </c>
      <c r="EQ39" s="44">
        <f>+EP39*0.9</f>
        <v>48.6</v>
      </c>
      <c r="ER39" s="44">
        <f t="shared" ref="ER39:FB39" si="114">+EQ39*0.9</f>
        <v>43.74</v>
      </c>
      <c r="ES39" s="44">
        <f t="shared" si="114"/>
        <v>39.366</v>
      </c>
      <c r="ET39" s="44">
        <f t="shared" si="114"/>
        <v>35.429400000000001</v>
      </c>
      <c r="EU39" s="44">
        <f t="shared" si="114"/>
        <v>31.886460000000003</v>
      </c>
      <c r="EV39" s="44">
        <f t="shared" si="114"/>
        <v>28.697814000000005</v>
      </c>
      <c r="EW39" s="44">
        <f t="shared" si="114"/>
        <v>25.828032600000004</v>
      </c>
      <c r="EX39" s="44">
        <f t="shared" si="114"/>
        <v>23.245229340000005</v>
      </c>
      <c r="EY39" s="44">
        <f t="shared" si="114"/>
        <v>20.920706406000004</v>
      </c>
      <c r="EZ39" s="44">
        <f t="shared" si="114"/>
        <v>18.828635765400005</v>
      </c>
      <c r="FA39" s="44">
        <f t="shared" si="114"/>
        <v>16.945772188860005</v>
      </c>
      <c r="FB39" s="44">
        <f t="shared" si="114"/>
        <v>15.251194969974005</v>
      </c>
      <c r="FJ39" s="82">
        <f>+EM39*0.5</f>
        <v>126</v>
      </c>
      <c r="FL39" s="14" t="s">
        <v>727</v>
      </c>
    </row>
    <row r="40" spans="1:175">
      <c r="B40" s="14" t="s">
        <v>1370</v>
      </c>
      <c r="C40" s="68"/>
      <c r="D40" s="68"/>
      <c r="E40" s="68"/>
      <c r="F40" s="68"/>
      <c r="G40" s="68"/>
      <c r="H40" s="68"/>
      <c r="I40" s="68"/>
      <c r="J40" s="68"/>
      <c r="K40" s="68"/>
      <c r="L40" s="68"/>
      <c r="M40" s="68"/>
      <c r="N40" s="68"/>
      <c r="O40" s="68"/>
      <c r="P40" s="68"/>
      <c r="Q40" s="68"/>
      <c r="R40" s="68"/>
      <c r="S40" s="68"/>
      <c r="T40" s="68"/>
      <c r="U40" s="68"/>
      <c r="V40" s="68"/>
      <c r="W40" s="68"/>
      <c r="X40" s="68"/>
      <c r="Y40" s="68"/>
      <c r="Z40" s="62"/>
      <c r="AA40" s="68"/>
      <c r="AB40" s="68"/>
      <c r="AC40" s="68"/>
      <c r="AD40" s="62"/>
      <c r="AI40" s="68"/>
      <c r="AJ40" s="68"/>
      <c r="AK40" s="68"/>
      <c r="AL40" s="70"/>
      <c r="AM40" s="69"/>
      <c r="AN40" s="69"/>
      <c r="AO40" s="69"/>
      <c r="AP40" s="103"/>
      <c r="AQ40" s="65"/>
      <c r="AR40" s="65"/>
      <c r="AS40" s="65"/>
      <c r="AT40" s="65"/>
      <c r="AU40" s="44"/>
      <c r="AV40" s="65"/>
      <c r="AW40" s="44"/>
      <c r="AX40" s="65"/>
      <c r="AY40" s="65"/>
      <c r="AZ40" s="44"/>
      <c r="BA40" s="44"/>
      <c r="BB40" s="44"/>
      <c r="BC40" s="65"/>
      <c r="BD40" s="44"/>
      <c r="BE40" s="44"/>
      <c r="BF40" s="65"/>
      <c r="BG40" s="44"/>
      <c r="BH40" s="65"/>
      <c r="BI40" s="44"/>
      <c r="BJ40" s="65"/>
      <c r="BK40" s="65"/>
      <c r="BL40" s="44"/>
      <c r="BM40" s="44"/>
      <c r="BN40" s="68"/>
      <c r="BO40" s="68"/>
      <c r="BP40" s="68"/>
      <c r="BQ40" s="68"/>
      <c r="BR40" s="68"/>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0</v>
      </c>
      <c r="CQ40" s="115">
        <v>0</v>
      </c>
      <c r="CR40" s="115">
        <v>0</v>
      </c>
      <c r="CS40" s="115">
        <v>0</v>
      </c>
      <c r="CT40" s="115">
        <v>36</v>
      </c>
      <c r="CU40" s="115">
        <v>45</v>
      </c>
      <c r="CV40" s="115">
        <v>41</v>
      </c>
      <c r="CW40" s="115">
        <v>0</v>
      </c>
      <c r="CX40" s="115">
        <v>66</v>
      </c>
      <c r="CY40" s="115">
        <v>52</v>
      </c>
      <c r="CZ40" s="115">
        <v>46</v>
      </c>
      <c r="DA40" s="115">
        <v>51</v>
      </c>
      <c r="DB40" s="115">
        <v>54</v>
      </c>
      <c r="DC40" s="115">
        <f t="shared" ref="DC40:DF40" si="115">+DB40-1</f>
        <v>53</v>
      </c>
      <c r="DD40" s="115">
        <f t="shared" si="115"/>
        <v>52</v>
      </c>
      <c r="DE40" s="115">
        <f t="shared" si="115"/>
        <v>51</v>
      </c>
      <c r="DF40" s="115">
        <f t="shared" si="115"/>
        <v>50</v>
      </c>
      <c r="DG40" s="44"/>
      <c r="DH40" s="44"/>
      <c r="DL40" s="68"/>
      <c r="DM40" s="68"/>
      <c r="DN40" s="68"/>
      <c r="DO40" s="68"/>
      <c r="DP40" s="68"/>
      <c r="DQ40" s="68"/>
      <c r="DR40" s="68"/>
      <c r="DS40" s="68"/>
      <c r="DT40" s="68"/>
      <c r="DU40" s="68"/>
      <c r="DW40" s="44"/>
      <c r="DX40" s="44"/>
      <c r="DY40" s="44"/>
      <c r="DZ40" s="44"/>
      <c r="EA40" s="44"/>
      <c r="EB40" s="65"/>
      <c r="EL40" s="44">
        <f t="shared" si="14"/>
        <v>0</v>
      </c>
      <c r="EM40" s="44">
        <f t="shared" si="4"/>
        <v>36</v>
      </c>
      <c r="EN40" s="44">
        <f t="shared" si="5"/>
        <v>152</v>
      </c>
      <c r="EO40" s="44">
        <f t="shared" si="107"/>
        <v>203</v>
      </c>
      <c r="EP40" s="44">
        <f t="shared" si="7"/>
        <v>206</v>
      </c>
      <c r="EQ40" s="44">
        <f>+EP40*0.95</f>
        <v>195.7</v>
      </c>
      <c r="ER40" s="44">
        <f t="shared" ref="ER40:FB40" si="116">+EQ40*0.95</f>
        <v>185.91499999999999</v>
      </c>
      <c r="ES40" s="44">
        <f t="shared" si="116"/>
        <v>176.61924999999999</v>
      </c>
      <c r="ET40" s="44">
        <f t="shared" si="116"/>
        <v>167.7882875</v>
      </c>
      <c r="EU40" s="44">
        <f t="shared" si="116"/>
        <v>159.39887312499999</v>
      </c>
      <c r="EV40" s="44">
        <f t="shared" si="116"/>
        <v>151.42892946875</v>
      </c>
      <c r="EW40" s="44">
        <f t="shared" si="116"/>
        <v>143.85748299531249</v>
      </c>
      <c r="EX40" s="44">
        <f t="shared" si="116"/>
        <v>136.66460884554687</v>
      </c>
      <c r="EY40" s="44">
        <f t="shared" si="116"/>
        <v>129.83137840326953</v>
      </c>
      <c r="EZ40" s="44">
        <f t="shared" si="116"/>
        <v>123.33980948310604</v>
      </c>
      <c r="FA40" s="44">
        <f t="shared" si="116"/>
        <v>117.17281900895073</v>
      </c>
      <c r="FB40" s="44">
        <f t="shared" si="116"/>
        <v>111.31417805850319</v>
      </c>
      <c r="FL40" s="14"/>
    </row>
    <row r="41" spans="1:175">
      <c r="B41" s="14" t="s">
        <v>1371</v>
      </c>
      <c r="C41" s="68"/>
      <c r="D41" s="68"/>
      <c r="E41" s="68"/>
      <c r="F41" s="68"/>
      <c r="G41" s="68"/>
      <c r="H41" s="68"/>
      <c r="I41" s="68"/>
      <c r="J41" s="68"/>
      <c r="K41" s="68"/>
      <c r="L41" s="68"/>
      <c r="M41" s="68"/>
      <c r="N41" s="68"/>
      <c r="O41" s="68"/>
      <c r="P41" s="68"/>
      <c r="Q41" s="68"/>
      <c r="R41" s="68"/>
      <c r="S41" s="68"/>
      <c r="T41" s="68"/>
      <c r="U41" s="68"/>
      <c r="V41" s="68"/>
      <c r="W41" s="68"/>
      <c r="X41" s="68"/>
      <c r="Y41" s="68"/>
      <c r="Z41" s="62"/>
      <c r="AA41" s="68"/>
      <c r="AB41" s="68"/>
      <c r="AC41" s="68"/>
      <c r="AD41" s="62"/>
      <c r="AI41" s="68"/>
      <c r="AJ41" s="68"/>
      <c r="AK41" s="68"/>
      <c r="AL41" s="70"/>
      <c r="AM41" s="69"/>
      <c r="AN41" s="69"/>
      <c r="AO41" s="69"/>
      <c r="AP41" s="103"/>
      <c r="AQ41" s="65"/>
      <c r="AR41" s="65"/>
      <c r="AS41" s="65"/>
      <c r="AT41" s="65"/>
      <c r="AU41" s="44"/>
      <c r="AV41" s="65"/>
      <c r="AW41" s="44"/>
      <c r="AX41" s="65"/>
      <c r="AY41" s="65"/>
      <c r="AZ41" s="44"/>
      <c r="BA41" s="44"/>
      <c r="BB41" s="44"/>
      <c r="BC41" s="65"/>
      <c r="BD41" s="44"/>
      <c r="BE41" s="44"/>
      <c r="BF41" s="65"/>
      <c r="BG41" s="44"/>
      <c r="BH41" s="65"/>
      <c r="BI41" s="44"/>
      <c r="BJ41" s="65"/>
      <c r="BK41" s="65"/>
      <c r="BL41" s="44"/>
      <c r="BM41" s="44"/>
      <c r="BN41" s="68"/>
      <c r="BO41" s="68"/>
      <c r="BP41" s="68"/>
      <c r="BQ41" s="68"/>
      <c r="BR41" s="68"/>
      <c r="BS41" s="44"/>
      <c r="BT41" s="44"/>
      <c r="BU41" s="44"/>
      <c r="BV41" s="44"/>
      <c r="BW41" s="44"/>
      <c r="BX41" s="44"/>
      <c r="BY41" s="44"/>
      <c r="BZ41" s="44"/>
      <c r="CA41" s="44"/>
      <c r="CB41" s="44"/>
      <c r="CC41" s="44"/>
      <c r="CD41" s="44"/>
      <c r="CE41" s="44"/>
      <c r="CF41" s="44"/>
      <c r="CG41" s="44"/>
      <c r="CH41" s="44"/>
      <c r="CI41" s="44"/>
      <c r="CJ41" s="44"/>
      <c r="CK41" s="44">
        <v>0</v>
      </c>
      <c r="CL41" s="44">
        <v>0</v>
      </c>
      <c r="CM41" s="44">
        <v>0</v>
      </c>
      <c r="CN41" s="115">
        <v>0</v>
      </c>
      <c r="CO41" s="115">
        <v>0</v>
      </c>
      <c r="CP41" s="115">
        <v>0</v>
      </c>
      <c r="CQ41" s="115">
        <v>0</v>
      </c>
      <c r="CR41" s="115">
        <v>0</v>
      </c>
      <c r="CS41" s="115">
        <v>44</v>
      </c>
      <c r="CT41" s="115">
        <v>48</v>
      </c>
      <c r="CU41" s="115">
        <v>50</v>
      </c>
      <c r="CV41" s="115">
        <v>45</v>
      </c>
      <c r="CW41" s="115">
        <v>50</v>
      </c>
      <c r="CX41" s="115">
        <v>47</v>
      </c>
      <c r="CY41" s="115">
        <v>51</v>
      </c>
      <c r="CZ41" s="115">
        <v>58</v>
      </c>
      <c r="DA41" s="115">
        <v>55</v>
      </c>
      <c r="DB41" s="115">
        <v>55</v>
      </c>
      <c r="DC41" s="115">
        <f t="shared" ref="DC41:DF41" si="117">+DB41-1</f>
        <v>54</v>
      </c>
      <c r="DD41" s="115">
        <f t="shared" si="117"/>
        <v>53</v>
      </c>
      <c r="DE41" s="115">
        <f t="shared" si="117"/>
        <v>52</v>
      </c>
      <c r="DF41" s="115">
        <f t="shared" si="117"/>
        <v>51</v>
      </c>
      <c r="DG41" s="44"/>
      <c r="DH41" s="44"/>
      <c r="DL41" s="68"/>
      <c r="DM41" s="68"/>
      <c r="DN41" s="68"/>
      <c r="DO41" s="68"/>
      <c r="DP41" s="68"/>
      <c r="DQ41" s="68"/>
      <c r="DR41" s="68"/>
      <c r="DS41" s="68"/>
      <c r="DT41" s="68"/>
      <c r="DU41" s="68"/>
      <c r="DW41" s="44"/>
      <c r="DX41" s="44"/>
      <c r="DY41" s="44"/>
      <c r="DZ41" s="44"/>
      <c r="EA41" s="44"/>
      <c r="EB41" s="65"/>
      <c r="EL41" s="44">
        <f t="shared" si="14"/>
        <v>0</v>
      </c>
      <c r="EM41" s="44">
        <f t="shared" si="4"/>
        <v>92</v>
      </c>
      <c r="EN41" s="44">
        <f t="shared" si="5"/>
        <v>192</v>
      </c>
      <c r="EO41" s="44">
        <f t="shared" si="107"/>
        <v>219</v>
      </c>
      <c r="EP41" s="44">
        <f t="shared" si="7"/>
        <v>210</v>
      </c>
      <c r="EQ41" s="44">
        <f>+EP41*0.9</f>
        <v>189</v>
      </c>
      <c r="ER41" s="44">
        <f t="shared" ref="ER41:FB41" si="118">+EQ41*0.9</f>
        <v>170.1</v>
      </c>
      <c r="ES41" s="44">
        <f t="shared" si="118"/>
        <v>153.09</v>
      </c>
      <c r="ET41" s="44">
        <f t="shared" si="118"/>
        <v>137.78100000000001</v>
      </c>
      <c r="EU41" s="44">
        <f t="shared" si="118"/>
        <v>124.00290000000001</v>
      </c>
      <c r="EV41" s="44">
        <f t="shared" si="118"/>
        <v>111.60261000000001</v>
      </c>
      <c r="EW41" s="44">
        <f t="shared" si="118"/>
        <v>100.44234900000001</v>
      </c>
      <c r="EX41" s="44">
        <f t="shared" si="118"/>
        <v>90.398114100000015</v>
      </c>
      <c r="EY41" s="44">
        <f t="shared" si="118"/>
        <v>81.358302690000016</v>
      </c>
      <c r="EZ41" s="44">
        <f t="shared" si="118"/>
        <v>73.22247242100002</v>
      </c>
      <c r="FA41" s="44">
        <f t="shared" si="118"/>
        <v>65.900225178900016</v>
      </c>
      <c r="FB41" s="44">
        <f t="shared" si="118"/>
        <v>59.310202661010017</v>
      </c>
      <c r="FL41" s="14"/>
    </row>
    <row r="42" spans="1:175">
      <c r="B42" s="14" t="s">
        <v>1372</v>
      </c>
      <c r="C42" s="68"/>
      <c r="D42" s="68"/>
      <c r="E42" s="68"/>
      <c r="F42" s="68"/>
      <c r="G42" s="68"/>
      <c r="H42" s="68"/>
      <c r="I42" s="68"/>
      <c r="J42" s="68"/>
      <c r="K42" s="68"/>
      <c r="L42" s="68"/>
      <c r="M42" s="68"/>
      <c r="N42" s="68"/>
      <c r="O42" s="68"/>
      <c r="P42" s="68"/>
      <c r="Q42" s="68"/>
      <c r="R42" s="68"/>
      <c r="S42" s="68"/>
      <c r="T42" s="68"/>
      <c r="U42" s="68"/>
      <c r="V42" s="68"/>
      <c r="W42" s="68"/>
      <c r="X42" s="68"/>
      <c r="Y42" s="68"/>
      <c r="Z42" s="62"/>
      <c r="AA42" s="68"/>
      <c r="AB42" s="68"/>
      <c r="AC42" s="68"/>
      <c r="AD42" s="62"/>
      <c r="AI42" s="68"/>
      <c r="AJ42" s="68"/>
      <c r="AK42" s="68"/>
      <c r="AL42" s="70"/>
      <c r="AM42" s="69"/>
      <c r="AN42" s="69"/>
      <c r="AO42" s="69"/>
      <c r="AP42" s="103"/>
      <c r="AQ42" s="65"/>
      <c r="AR42" s="65"/>
      <c r="AS42" s="65"/>
      <c r="AT42" s="65"/>
      <c r="AU42" s="44"/>
      <c r="AV42" s="65"/>
      <c r="AW42" s="44"/>
      <c r="AX42" s="65"/>
      <c r="AY42" s="65"/>
      <c r="AZ42" s="44"/>
      <c r="BA42" s="44"/>
      <c r="BB42" s="44"/>
      <c r="BC42" s="65"/>
      <c r="BD42" s="44"/>
      <c r="BE42" s="44"/>
      <c r="BF42" s="65"/>
      <c r="BG42" s="44"/>
      <c r="BH42" s="65"/>
      <c r="BI42" s="44"/>
      <c r="BJ42" s="65"/>
      <c r="BK42" s="65"/>
      <c r="BL42" s="44"/>
      <c r="BM42" s="44"/>
      <c r="BN42" s="68"/>
      <c r="BO42" s="68"/>
      <c r="BP42" s="68"/>
      <c r="BQ42" s="68"/>
      <c r="BR42" s="68"/>
      <c r="BS42" s="44"/>
      <c r="BT42" s="44"/>
      <c r="BU42" s="44"/>
      <c r="BV42" s="44"/>
      <c r="BW42" s="44"/>
      <c r="BX42" s="44"/>
      <c r="BY42" s="44"/>
      <c r="BZ42" s="44"/>
      <c r="CA42" s="44"/>
      <c r="CB42" s="44"/>
      <c r="CC42" s="44"/>
      <c r="CD42" s="44"/>
      <c r="CE42" s="44"/>
      <c r="CF42" s="44"/>
      <c r="CG42" s="44"/>
      <c r="CH42" s="44"/>
      <c r="CI42" s="44"/>
      <c r="CJ42" s="44"/>
      <c r="CK42" s="44">
        <v>0</v>
      </c>
      <c r="CL42" s="44">
        <v>0</v>
      </c>
      <c r="CM42" s="44">
        <v>0</v>
      </c>
      <c r="CN42" s="115">
        <v>0</v>
      </c>
      <c r="CO42" s="115">
        <v>0</v>
      </c>
      <c r="CP42" s="115">
        <v>30</v>
      </c>
      <c r="CQ42" s="115">
        <v>37</v>
      </c>
      <c r="CR42" s="115">
        <v>36</v>
      </c>
      <c r="CS42" s="115">
        <v>42</v>
      </c>
      <c r="CT42" s="115">
        <v>45</v>
      </c>
      <c r="CU42" s="115">
        <v>47</v>
      </c>
      <c r="CV42" s="115">
        <v>42</v>
      </c>
      <c r="CW42" s="115">
        <v>47</v>
      </c>
      <c r="CX42" s="115">
        <v>51</v>
      </c>
      <c r="CY42" s="115">
        <v>48</v>
      </c>
      <c r="CZ42" s="115">
        <v>51</v>
      </c>
      <c r="DA42" s="115">
        <v>58</v>
      </c>
      <c r="DB42" s="115">
        <v>37</v>
      </c>
      <c r="DC42" s="115">
        <f t="shared" ref="DC42:DF42" si="119">+DB42+2</f>
        <v>39</v>
      </c>
      <c r="DD42" s="115">
        <f t="shared" si="119"/>
        <v>41</v>
      </c>
      <c r="DE42" s="115">
        <f t="shared" si="119"/>
        <v>43</v>
      </c>
      <c r="DF42" s="115">
        <f t="shared" si="119"/>
        <v>45</v>
      </c>
      <c r="DG42" s="44"/>
      <c r="DH42" s="44"/>
      <c r="DL42" s="68"/>
      <c r="DM42" s="68"/>
      <c r="DN42" s="68"/>
      <c r="DO42" s="68"/>
      <c r="DP42" s="68"/>
      <c r="DQ42" s="68"/>
      <c r="DR42" s="68"/>
      <c r="DS42" s="68"/>
      <c r="DT42" s="68"/>
      <c r="DU42" s="68"/>
      <c r="DW42" s="44"/>
      <c r="DX42" s="44"/>
      <c r="DY42" s="44"/>
      <c r="DZ42" s="44"/>
      <c r="EA42" s="44"/>
      <c r="EB42" s="65"/>
      <c r="EL42" s="44">
        <f t="shared" si="14"/>
        <v>30</v>
      </c>
      <c r="EM42" s="44">
        <f t="shared" si="4"/>
        <v>160</v>
      </c>
      <c r="EN42" s="44">
        <f t="shared" si="5"/>
        <v>187</v>
      </c>
      <c r="EO42" s="44">
        <f t="shared" si="107"/>
        <v>194</v>
      </c>
      <c r="EP42" s="44">
        <f t="shared" si="7"/>
        <v>168</v>
      </c>
      <c r="EQ42" s="44">
        <f t="shared" ref="EQ42:FB42" si="120">+EP42*0.9</f>
        <v>151.20000000000002</v>
      </c>
      <c r="ER42" s="44">
        <f t="shared" si="120"/>
        <v>136.08000000000001</v>
      </c>
      <c r="ES42" s="44">
        <f t="shared" si="120"/>
        <v>122.47200000000001</v>
      </c>
      <c r="ET42" s="44">
        <f t="shared" si="120"/>
        <v>110.22480000000002</v>
      </c>
      <c r="EU42" s="44">
        <f t="shared" si="120"/>
        <v>99.202320000000014</v>
      </c>
      <c r="EV42" s="44">
        <f t="shared" si="120"/>
        <v>89.282088000000016</v>
      </c>
      <c r="EW42" s="44">
        <f t="shared" si="120"/>
        <v>80.353879200000023</v>
      </c>
      <c r="EX42" s="44">
        <f t="shared" si="120"/>
        <v>72.318491280000018</v>
      </c>
      <c r="EY42" s="44">
        <f t="shared" si="120"/>
        <v>65.086642152000024</v>
      </c>
      <c r="EZ42" s="44">
        <f t="shared" si="120"/>
        <v>58.577977936800025</v>
      </c>
      <c r="FA42" s="44">
        <f t="shared" si="120"/>
        <v>52.720180143120025</v>
      </c>
      <c r="FB42" s="44">
        <f t="shared" si="120"/>
        <v>47.448162128808022</v>
      </c>
      <c r="FL42" s="14"/>
    </row>
    <row r="43" spans="1:175">
      <c r="B43" s="14" t="s">
        <v>1359</v>
      </c>
      <c r="C43" s="62"/>
      <c r="D43" s="62"/>
      <c r="E43" s="62"/>
      <c r="F43" s="62"/>
      <c r="G43" s="62"/>
      <c r="H43" s="62"/>
      <c r="I43" s="62"/>
      <c r="J43" s="62"/>
      <c r="K43" s="62"/>
      <c r="L43" s="62"/>
      <c r="M43" s="62"/>
      <c r="N43" s="62"/>
      <c r="O43" s="62"/>
      <c r="P43" s="62"/>
      <c r="Q43" s="62"/>
      <c r="R43" s="62"/>
      <c r="S43" s="62"/>
      <c r="T43" s="62"/>
      <c r="U43" s="62"/>
      <c r="V43" s="62"/>
      <c r="W43" s="68"/>
      <c r="X43" s="68"/>
      <c r="Y43" s="68"/>
      <c r="Z43" s="68"/>
      <c r="AA43" s="44"/>
      <c r="AB43" s="44"/>
      <c r="AC43" s="44"/>
      <c r="AD43" s="44"/>
      <c r="AE43" s="44"/>
      <c r="AF43" s="44"/>
      <c r="AG43" s="44"/>
      <c r="AH43" s="44"/>
      <c r="AI43" s="68"/>
      <c r="AM43" s="69"/>
      <c r="AN43" s="69"/>
      <c r="AO43" s="69"/>
      <c r="AP43" s="103"/>
      <c r="AQ43" s="65"/>
      <c r="AR43" s="65"/>
      <c r="AS43" s="65"/>
      <c r="AT43" s="65"/>
      <c r="AU43" s="44"/>
      <c r="AV43" s="65"/>
      <c r="AW43" s="44"/>
      <c r="AX43" s="44"/>
      <c r="AY43" s="44"/>
      <c r="AZ43" s="44"/>
      <c r="BA43" s="44"/>
      <c r="BB43" s="44"/>
      <c r="BC43" s="65"/>
      <c r="BD43" s="44"/>
      <c r="BE43" s="44"/>
      <c r="BF43" s="65"/>
      <c r="BG43" s="44"/>
      <c r="BH43" s="65"/>
      <c r="BI43" s="44"/>
      <c r="BJ43" s="65"/>
      <c r="BK43" s="65"/>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v>57</v>
      </c>
      <c r="CL43" s="44">
        <v>22</v>
      </c>
      <c r="CM43" s="44">
        <v>0</v>
      </c>
      <c r="CN43" s="115">
        <v>0</v>
      </c>
      <c r="CO43" s="115">
        <v>64</v>
      </c>
      <c r="CP43" s="115">
        <v>23</v>
      </c>
      <c r="CQ43" s="115">
        <v>0</v>
      </c>
      <c r="CR43" s="115">
        <v>0</v>
      </c>
      <c r="CS43" s="115">
        <v>77</v>
      </c>
      <c r="CT43" s="115">
        <v>27</v>
      </c>
      <c r="CU43" s="115">
        <v>53</v>
      </c>
      <c r="CV43" s="115">
        <v>61</v>
      </c>
      <c r="CW43" s="115">
        <v>47</v>
      </c>
      <c r="CX43" s="115">
        <v>24</v>
      </c>
      <c r="CY43" s="115">
        <v>42</v>
      </c>
      <c r="CZ43" s="115">
        <v>68</v>
      </c>
      <c r="DA43" s="115">
        <v>67</v>
      </c>
      <c r="DB43" s="115">
        <v>23</v>
      </c>
      <c r="DC43" s="115">
        <f t="shared" ref="DC43:DF43" si="121">+DB43</f>
        <v>23</v>
      </c>
      <c r="DD43" s="115">
        <f t="shared" si="121"/>
        <v>23</v>
      </c>
      <c r="DE43" s="115">
        <f t="shared" si="121"/>
        <v>23</v>
      </c>
      <c r="DF43" s="115">
        <f t="shared" si="121"/>
        <v>23</v>
      </c>
      <c r="DG43" s="44"/>
      <c r="DH43" s="44"/>
      <c r="DL43" s="68"/>
      <c r="DM43" s="68"/>
      <c r="DN43" s="68"/>
      <c r="DO43" s="68"/>
      <c r="DP43" s="68"/>
      <c r="DQ43" s="68"/>
      <c r="DR43" s="68"/>
      <c r="DS43" s="68"/>
      <c r="DT43" s="68"/>
      <c r="DU43" s="44"/>
      <c r="DV43" s="44"/>
      <c r="DW43" s="44"/>
      <c r="DX43" s="44"/>
      <c r="DY43" s="44"/>
      <c r="DZ43" s="44"/>
      <c r="EA43" s="44"/>
      <c r="EB43" s="65"/>
      <c r="EL43" s="44">
        <f t="shared" si="14"/>
        <v>87</v>
      </c>
      <c r="EM43" s="44">
        <f t="shared" si="4"/>
        <v>104</v>
      </c>
      <c r="EN43" s="44">
        <f t="shared" si="5"/>
        <v>185</v>
      </c>
      <c r="EO43" s="44">
        <f t="shared" si="107"/>
        <v>200</v>
      </c>
      <c r="EP43" s="44">
        <f t="shared" si="7"/>
        <v>92</v>
      </c>
      <c r="EQ43" s="44">
        <f>+EP43*0.95</f>
        <v>87.399999999999991</v>
      </c>
      <c r="ER43" s="44">
        <f t="shared" ref="ER43:FB43" si="122">+EQ43*0.95</f>
        <v>83.029999999999987</v>
      </c>
      <c r="ES43" s="44">
        <f t="shared" si="122"/>
        <v>78.878499999999988</v>
      </c>
      <c r="ET43" s="44">
        <f t="shared" si="122"/>
        <v>74.934574999999981</v>
      </c>
      <c r="EU43" s="44">
        <f t="shared" si="122"/>
        <v>71.187846249999978</v>
      </c>
      <c r="EV43" s="44">
        <f t="shared" si="122"/>
        <v>67.62845393749997</v>
      </c>
      <c r="EW43" s="44">
        <f t="shared" si="122"/>
        <v>64.247031240624963</v>
      </c>
      <c r="EX43" s="44">
        <f t="shared" si="122"/>
        <v>61.034679678593712</v>
      </c>
      <c r="EY43" s="44">
        <f t="shared" si="122"/>
        <v>57.982945694664025</v>
      </c>
      <c r="EZ43" s="44">
        <f t="shared" si="122"/>
        <v>55.083798409930822</v>
      </c>
      <c r="FA43" s="44">
        <f t="shared" si="122"/>
        <v>52.329608489434278</v>
      </c>
      <c r="FB43" s="44">
        <f t="shared" si="122"/>
        <v>49.713128064962561</v>
      </c>
      <c r="FI43" s="85"/>
      <c r="FJ43" s="86"/>
    </row>
    <row r="44" spans="1:175">
      <c r="B44" s="14" t="s">
        <v>1373</v>
      </c>
      <c r="C44" s="62"/>
      <c r="D44" s="62"/>
      <c r="E44" s="62"/>
      <c r="F44" s="62"/>
      <c r="G44" s="62"/>
      <c r="H44" s="62"/>
      <c r="I44" s="62"/>
      <c r="J44" s="62"/>
      <c r="K44" s="62"/>
      <c r="L44" s="62"/>
      <c r="M44" s="62"/>
      <c r="N44" s="62"/>
      <c r="O44" s="62"/>
      <c r="P44" s="62"/>
      <c r="Q44" s="62"/>
      <c r="R44" s="62"/>
      <c r="S44" s="62"/>
      <c r="T44" s="62"/>
      <c r="U44" s="62"/>
      <c r="V44" s="62"/>
      <c r="W44" s="68"/>
      <c r="X44" s="68"/>
      <c r="Y44" s="68"/>
      <c r="Z44" s="68"/>
      <c r="AA44" s="44"/>
      <c r="AB44" s="44"/>
      <c r="AC44" s="44"/>
      <c r="AD44" s="44"/>
      <c r="AE44" s="44"/>
      <c r="AF44" s="44"/>
      <c r="AG44" s="44"/>
      <c r="AH44" s="44"/>
      <c r="AI44" s="68"/>
      <c r="AM44" s="69"/>
      <c r="AN44" s="69"/>
      <c r="AO44" s="69"/>
      <c r="AP44" s="103"/>
      <c r="AQ44" s="65"/>
      <c r="AR44" s="65"/>
      <c r="AS44" s="65"/>
      <c r="AT44" s="65"/>
      <c r="AU44" s="44"/>
      <c r="AV44" s="65"/>
      <c r="AW44" s="44"/>
      <c r="AX44" s="44"/>
      <c r="AY44" s="44"/>
      <c r="AZ44" s="44"/>
      <c r="BA44" s="44"/>
      <c r="BB44" s="44"/>
      <c r="BC44" s="65"/>
      <c r="BD44" s="44"/>
      <c r="BE44" s="44"/>
      <c r="BF44" s="65"/>
      <c r="BG44" s="44"/>
      <c r="BH44" s="65"/>
      <c r="BI44" s="44"/>
      <c r="BJ44" s="65"/>
      <c r="BK44" s="65"/>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v>0</v>
      </c>
      <c r="CL44" s="44">
        <v>0</v>
      </c>
      <c r="CM44" s="44">
        <v>0</v>
      </c>
      <c r="CN44" s="115">
        <v>0</v>
      </c>
      <c r="CO44" s="115">
        <v>0</v>
      </c>
      <c r="CP44" s="115">
        <v>30</v>
      </c>
      <c r="CQ44" s="115">
        <v>37</v>
      </c>
      <c r="CR44" s="115">
        <v>32</v>
      </c>
      <c r="CS44" s="115">
        <v>34</v>
      </c>
      <c r="CT44" s="115">
        <v>39</v>
      </c>
      <c r="CU44" s="115">
        <v>35</v>
      </c>
      <c r="CV44" s="115">
        <v>36</v>
      </c>
      <c r="CW44" s="115">
        <v>41</v>
      </c>
      <c r="CX44" s="115">
        <v>42</v>
      </c>
      <c r="CY44" s="115">
        <v>40</v>
      </c>
      <c r="CZ44" s="115">
        <v>44</v>
      </c>
      <c r="DA44" s="115">
        <v>45</v>
      </c>
      <c r="DB44" s="115">
        <v>46</v>
      </c>
      <c r="DC44" s="115">
        <f t="shared" ref="DC44:DF44" si="123">+DB44+1</f>
        <v>47</v>
      </c>
      <c r="DD44" s="115">
        <f t="shared" si="123"/>
        <v>48</v>
      </c>
      <c r="DE44" s="115">
        <f t="shared" si="123"/>
        <v>49</v>
      </c>
      <c r="DF44" s="115">
        <f t="shared" si="123"/>
        <v>50</v>
      </c>
      <c r="DG44" s="44"/>
      <c r="DH44" s="44"/>
      <c r="DL44" s="68"/>
      <c r="DM44" s="68"/>
      <c r="DN44" s="68"/>
      <c r="DO44" s="68"/>
      <c r="DP44" s="68"/>
      <c r="DQ44" s="68"/>
      <c r="DR44" s="68"/>
      <c r="DS44" s="68"/>
      <c r="DT44" s="68"/>
      <c r="DU44" s="44"/>
      <c r="DV44" s="44"/>
      <c r="DW44" s="44"/>
      <c r="DX44" s="44"/>
      <c r="DY44" s="44"/>
      <c r="DZ44" s="44"/>
      <c r="EA44" s="44"/>
      <c r="EB44" s="65"/>
      <c r="EL44" s="44">
        <f t="shared" si="14"/>
        <v>30</v>
      </c>
      <c r="EM44" s="44">
        <f t="shared" si="4"/>
        <v>142</v>
      </c>
      <c r="EN44" s="44">
        <f t="shared" si="5"/>
        <v>154</v>
      </c>
      <c r="EO44" s="44">
        <f t="shared" si="107"/>
        <v>175</v>
      </c>
      <c r="EP44" s="44">
        <f t="shared" si="7"/>
        <v>194</v>
      </c>
      <c r="EQ44" s="44">
        <f>+EP44*0.9</f>
        <v>174.6</v>
      </c>
      <c r="ER44" s="44">
        <f t="shared" ref="ER44:FB44" si="124">+EQ44*0.9</f>
        <v>157.13999999999999</v>
      </c>
      <c r="ES44" s="44">
        <f t="shared" si="124"/>
        <v>141.42599999999999</v>
      </c>
      <c r="ET44" s="44">
        <f t="shared" si="124"/>
        <v>127.28339999999999</v>
      </c>
      <c r="EU44" s="44">
        <f t="shared" si="124"/>
        <v>114.55505999999998</v>
      </c>
      <c r="EV44" s="44">
        <f t="shared" si="124"/>
        <v>103.09955399999998</v>
      </c>
      <c r="EW44" s="44">
        <f t="shared" si="124"/>
        <v>92.789598599999991</v>
      </c>
      <c r="EX44" s="44">
        <f t="shared" si="124"/>
        <v>83.51063873999999</v>
      </c>
      <c r="EY44" s="44">
        <f t="shared" si="124"/>
        <v>75.159574866</v>
      </c>
      <c r="EZ44" s="44">
        <f t="shared" si="124"/>
        <v>67.643617379399998</v>
      </c>
      <c r="FA44" s="44">
        <f t="shared" si="124"/>
        <v>60.879255641459999</v>
      </c>
      <c r="FB44" s="44">
        <f t="shared" si="124"/>
        <v>54.791330077314001</v>
      </c>
      <c r="FI44" s="85"/>
      <c r="FJ44" s="86"/>
    </row>
    <row r="45" spans="1:175">
      <c r="B45" s="14" t="s">
        <v>1381</v>
      </c>
      <c r="C45" s="62"/>
      <c r="D45" s="62"/>
      <c r="E45" s="62"/>
      <c r="F45" s="62"/>
      <c r="G45" s="62"/>
      <c r="H45" s="62"/>
      <c r="I45" s="62"/>
      <c r="J45" s="62"/>
      <c r="K45" s="62"/>
      <c r="L45" s="62"/>
      <c r="M45" s="62"/>
      <c r="N45" s="62"/>
      <c r="O45" s="62"/>
      <c r="P45" s="62"/>
      <c r="Q45" s="62"/>
      <c r="R45" s="62"/>
      <c r="S45" s="62"/>
      <c r="T45" s="62"/>
      <c r="U45" s="62"/>
      <c r="V45" s="62"/>
      <c r="W45" s="68"/>
      <c r="X45" s="68"/>
      <c r="Y45" s="68"/>
      <c r="Z45" s="68"/>
      <c r="AA45" s="44"/>
      <c r="AB45" s="44"/>
      <c r="AC45" s="44"/>
      <c r="AD45" s="44"/>
      <c r="AE45" s="44"/>
      <c r="AF45" s="44"/>
      <c r="AG45" s="44"/>
      <c r="AH45" s="44"/>
      <c r="AI45" s="68"/>
      <c r="AM45" s="69"/>
      <c r="AN45" s="69"/>
      <c r="AO45" s="69"/>
      <c r="AP45" s="103"/>
      <c r="AQ45" s="65"/>
      <c r="AR45" s="65"/>
      <c r="AS45" s="65"/>
      <c r="AT45" s="65"/>
      <c r="AU45" s="44"/>
      <c r="AV45" s="65"/>
      <c r="AW45" s="44"/>
      <c r="AX45" s="44"/>
      <c r="AY45" s="44"/>
      <c r="AZ45" s="44"/>
      <c r="BA45" s="44"/>
      <c r="BB45" s="44"/>
      <c r="BC45" s="65"/>
      <c r="BD45" s="44"/>
      <c r="BE45" s="44"/>
      <c r="BF45" s="65"/>
      <c r="BG45" s="44"/>
      <c r="BH45" s="65"/>
      <c r="BI45" s="44"/>
      <c r="BJ45" s="65"/>
      <c r="BK45" s="65"/>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v>61</v>
      </c>
      <c r="CL45" s="44">
        <v>0</v>
      </c>
      <c r="CM45" s="44">
        <v>0</v>
      </c>
      <c r="CN45" s="115">
        <v>0</v>
      </c>
      <c r="CO45" s="115">
        <v>73</v>
      </c>
      <c r="CP45" s="115">
        <v>0</v>
      </c>
      <c r="CQ45" s="115">
        <v>0</v>
      </c>
      <c r="CR45" s="115">
        <v>0</v>
      </c>
      <c r="CS45" s="115">
        <v>48</v>
      </c>
      <c r="CT45" s="115">
        <v>26</v>
      </c>
      <c r="CU45" s="115">
        <v>0</v>
      </c>
      <c r="CV45" s="115">
        <v>0</v>
      </c>
      <c r="CW45" s="115">
        <v>52</v>
      </c>
      <c r="CX45" s="115">
        <v>16</v>
      </c>
      <c r="CY45" s="115">
        <v>0</v>
      </c>
      <c r="CZ45" s="115">
        <v>0</v>
      </c>
      <c r="DA45" s="115">
        <v>60</v>
      </c>
      <c r="DB45" s="115">
        <v>15</v>
      </c>
      <c r="DC45" s="115">
        <f t="shared" ref="DC45:DF45" si="125">+DB45</f>
        <v>15</v>
      </c>
      <c r="DD45" s="115">
        <f t="shared" si="125"/>
        <v>15</v>
      </c>
      <c r="DE45" s="115">
        <f t="shared" si="125"/>
        <v>15</v>
      </c>
      <c r="DF45" s="115">
        <f t="shared" si="125"/>
        <v>15</v>
      </c>
      <c r="DG45" s="44"/>
      <c r="DH45" s="44"/>
      <c r="DL45" s="68"/>
      <c r="DM45" s="68"/>
      <c r="DN45" s="68"/>
      <c r="DO45" s="68"/>
      <c r="DP45" s="68"/>
      <c r="DQ45" s="68"/>
      <c r="DR45" s="68"/>
      <c r="DS45" s="68"/>
      <c r="DT45" s="68"/>
      <c r="DU45" s="44"/>
      <c r="DV45" s="44"/>
      <c r="DW45" s="44"/>
      <c r="DX45" s="44"/>
      <c r="DY45" s="44"/>
      <c r="DZ45" s="44"/>
      <c r="EA45" s="44"/>
      <c r="EB45" s="65"/>
      <c r="EL45" s="44">
        <f t="shared" si="14"/>
        <v>73</v>
      </c>
      <c r="EM45" s="44">
        <f t="shared" si="4"/>
        <v>74</v>
      </c>
      <c r="EN45" s="44">
        <f t="shared" si="5"/>
        <v>68</v>
      </c>
      <c r="EO45" s="44">
        <f t="shared" si="107"/>
        <v>75</v>
      </c>
      <c r="EP45" s="44">
        <f t="shared" si="7"/>
        <v>60</v>
      </c>
      <c r="EQ45" s="44">
        <f>+EP45*0.95</f>
        <v>57</v>
      </c>
      <c r="ER45" s="44">
        <f t="shared" ref="ER45:FB45" si="126">+EQ45*0.95</f>
        <v>54.15</v>
      </c>
      <c r="ES45" s="44">
        <f t="shared" si="126"/>
        <v>51.442499999999995</v>
      </c>
      <c r="ET45" s="44">
        <f t="shared" si="126"/>
        <v>48.870374999999996</v>
      </c>
      <c r="EU45" s="44">
        <f t="shared" si="126"/>
        <v>46.426856249999993</v>
      </c>
      <c r="EV45" s="44">
        <f t="shared" si="126"/>
        <v>44.105513437499994</v>
      </c>
      <c r="EW45" s="44">
        <f t="shared" si="126"/>
        <v>41.900237765624993</v>
      </c>
      <c r="EX45" s="44">
        <f t="shared" si="126"/>
        <v>39.805225877343744</v>
      </c>
      <c r="EY45" s="44">
        <f t="shared" si="126"/>
        <v>37.814964583476552</v>
      </c>
      <c r="EZ45" s="44">
        <f t="shared" si="126"/>
        <v>35.924216354302722</v>
      </c>
      <c r="FA45" s="44">
        <f t="shared" si="126"/>
        <v>34.128005536587587</v>
      </c>
      <c r="FB45" s="44">
        <f t="shared" si="126"/>
        <v>32.421605259758209</v>
      </c>
      <c r="FI45" s="85"/>
      <c r="FJ45" s="86"/>
    </row>
    <row r="46" spans="1:175">
      <c r="B46" s="4" t="s">
        <v>681</v>
      </c>
      <c r="C46" s="62"/>
      <c r="D46" s="62"/>
      <c r="E46" s="62"/>
      <c r="F46" s="62"/>
      <c r="G46" s="62" t="s">
        <v>605</v>
      </c>
      <c r="H46" s="62" t="s">
        <v>605</v>
      </c>
      <c r="I46" s="62" t="s">
        <v>605</v>
      </c>
      <c r="J46" s="62" t="s">
        <v>605</v>
      </c>
      <c r="K46" s="62" t="s">
        <v>605</v>
      </c>
      <c r="L46" s="62" t="s">
        <v>605</v>
      </c>
      <c r="M46" s="62" t="s">
        <v>605</v>
      </c>
      <c r="N46" s="62" t="s">
        <v>605</v>
      </c>
      <c r="O46" s="62" t="s">
        <v>605</v>
      </c>
      <c r="P46" s="62" t="s">
        <v>605</v>
      </c>
      <c r="Q46" s="62" t="s">
        <v>605</v>
      </c>
      <c r="R46" s="62" t="s">
        <v>605</v>
      </c>
      <c r="S46" s="62" t="s">
        <v>605</v>
      </c>
      <c r="T46" s="62" t="s">
        <v>605</v>
      </c>
      <c r="U46" s="62" t="s">
        <v>605</v>
      </c>
      <c r="V46" s="62" t="s">
        <v>605</v>
      </c>
      <c r="W46" s="62" t="s">
        <v>605</v>
      </c>
      <c r="X46" s="62" t="s">
        <v>605</v>
      </c>
      <c r="Y46" s="62" t="s">
        <v>605</v>
      </c>
      <c r="Z46" s="62" t="s">
        <v>605</v>
      </c>
      <c r="AA46" s="62" t="s">
        <v>605</v>
      </c>
      <c r="AB46" s="62" t="s">
        <v>605</v>
      </c>
      <c r="AC46" s="62" t="s">
        <v>605</v>
      </c>
      <c r="AD46" s="62" t="s">
        <v>605</v>
      </c>
      <c r="AE46" s="68" t="s">
        <v>605</v>
      </c>
      <c r="AF46" s="68" t="s">
        <v>605</v>
      </c>
      <c r="AG46" s="68" t="s">
        <v>605</v>
      </c>
      <c r="AH46" s="68" t="s">
        <v>605</v>
      </c>
      <c r="AI46" s="68" t="s">
        <v>605</v>
      </c>
      <c r="AJ46" s="68" t="s">
        <v>605</v>
      </c>
      <c r="AK46" s="68" t="s">
        <v>605</v>
      </c>
      <c r="AL46" s="70" t="s">
        <v>605</v>
      </c>
      <c r="AM46" s="70" t="s">
        <v>605</v>
      </c>
      <c r="AN46" s="69">
        <v>0</v>
      </c>
      <c r="AO46" s="69">
        <v>33</v>
      </c>
      <c r="AP46" s="103">
        <v>68</v>
      </c>
      <c r="AQ46" s="65">
        <v>162</v>
      </c>
      <c r="AR46" s="65">
        <v>200</v>
      </c>
      <c r="AS46" s="65">
        <v>241</v>
      </c>
      <c r="AT46" s="65">
        <v>280</v>
      </c>
      <c r="AU46" s="44">
        <f>193+84</f>
        <v>277</v>
      </c>
      <c r="AV46" s="65">
        <f>109+98</f>
        <v>207</v>
      </c>
      <c r="AW46" s="44">
        <v>182</v>
      </c>
      <c r="AX46" s="65">
        <v>180</v>
      </c>
      <c r="AY46" s="65">
        <v>177</v>
      </c>
      <c r="AZ46" s="44">
        <v>192</v>
      </c>
      <c r="BA46" s="44">
        <v>155</v>
      </c>
      <c r="BB46" s="44">
        <v>176</v>
      </c>
      <c r="BC46" s="65">
        <f>106+83</f>
        <v>189</v>
      </c>
      <c r="BD46" s="44">
        <v>170</v>
      </c>
      <c r="BE46" s="44">
        <v>163</v>
      </c>
      <c r="BF46" s="65">
        <v>233</v>
      </c>
      <c r="BG46" s="44">
        <v>199</v>
      </c>
      <c r="BH46" s="65">
        <v>190</v>
      </c>
      <c r="BI46" s="44">
        <v>156</v>
      </c>
      <c r="BJ46" s="65">
        <v>175</v>
      </c>
      <c r="BK46" s="65">
        <v>178</v>
      </c>
      <c r="BL46" s="44">
        <v>172</v>
      </c>
      <c r="BM46" s="44">
        <v>146</v>
      </c>
      <c r="BN46" s="44">
        <v>174</v>
      </c>
      <c r="BO46" s="44">
        <v>166</v>
      </c>
      <c r="BP46" s="44">
        <v>166</v>
      </c>
      <c r="BQ46" s="44">
        <v>154</v>
      </c>
      <c r="BR46" s="44">
        <v>162</v>
      </c>
      <c r="BS46" s="44">
        <v>147</v>
      </c>
      <c r="BT46" s="44">
        <v>170</v>
      </c>
      <c r="BU46" s="44">
        <f t="shared" ref="BU46:BV49" si="127">+BQ46</f>
        <v>154</v>
      </c>
      <c r="BV46" s="44">
        <f t="shared" si="127"/>
        <v>162</v>
      </c>
      <c r="BW46" s="44"/>
      <c r="BX46" s="44"/>
      <c r="BY46" s="44"/>
      <c r="BZ46" s="44"/>
      <c r="CA46" s="44"/>
      <c r="CB46" s="44"/>
      <c r="CC46" s="44"/>
      <c r="CD46" s="44"/>
      <c r="CE46" s="44"/>
      <c r="CF46" s="44"/>
      <c r="CG46" s="44"/>
      <c r="CH46" s="44"/>
      <c r="CI46" s="44"/>
      <c r="CJ46" s="44"/>
      <c r="CK46" s="44">
        <v>261</v>
      </c>
      <c r="CL46" s="44">
        <v>296</v>
      </c>
      <c r="CM46" s="44">
        <v>273</v>
      </c>
      <c r="CN46" s="115">
        <v>276</v>
      </c>
      <c r="CO46" s="115">
        <v>276</v>
      </c>
      <c r="CP46" s="115">
        <v>282</v>
      </c>
      <c r="CQ46" s="115">
        <v>270</v>
      </c>
      <c r="CR46" s="115">
        <v>235</v>
      </c>
      <c r="CS46" s="115">
        <v>223</v>
      </c>
      <c r="CT46" s="115">
        <v>191</v>
      </c>
      <c r="CU46" s="115">
        <v>217</v>
      </c>
      <c r="CV46" s="115">
        <v>184</v>
      </c>
      <c r="CW46" s="115">
        <v>7</v>
      </c>
      <c r="CX46" s="115">
        <v>-11</v>
      </c>
      <c r="CY46" s="115">
        <v>2</v>
      </c>
      <c r="CZ46" s="115">
        <v>1</v>
      </c>
      <c r="DA46" s="115">
        <v>4</v>
      </c>
      <c r="DB46" s="115">
        <v>0</v>
      </c>
      <c r="DC46" s="115">
        <f t="shared" ref="DC46:DF46" si="128">+DB46</f>
        <v>0</v>
      </c>
      <c r="DD46" s="115">
        <f t="shared" si="128"/>
        <v>0</v>
      </c>
      <c r="DE46" s="115">
        <f t="shared" si="128"/>
        <v>0</v>
      </c>
      <c r="DF46" s="115">
        <f t="shared" si="128"/>
        <v>0</v>
      </c>
      <c r="DG46" s="44"/>
      <c r="DH46" s="44"/>
      <c r="DL46" s="68"/>
      <c r="DM46" s="68" t="s">
        <v>605</v>
      </c>
      <c r="DN46" s="68" t="s">
        <v>605</v>
      </c>
      <c r="DO46" s="68" t="s">
        <v>605</v>
      </c>
      <c r="DP46" s="68" t="s">
        <v>605</v>
      </c>
      <c r="DQ46" s="68" t="s">
        <v>605</v>
      </c>
      <c r="DR46" s="68" t="s">
        <v>605</v>
      </c>
      <c r="DS46" s="68" t="s">
        <v>605</v>
      </c>
      <c r="DT46" s="68" t="s">
        <v>605</v>
      </c>
      <c r="DU46" s="68" t="s">
        <v>605</v>
      </c>
      <c r="DV46" s="68" t="s">
        <v>605</v>
      </c>
      <c r="DW46" s="68" t="s">
        <v>605</v>
      </c>
      <c r="DX46" s="68" t="s">
        <v>605</v>
      </c>
      <c r="DY46" s="44">
        <v>101</v>
      </c>
      <c r="DZ46" s="44">
        <f>SUM(AQ46:AT46)</f>
        <v>883</v>
      </c>
      <c r="EA46" s="44">
        <f>SUM(AU46:AX46)</f>
        <v>846</v>
      </c>
      <c r="EB46" s="65">
        <f t="shared" ref="EB46:EB60" si="129">SUM(AY46:BB46)</f>
        <v>700</v>
      </c>
      <c r="EC46" s="44">
        <f t="shared" ref="EC46" si="130">SUM(BC46:BF46)</f>
        <v>755</v>
      </c>
      <c r="ED46" s="44">
        <f t="shared" ref="ED46" si="131">SUM(BG46:BJ46)</f>
        <v>720</v>
      </c>
      <c r="EE46" s="44">
        <f t="shared" ref="EE46:EE62" si="132">SUM(BK46:BN46)</f>
        <v>670</v>
      </c>
      <c r="EF46" s="44">
        <f t="shared" ref="EF46:EF62" si="133">SUM(BO46:BR46)</f>
        <v>648</v>
      </c>
      <c r="EG46" s="44">
        <f t="shared" ref="EG46:EG60" si="134">SUM(BS46:BV46)</f>
        <v>633</v>
      </c>
      <c r="EH46" s="44">
        <f>EG46*0.9</f>
        <v>569.70000000000005</v>
      </c>
      <c r="EI46" s="44">
        <f>EH46*0.8</f>
        <v>455.76000000000005</v>
      </c>
      <c r="EJ46" s="44">
        <f>EI46*0.7</f>
        <v>319.03200000000004</v>
      </c>
      <c r="EK46" s="44">
        <f>EJ46*0.5</f>
        <v>159.51600000000002</v>
      </c>
      <c r="EL46" s="44">
        <f t="shared" si="14"/>
        <v>1107</v>
      </c>
      <c r="EM46" s="44">
        <f t="shared" si="4"/>
        <v>919</v>
      </c>
      <c r="EN46" s="44">
        <f t="shared" si="5"/>
        <v>397</v>
      </c>
      <c r="EO46" s="44">
        <f t="shared" si="107"/>
        <v>7</v>
      </c>
      <c r="EP46" s="44">
        <f t="shared" si="7"/>
        <v>0</v>
      </c>
      <c r="EQ46" s="44">
        <f>+EP46*0.9</f>
        <v>0</v>
      </c>
      <c r="ER46" s="44">
        <f t="shared" ref="ER46:FB46" si="135">+EQ46*0.9</f>
        <v>0</v>
      </c>
      <c r="ES46" s="44">
        <f t="shared" si="135"/>
        <v>0</v>
      </c>
      <c r="ET46" s="44">
        <f t="shared" si="135"/>
        <v>0</v>
      </c>
      <c r="EU46" s="44">
        <f t="shared" si="135"/>
        <v>0</v>
      </c>
      <c r="EV46" s="44">
        <f t="shared" si="135"/>
        <v>0</v>
      </c>
      <c r="EW46" s="44">
        <f t="shared" si="135"/>
        <v>0</v>
      </c>
      <c r="EX46" s="44">
        <f t="shared" si="135"/>
        <v>0</v>
      </c>
      <c r="EY46" s="44">
        <f t="shared" si="135"/>
        <v>0</v>
      </c>
      <c r="EZ46" s="44">
        <f t="shared" si="135"/>
        <v>0</v>
      </c>
      <c r="FA46" s="44">
        <f t="shared" si="135"/>
        <v>0</v>
      </c>
      <c r="FB46" s="44">
        <f t="shared" si="135"/>
        <v>0</v>
      </c>
      <c r="FH46" s="81">
        <f>EC46*0.2</f>
        <v>151</v>
      </c>
      <c r="FI46" s="44">
        <f>EH46*0.2</f>
        <v>113.94000000000001</v>
      </c>
      <c r="FJ46" s="82">
        <v>0</v>
      </c>
      <c r="FL46" s="4" t="s">
        <v>682</v>
      </c>
    </row>
    <row r="47" spans="1:175" s="20" customFormat="1" collapsed="1">
      <c r="B47" s="20" t="s">
        <v>638</v>
      </c>
      <c r="C47" s="68" t="s">
        <v>605</v>
      </c>
      <c r="D47" s="68" t="s">
        <v>605</v>
      </c>
      <c r="E47" s="68" t="s">
        <v>605</v>
      </c>
      <c r="F47" s="68" t="s">
        <v>605</v>
      </c>
      <c r="G47" s="68" t="s">
        <v>605</v>
      </c>
      <c r="H47" s="68" t="s">
        <v>605</v>
      </c>
      <c r="I47" s="68" t="s">
        <v>605</v>
      </c>
      <c r="J47" s="68" t="s">
        <v>605</v>
      </c>
      <c r="K47" s="68" t="s">
        <v>605</v>
      </c>
      <c r="L47" s="68" t="s">
        <v>605</v>
      </c>
      <c r="M47" s="68" t="s">
        <v>605</v>
      </c>
      <c r="N47" s="68" t="s">
        <v>605</v>
      </c>
      <c r="O47" s="68" t="s">
        <v>605</v>
      </c>
      <c r="P47" s="68" t="s">
        <v>605</v>
      </c>
      <c r="Q47" s="68" t="s">
        <v>605</v>
      </c>
      <c r="R47" s="68" t="s">
        <v>605</v>
      </c>
      <c r="S47" s="68" t="s">
        <v>605</v>
      </c>
      <c r="T47" s="68" t="s">
        <v>605</v>
      </c>
      <c r="U47" s="68" t="s">
        <v>605</v>
      </c>
      <c r="V47" s="68" t="s">
        <v>605</v>
      </c>
      <c r="W47" s="44">
        <v>57</v>
      </c>
      <c r="X47" s="44">
        <v>48</v>
      </c>
      <c r="Y47" s="44">
        <v>25</v>
      </c>
      <c r="Z47" s="44">
        <v>69</v>
      </c>
      <c r="AA47" s="44">
        <v>72</v>
      </c>
      <c r="AB47" s="44">
        <f>34+8</f>
        <v>42</v>
      </c>
      <c r="AC47" s="44">
        <f>39+22</f>
        <v>61</v>
      </c>
      <c r="AD47" s="44">
        <f>57+21</f>
        <v>78</v>
      </c>
      <c r="AE47" s="44">
        <f>73+24</f>
        <v>97</v>
      </c>
      <c r="AF47" s="44">
        <f>81+29</f>
        <v>110</v>
      </c>
      <c r="AG47" s="44">
        <f>85+35</f>
        <v>120</v>
      </c>
      <c r="AH47" s="44">
        <f>99+36</f>
        <v>135</v>
      </c>
      <c r="AI47" s="68">
        <f>104+39</f>
        <v>143</v>
      </c>
      <c r="AJ47" s="44">
        <f>106+47</f>
        <v>153</v>
      </c>
      <c r="AK47" s="44">
        <f>109+48</f>
        <v>157</v>
      </c>
      <c r="AL47" s="65">
        <v>164</v>
      </c>
      <c r="AM47" s="65">
        <v>186</v>
      </c>
      <c r="AN47" s="65">
        <v>167</v>
      </c>
      <c r="AO47" s="65">
        <v>206</v>
      </c>
      <c r="AP47" s="70">
        <v>223</v>
      </c>
      <c r="AQ47" s="65">
        <v>258</v>
      </c>
      <c r="AR47" s="65">
        <v>202</v>
      </c>
      <c r="AS47" s="65">
        <v>232</v>
      </c>
      <c r="AT47" s="65">
        <v>252</v>
      </c>
      <c r="AU47" s="44">
        <f>164+95</f>
        <v>259</v>
      </c>
      <c r="AV47" s="65">
        <f>170+122</f>
        <v>292</v>
      </c>
      <c r="AW47" s="44">
        <v>281</v>
      </c>
      <c r="AX47" s="65">
        <v>283</v>
      </c>
      <c r="AY47" s="65">
        <v>283</v>
      </c>
      <c r="AZ47" s="44">
        <v>257</v>
      </c>
      <c r="BA47" s="44">
        <v>271</v>
      </c>
      <c r="BB47" s="44">
        <v>330</v>
      </c>
      <c r="BC47" s="65">
        <f>161+131</f>
        <v>292</v>
      </c>
      <c r="BD47" s="44">
        <v>299</v>
      </c>
      <c r="BE47" s="44">
        <v>285</v>
      </c>
      <c r="BF47" s="65">
        <v>300</v>
      </c>
      <c r="BG47" s="44">
        <v>319</v>
      </c>
      <c r="BH47" s="65">
        <v>325</v>
      </c>
      <c r="BI47" s="44">
        <v>321</v>
      </c>
      <c r="BJ47" s="65">
        <v>318</v>
      </c>
      <c r="BK47" s="65">
        <v>325</v>
      </c>
      <c r="BL47" s="44">
        <v>343</v>
      </c>
      <c r="BM47" s="44">
        <v>328</v>
      </c>
      <c r="BN47" s="44">
        <v>349</v>
      </c>
      <c r="BO47" s="44">
        <v>342</v>
      </c>
      <c r="BP47" s="44">
        <v>346</v>
      </c>
      <c r="BQ47" s="44">
        <v>319</v>
      </c>
      <c r="BR47" s="44">
        <v>346</v>
      </c>
      <c r="BS47" s="44">
        <v>321</v>
      </c>
      <c r="BT47" s="44">
        <v>348</v>
      </c>
      <c r="BU47" s="44">
        <f t="shared" si="127"/>
        <v>319</v>
      </c>
      <c r="BV47" s="44">
        <f t="shared" si="127"/>
        <v>346</v>
      </c>
      <c r="BW47" s="44"/>
      <c r="BX47" s="44"/>
      <c r="BY47" s="44"/>
      <c r="BZ47" s="44"/>
      <c r="CA47" s="44"/>
      <c r="CB47" s="44"/>
      <c r="CC47" s="44"/>
      <c r="CD47" s="44"/>
      <c r="CE47" s="44"/>
      <c r="CF47" s="44"/>
      <c r="CG47" s="44"/>
      <c r="CH47" s="44"/>
      <c r="CI47" s="44"/>
      <c r="CJ47" s="44"/>
      <c r="CK47" s="44">
        <v>50</v>
      </c>
      <c r="CL47" s="44">
        <v>52</v>
      </c>
      <c r="CM47" s="44">
        <v>64</v>
      </c>
      <c r="CN47" s="115">
        <v>71</v>
      </c>
      <c r="CO47" s="115">
        <v>61</v>
      </c>
      <c r="CP47" s="115">
        <v>56</v>
      </c>
      <c r="CQ47" s="115">
        <v>70</v>
      </c>
      <c r="CR47" s="115">
        <v>55</v>
      </c>
      <c r="CS47" s="115">
        <v>51</v>
      </c>
      <c r="CT47" s="115">
        <v>46</v>
      </c>
      <c r="CU47" s="115">
        <v>0</v>
      </c>
      <c r="CV47" s="115">
        <v>0</v>
      </c>
      <c r="CW47" s="115">
        <v>41</v>
      </c>
      <c r="CX47" s="115">
        <v>29</v>
      </c>
      <c r="CY47" s="115">
        <v>0</v>
      </c>
      <c r="CZ47" s="115">
        <v>0</v>
      </c>
      <c r="DA47" s="115"/>
      <c r="DB47" s="115"/>
      <c r="DC47" s="115"/>
      <c r="DD47" s="115"/>
      <c r="DE47" s="115"/>
      <c r="DF47" s="115"/>
      <c r="DG47" s="44"/>
      <c r="DH47" s="44"/>
      <c r="DL47" s="68"/>
      <c r="DM47" s="68" t="s">
        <v>605</v>
      </c>
      <c r="DN47" s="68" t="s">
        <v>605</v>
      </c>
      <c r="DO47" s="68" t="s">
        <v>605</v>
      </c>
      <c r="DP47" s="44" t="s">
        <v>605</v>
      </c>
      <c r="DQ47" s="68" t="s">
        <v>605</v>
      </c>
      <c r="DR47" s="68" t="s">
        <v>605</v>
      </c>
      <c r="DS47" s="68" t="s">
        <v>605</v>
      </c>
      <c r="DT47" s="68" t="s">
        <v>605</v>
      </c>
      <c r="DU47" s="68">
        <f>SUM(W47:Z47)</f>
        <v>199</v>
      </c>
      <c r="DV47" s="68">
        <f>SUM(AA47:AD47)</f>
        <v>253</v>
      </c>
      <c r="DW47" s="68">
        <f>SUM(AE47:AH47)</f>
        <v>462</v>
      </c>
      <c r="DX47" s="44">
        <v>618</v>
      </c>
      <c r="DY47" s="44">
        <v>782</v>
      </c>
      <c r="DZ47" s="44">
        <f>SUM(AQ47:AT47)</f>
        <v>944</v>
      </c>
      <c r="EA47" s="44">
        <f>SUM(AU47:AX47)</f>
        <v>1115</v>
      </c>
      <c r="EB47" s="65">
        <f>SUM(AY47:BB47)</f>
        <v>1141</v>
      </c>
      <c r="EC47" s="68">
        <f>SUM(BC47:BF47)</f>
        <v>1176</v>
      </c>
      <c r="ED47" s="44">
        <f>SUM(BG47:BJ47)</f>
        <v>1283</v>
      </c>
      <c r="EE47" s="44">
        <f>SUM(BK47:BN47)</f>
        <v>1345</v>
      </c>
      <c r="EF47" s="44">
        <f>SUM(BO47:BR47)</f>
        <v>1353</v>
      </c>
      <c r="EG47" s="44">
        <f>SUM(BS47:BV47)</f>
        <v>1334</v>
      </c>
      <c r="EH47" s="44">
        <f>EG47*0.2</f>
        <v>266.8</v>
      </c>
      <c r="EI47" s="44">
        <f>EH47*0.2</f>
        <v>53.360000000000007</v>
      </c>
      <c r="EJ47" s="44">
        <f>EI47*0.2</f>
        <v>10.672000000000002</v>
      </c>
      <c r="EK47" s="44">
        <f>EJ47*0.2</f>
        <v>2.1344000000000007</v>
      </c>
      <c r="EL47" s="44">
        <f t="shared" si="14"/>
        <v>252</v>
      </c>
      <c r="EM47" s="44">
        <f t="shared" si="4"/>
        <v>222</v>
      </c>
      <c r="EN47" s="44">
        <f t="shared" si="5"/>
        <v>70</v>
      </c>
      <c r="EO47" s="44">
        <f t="shared" si="107"/>
        <v>0</v>
      </c>
      <c r="EP47" s="44">
        <f t="shared" si="7"/>
        <v>0</v>
      </c>
      <c r="EQ47" s="44"/>
      <c r="ER47" s="44"/>
      <c r="ES47" s="44"/>
      <c r="ET47" s="44"/>
      <c r="EU47" s="44"/>
      <c r="EV47" s="44"/>
      <c r="EW47" s="44"/>
      <c r="EX47" s="44"/>
      <c r="EY47" s="44"/>
      <c r="EZ47" s="44"/>
      <c r="FA47" s="44"/>
      <c r="FB47" s="44"/>
      <c r="FC47" s="44"/>
      <c r="FD47" s="44"/>
      <c r="FE47" s="44"/>
      <c r="FF47" s="44"/>
      <c r="FG47" s="44"/>
      <c r="FH47" s="81">
        <f>EC47*0.5</f>
        <v>588</v>
      </c>
      <c r="FI47" s="44">
        <f>EH47*0.1</f>
        <v>26.680000000000003</v>
      </c>
      <c r="FJ47" s="82">
        <v>0</v>
      </c>
      <c r="FK47" s="44"/>
    </row>
    <row r="48" spans="1:175" s="9" customFormat="1">
      <c r="A48" s="14"/>
      <c r="B48" s="14" t="s">
        <v>647</v>
      </c>
      <c r="C48" s="68"/>
      <c r="D48" s="68"/>
      <c r="E48" s="68"/>
      <c r="F48" s="68"/>
      <c r="G48" s="68" t="s">
        <v>605</v>
      </c>
      <c r="H48" s="68" t="s">
        <v>605</v>
      </c>
      <c r="I48" s="68" t="s">
        <v>605</v>
      </c>
      <c r="J48" s="68" t="s">
        <v>605</v>
      </c>
      <c r="K48" s="68" t="s">
        <v>605</v>
      </c>
      <c r="L48" s="68" t="s">
        <v>605</v>
      </c>
      <c r="M48" s="68" t="s">
        <v>605</v>
      </c>
      <c r="N48" s="68" t="s">
        <v>605</v>
      </c>
      <c r="O48" s="68" t="s">
        <v>605</v>
      </c>
      <c r="P48" s="68" t="s">
        <v>605</v>
      </c>
      <c r="Q48" s="68" t="s">
        <v>605</v>
      </c>
      <c r="R48" s="68" t="s">
        <v>605</v>
      </c>
      <c r="S48" s="68" t="s">
        <v>605</v>
      </c>
      <c r="T48" s="68" t="s">
        <v>605</v>
      </c>
      <c r="U48" s="68" t="s">
        <v>605</v>
      </c>
      <c r="V48" s="68" t="s">
        <v>605</v>
      </c>
      <c r="W48" s="68" t="s">
        <v>605</v>
      </c>
      <c r="X48" s="68" t="s">
        <v>605</v>
      </c>
      <c r="Y48" s="68" t="s">
        <v>605</v>
      </c>
      <c r="Z48" s="68" t="s">
        <v>605</v>
      </c>
      <c r="AA48" s="68" t="s">
        <v>605</v>
      </c>
      <c r="AB48" s="68" t="s">
        <v>605</v>
      </c>
      <c r="AC48" s="68" t="s">
        <v>605</v>
      </c>
      <c r="AD48" s="68" t="s">
        <v>605</v>
      </c>
      <c r="AE48" s="68" t="s">
        <v>605</v>
      </c>
      <c r="AF48" s="68" t="s">
        <v>605</v>
      </c>
      <c r="AG48" s="68" t="s">
        <v>605</v>
      </c>
      <c r="AH48" s="68" t="s">
        <v>605</v>
      </c>
      <c r="AI48" s="68" t="s">
        <v>605</v>
      </c>
      <c r="AJ48" s="68" t="s">
        <v>605</v>
      </c>
      <c r="AK48" s="68" t="s">
        <v>605</v>
      </c>
      <c r="AL48" s="70" t="s">
        <v>605</v>
      </c>
      <c r="AM48" s="70" t="s">
        <v>605</v>
      </c>
      <c r="AN48" s="103" t="s">
        <v>605</v>
      </c>
      <c r="AO48" s="103" t="s">
        <v>605</v>
      </c>
      <c r="AP48" s="70" t="s">
        <v>605</v>
      </c>
      <c r="AQ48" s="75" t="s">
        <v>648</v>
      </c>
      <c r="AR48" s="75" t="s">
        <v>649</v>
      </c>
      <c r="AS48" s="75" t="s">
        <v>650</v>
      </c>
      <c r="AT48" s="75" t="s">
        <v>651</v>
      </c>
      <c r="AU48" s="73" t="s">
        <v>652</v>
      </c>
      <c r="AV48" s="75" t="s">
        <v>653</v>
      </c>
      <c r="AW48" s="73" t="s">
        <v>654</v>
      </c>
      <c r="AX48" s="75" t="s">
        <v>655</v>
      </c>
      <c r="AY48" s="75" t="s">
        <v>656</v>
      </c>
      <c r="AZ48" s="73" t="s">
        <v>657</v>
      </c>
      <c r="BA48" s="73" t="s">
        <v>658</v>
      </c>
      <c r="BB48" s="73">
        <v>520</v>
      </c>
      <c r="BC48" s="70">
        <f>592+124</f>
        <v>716</v>
      </c>
      <c r="BD48" s="68">
        <f>113+621</f>
        <v>734</v>
      </c>
      <c r="BE48" s="68">
        <f>175+118</f>
        <v>293</v>
      </c>
      <c r="BF48" s="70">
        <f>206+125</f>
        <v>331</v>
      </c>
      <c r="BG48" s="68">
        <f>204+129</f>
        <v>333</v>
      </c>
      <c r="BH48" s="70">
        <f>168+147</f>
        <v>315</v>
      </c>
      <c r="BI48" s="68">
        <f>165+146</f>
        <v>311</v>
      </c>
      <c r="BJ48" s="70">
        <f>141+155</f>
        <v>296</v>
      </c>
      <c r="BK48" s="70">
        <f>151+129</f>
        <v>280</v>
      </c>
      <c r="BL48" s="68">
        <f>158+106</f>
        <v>264</v>
      </c>
      <c r="BM48" s="68">
        <f>107+152</f>
        <v>259</v>
      </c>
      <c r="BN48" s="68">
        <f>169+83</f>
        <v>252</v>
      </c>
      <c r="BO48" s="68">
        <f>166+105</f>
        <v>271</v>
      </c>
      <c r="BP48" s="68">
        <f>177+125</f>
        <v>302</v>
      </c>
      <c r="BQ48" s="68">
        <f>173+96</f>
        <v>269</v>
      </c>
      <c r="BR48" s="68">
        <f>182+114</f>
        <v>296</v>
      </c>
      <c r="BS48" s="44">
        <f>172+82</f>
        <v>254</v>
      </c>
      <c r="BT48" s="44">
        <f>198+96</f>
        <v>294</v>
      </c>
      <c r="BU48" s="44">
        <f t="shared" si="127"/>
        <v>269</v>
      </c>
      <c r="BV48" s="44">
        <f t="shared" si="127"/>
        <v>296</v>
      </c>
      <c r="BW48" s="44"/>
      <c r="BX48" s="44"/>
      <c r="BY48" s="44"/>
      <c r="BZ48" s="44"/>
      <c r="CA48" s="44"/>
      <c r="CB48" s="44"/>
      <c r="CC48" s="44"/>
      <c r="CD48" s="44"/>
      <c r="CE48" s="44"/>
      <c r="CF48" s="44"/>
      <c r="CG48" s="44"/>
      <c r="CH48" s="44"/>
      <c r="CI48" s="44"/>
      <c r="CJ48" s="44"/>
      <c r="CK48" s="44">
        <v>78</v>
      </c>
      <c r="CL48" s="44">
        <v>83</v>
      </c>
      <c r="CM48" s="44">
        <v>77</v>
      </c>
      <c r="CN48" s="115">
        <v>86</v>
      </c>
      <c r="CO48" s="115">
        <v>80</v>
      </c>
      <c r="CP48" s="115">
        <v>94</v>
      </c>
      <c r="CQ48" s="115">
        <v>77</v>
      </c>
      <c r="CR48" s="115">
        <v>86</v>
      </c>
      <c r="CS48" s="115">
        <v>40</v>
      </c>
      <c r="CT48" s="115">
        <v>47</v>
      </c>
      <c r="CU48" s="115">
        <v>0</v>
      </c>
      <c r="CV48" s="115"/>
      <c r="CW48" s="115">
        <v>43</v>
      </c>
      <c r="CX48" s="115">
        <v>43</v>
      </c>
      <c r="CY48" s="115">
        <v>0</v>
      </c>
      <c r="CZ48" s="115"/>
      <c r="DA48" s="115"/>
      <c r="DB48" s="115"/>
      <c r="DC48" s="115"/>
      <c r="DD48" s="115"/>
      <c r="DE48" s="115"/>
      <c r="DF48" s="115"/>
      <c r="DG48" s="44"/>
      <c r="DH48" s="44"/>
      <c r="DI48" s="14"/>
      <c r="DJ48" s="14"/>
      <c r="DK48" s="14"/>
      <c r="DL48" s="68"/>
      <c r="DM48" s="68" t="s">
        <v>605</v>
      </c>
      <c r="DN48" s="68" t="s">
        <v>605</v>
      </c>
      <c r="DO48" s="68" t="s">
        <v>605</v>
      </c>
      <c r="DP48" s="68" t="s">
        <v>605</v>
      </c>
      <c r="DQ48" s="68" t="s">
        <v>605</v>
      </c>
      <c r="DR48" s="68" t="s">
        <v>605</v>
      </c>
      <c r="DS48" s="68" t="s">
        <v>605</v>
      </c>
      <c r="DT48" s="68" t="s">
        <v>605</v>
      </c>
      <c r="DU48" s="68" t="s">
        <v>605</v>
      </c>
      <c r="DV48" s="68" t="s">
        <v>605</v>
      </c>
      <c r="DW48" s="68" t="s">
        <v>605</v>
      </c>
      <c r="DX48" s="68" t="s">
        <v>605</v>
      </c>
      <c r="DY48" s="73" t="s">
        <v>659</v>
      </c>
      <c r="DZ48" s="73" t="s">
        <v>660</v>
      </c>
      <c r="EA48" s="73" t="s">
        <v>661</v>
      </c>
      <c r="EB48" s="75">
        <f>SUM(AY48:BB48)</f>
        <v>520</v>
      </c>
      <c r="EC48" s="68">
        <f>SUM(BC48:BF48)</f>
        <v>2074</v>
      </c>
      <c r="ED48" s="44">
        <f>SUM(BG48:BJ48)</f>
        <v>1255</v>
      </c>
      <c r="EE48" s="44">
        <f>SUM(BK48:BN48)</f>
        <v>1055</v>
      </c>
      <c r="EF48" s="44">
        <f>SUM(BO48:BR48)</f>
        <v>1138</v>
      </c>
      <c r="EG48" s="44">
        <f>SUM(BS48:BV48)</f>
        <v>1113</v>
      </c>
      <c r="EH48" s="68">
        <f>EG48*0.5</f>
        <v>556.5</v>
      </c>
      <c r="EI48" s="68">
        <f>EH48*0.5</f>
        <v>278.25</v>
      </c>
      <c r="EJ48" s="68">
        <f>EI48*0.5</f>
        <v>139.125</v>
      </c>
      <c r="EK48" s="68">
        <f>EJ48*0.5</f>
        <v>69.5625</v>
      </c>
      <c r="EL48" s="44">
        <f t="shared" si="14"/>
        <v>337</v>
      </c>
      <c r="EM48" s="44">
        <f t="shared" si="4"/>
        <v>250</v>
      </c>
      <c r="EN48" s="44">
        <f t="shared" si="5"/>
        <v>86</v>
      </c>
      <c r="EO48" s="44">
        <f t="shared" si="107"/>
        <v>0</v>
      </c>
      <c r="EP48" s="44">
        <f t="shared" si="7"/>
        <v>0</v>
      </c>
      <c r="EQ48" s="68"/>
      <c r="ER48" s="68"/>
      <c r="ES48" s="68"/>
      <c r="ET48" s="68"/>
      <c r="EU48" s="68"/>
      <c r="EV48" s="68"/>
      <c r="EW48" s="68"/>
      <c r="EX48" s="68"/>
      <c r="EY48" s="68"/>
      <c r="EZ48" s="68"/>
      <c r="FA48" s="68"/>
      <c r="FB48" s="68"/>
      <c r="FC48" s="68"/>
      <c r="FD48" s="68"/>
      <c r="FE48" s="68"/>
      <c r="FF48" s="68"/>
      <c r="FG48" s="68"/>
      <c r="FH48" s="83">
        <f>EC48*0.3</f>
        <v>622.19999999999993</v>
      </c>
      <c r="FI48" s="68">
        <f>EH48*0.2</f>
        <v>111.30000000000001</v>
      </c>
      <c r="FJ48" s="84">
        <f>EM48*0.1</f>
        <v>25</v>
      </c>
      <c r="FK48" s="68"/>
      <c r="FL48" s="14" t="s">
        <v>662</v>
      </c>
      <c r="FM48" s="14"/>
      <c r="FN48" s="14"/>
      <c r="FO48" s="14"/>
      <c r="FP48" s="14"/>
      <c r="FQ48" s="14"/>
      <c r="FR48" s="14"/>
      <c r="FS48" s="14"/>
    </row>
    <row r="49" spans="2:168">
      <c r="B49" s="4" t="s">
        <v>706</v>
      </c>
      <c r="AA49" s="44"/>
      <c r="AB49" s="44"/>
      <c r="AC49" s="44"/>
      <c r="AD49" s="44"/>
      <c r="AE49" s="44"/>
      <c r="AF49" s="44"/>
      <c r="AG49" s="44"/>
      <c r="AH49" s="44"/>
      <c r="AI49" s="68"/>
      <c r="AJ49" s="44"/>
      <c r="AL49" s="65"/>
      <c r="AM49" s="65"/>
      <c r="AN49" s="69"/>
      <c r="AO49" s="69"/>
      <c r="AP49" s="103"/>
      <c r="AQ49" s="65"/>
      <c r="AR49" s="65"/>
      <c r="AS49" s="65"/>
      <c r="AT49" s="65"/>
      <c r="AU49" s="44"/>
      <c r="AV49" s="65"/>
      <c r="AW49" s="44"/>
      <c r="AX49" s="65"/>
      <c r="AY49" s="65"/>
      <c r="AZ49" s="44"/>
      <c r="BA49" s="44"/>
      <c r="BB49" s="44"/>
      <c r="BC49" s="65">
        <v>84</v>
      </c>
      <c r="BD49" s="44"/>
      <c r="BE49" s="44">
        <v>78</v>
      </c>
      <c r="BF49" s="65">
        <v>74</v>
      </c>
      <c r="BG49" s="44">
        <v>73</v>
      </c>
      <c r="BH49" s="65">
        <v>75</v>
      </c>
      <c r="BI49" s="44">
        <v>76</v>
      </c>
      <c r="BJ49" s="65">
        <v>74</v>
      </c>
      <c r="BK49" s="65">
        <v>81</v>
      </c>
      <c r="BL49" s="44">
        <v>86</v>
      </c>
      <c r="BM49" s="44">
        <v>82</v>
      </c>
      <c r="BN49" s="44">
        <v>86</v>
      </c>
      <c r="BO49" s="44">
        <v>87</v>
      </c>
      <c r="BP49" s="44">
        <v>92</v>
      </c>
      <c r="BQ49" s="44">
        <v>92</v>
      </c>
      <c r="BR49" s="44">
        <v>87</v>
      </c>
      <c r="BS49" s="44">
        <v>74</v>
      </c>
      <c r="BT49" s="44">
        <v>82</v>
      </c>
      <c r="BU49" s="44">
        <f t="shared" si="127"/>
        <v>92</v>
      </c>
      <c r="BV49" s="44">
        <f t="shared" si="127"/>
        <v>87</v>
      </c>
      <c r="BW49" s="44"/>
      <c r="BX49" s="44"/>
      <c r="BY49" s="44"/>
      <c r="BZ49" s="44"/>
      <c r="CA49" s="44"/>
      <c r="CB49" s="44"/>
      <c r="CC49" s="44"/>
      <c r="CD49" s="44"/>
      <c r="CE49" s="44"/>
      <c r="CF49" s="44"/>
      <c r="CG49" s="44"/>
      <c r="CH49" s="44"/>
      <c r="CI49" s="44"/>
      <c r="CJ49" s="44"/>
      <c r="CK49" s="44">
        <v>60</v>
      </c>
      <c r="CL49" s="44">
        <v>62</v>
      </c>
      <c r="CM49" s="44">
        <v>0</v>
      </c>
      <c r="CN49" s="115">
        <v>0</v>
      </c>
      <c r="CO49" s="115">
        <v>50</v>
      </c>
      <c r="CP49" s="115">
        <v>51</v>
      </c>
      <c r="CQ49" s="115">
        <v>0</v>
      </c>
      <c r="CR49" s="115">
        <v>0</v>
      </c>
      <c r="CS49" s="115">
        <v>33</v>
      </c>
      <c r="CT49" s="115">
        <v>45</v>
      </c>
      <c r="CU49" s="115">
        <v>0</v>
      </c>
      <c r="CV49" s="115"/>
      <c r="CW49" s="115">
        <v>56</v>
      </c>
      <c r="CX49" s="115">
        <v>47</v>
      </c>
      <c r="CY49" s="115">
        <v>0</v>
      </c>
      <c r="CZ49" s="115"/>
      <c r="DA49" s="115"/>
      <c r="DB49" s="115"/>
      <c r="DC49" s="115"/>
      <c r="DD49" s="115"/>
      <c r="DE49" s="115"/>
      <c r="DF49" s="115"/>
      <c r="DG49" s="44"/>
      <c r="DH49" s="44"/>
      <c r="DI49" s="44"/>
      <c r="DJ49" s="44"/>
      <c r="DK49" s="44"/>
      <c r="DL49" s="68"/>
      <c r="DM49" s="68"/>
      <c r="DN49" s="68"/>
      <c r="DO49" s="68"/>
      <c r="DP49" s="68"/>
      <c r="DQ49" s="68"/>
      <c r="DR49" s="68"/>
      <c r="DS49" s="68"/>
      <c r="DT49" s="68"/>
      <c r="DU49" s="68"/>
      <c r="DV49" s="68"/>
      <c r="DW49" s="68"/>
      <c r="DX49" s="44"/>
      <c r="DY49" s="44"/>
      <c r="DZ49" s="44"/>
      <c r="EA49" s="44"/>
      <c r="EB49" s="65"/>
      <c r="EC49" s="44">
        <f>SUM(BC49:BF49)</f>
        <v>236</v>
      </c>
      <c r="ED49" s="44">
        <f>SUM(BG49:BJ49)</f>
        <v>298</v>
      </c>
      <c r="EE49" s="44">
        <f>SUM(BK49:BN49)</f>
        <v>335</v>
      </c>
      <c r="EF49" s="44">
        <f>SUM(BO49:BR49)</f>
        <v>358</v>
      </c>
      <c r="EG49" s="44">
        <f>SUM(BS49:BV49)</f>
        <v>335</v>
      </c>
      <c r="EH49" s="44">
        <f t="shared" ref="EH49:EK49" si="136">+EG49*0.8</f>
        <v>268</v>
      </c>
      <c r="EI49" s="44">
        <f t="shared" si="136"/>
        <v>214.4</v>
      </c>
      <c r="EJ49" s="44">
        <f t="shared" si="136"/>
        <v>171.52</v>
      </c>
      <c r="EK49" s="44">
        <f t="shared" si="136"/>
        <v>137.21600000000001</v>
      </c>
      <c r="EL49" s="44">
        <f t="shared" si="14"/>
        <v>101</v>
      </c>
      <c r="EM49" s="44">
        <f t="shared" si="4"/>
        <v>78</v>
      </c>
      <c r="EN49" s="44">
        <f t="shared" si="5"/>
        <v>103</v>
      </c>
      <c r="EO49" s="44">
        <f t="shared" si="107"/>
        <v>0</v>
      </c>
      <c r="EP49" s="44">
        <f t="shared" si="7"/>
        <v>0</v>
      </c>
      <c r="FJ49" s="82">
        <f>+EM49*0.2</f>
        <v>15.600000000000001</v>
      </c>
    </row>
    <row r="50" spans="2:168">
      <c r="B50" s="4" t="s">
        <v>1382</v>
      </c>
      <c r="AA50" s="44"/>
      <c r="AB50" s="44"/>
      <c r="AC50" s="44"/>
      <c r="AD50" s="44"/>
      <c r="AE50" s="44"/>
      <c r="AF50" s="44"/>
      <c r="AG50" s="44"/>
      <c r="AH50" s="44"/>
      <c r="AI50" s="68"/>
      <c r="AJ50" s="44"/>
      <c r="AL50" s="65"/>
      <c r="AM50" s="65"/>
      <c r="AN50" s="69"/>
      <c r="AO50" s="69"/>
      <c r="AP50" s="103"/>
      <c r="AQ50" s="65"/>
      <c r="AR50" s="65"/>
      <c r="AS50" s="65"/>
      <c r="AT50" s="65"/>
      <c r="AU50" s="44"/>
      <c r="AV50" s="65"/>
      <c r="AW50" s="44"/>
      <c r="AX50" s="65"/>
      <c r="AY50" s="65"/>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v>0</v>
      </c>
      <c r="CL50" s="44">
        <v>0</v>
      </c>
      <c r="CM50" s="44">
        <v>0</v>
      </c>
      <c r="CN50" s="115">
        <v>40</v>
      </c>
      <c r="CO50" s="115">
        <v>0</v>
      </c>
      <c r="CP50" s="115">
        <v>0</v>
      </c>
      <c r="CQ50" s="115">
        <v>0</v>
      </c>
      <c r="CR50" s="115">
        <v>114</v>
      </c>
      <c r="CS50" s="115">
        <v>55</v>
      </c>
      <c r="CT50" s="115">
        <v>48</v>
      </c>
      <c r="CU50" s="115">
        <v>0</v>
      </c>
      <c r="CV50" s="115"/>
      <c r="CW50" s="115">
        <v>50</v>
      </c>
      <c r="CX50" s="115">
        <v>30</v>
      </c>
      <c r="CY50" s="115">
        <v>0</v>
      </c>
      <c r="CZ50" s="115"/>
      <c r="DA50" s="115"/>
      <c r="DB50" s="115"/>
      <c r="DC50" s="115"/>
      <c r="DD50" s="115"/>
      <c r="DE50" s="115"/>
      <c r="DF50" s="115"/>
      <c r="DG50" s="44"/>
      <c r="DH50" s="44"/>
      <c r="DI50" s="44"/>
      <c r="DJ50" s="44"/>
      <c r="DK50" s="44"/>
      <c r="DL50" s="68"/>
      <c r="DM50" s="68"/>
      <c r="DN50" s="68"/>
      <c r="DO50" s="68"/>
      <c r="DP50" s="68"/>
      <c r="DQ50" s="68"/>
      <c r="DR50" s="68"/>
      <c r="DS50" s="68"/>
      <c r="DT50" s="68"/>
      <c r="DU50" s="68"/>
      <c r="DV50" s="68"/>
      <c r="DW50" s="68"/>
      <c r="DX50" s="44"/>
      <c r="DY50" s="44"/>
      <c r="DZ50" s="44"/>
      <c r="EA50" s="44"/>
      <c r="EB50" s="65"/>
      <c r="EL50" s="44">
        <f t="shared" si="14"/>
        <v>40</v>
      </c>
      <c r="EM50" s="44">
        <f t="shared" si="4"/>
        <v>217</v>
      </c>
      <c r="EN50" s="44">
        <f t="shared" si="5"/>
        <v>80</v>
      </c>
      <c r="EO50" s="44">
        <f t="shared" si="107"/>
        <v>0</v>
      </c>
      <c r="EP50" s="44">
        <f t="shared" si="7"/>
        <v>0</v>
      </c>
    </row>
    <row r="51" spans="2:168">
      <c r="B51" s="14" t="s">
        <v>721</v>
      </c>
      <c r="W51" s="44"/>
      <c r="X51" s="44"/>
      <c r="Y51" s="44"/>
      <c r="Z51" s="44"/>
      <c r="AA51" s="44"/>
      <c r="AB51" s="44"/>
      <c r="AC51" s="44"/>
      <c r="AD51" s="44"/>
      <c r="AE51" s="44"/>
      <c r="AF51" s="44"/>
      <c r="AG51" s="44"/>
      <c r="AH51" s="44"/>
      <c r="AI51" s="68"/>
      <c r="AJ51" s="44"/>
      <c r="AK51" s="44"/>
      <c r="AL51" s="65"/>
      <c r="AM51" s="65"/>
      <c r="AN51" s="65"/>
      <c r="AO51" s="65"/>
      <c r="AP51" s="70"/>
      <c r="AQ51" s="65"/>
      <c r="AR51" s="65"/>
      <c r="AS51" s="65"/>
      <c r="AT51" s="65"/>
      <c r="AU51" s="44"/>
      <c r="AV51" s="65"/>
      <c r="AW51" s="44"/>
      <c r="AX51" s="65"/>
      <c r="AY51" s="65"/>
      <c r="AZ51" s="44"/>
      <c r="BA51" s="44"/>
      <c r="BB51" s="44"/>
      <c r="BC51" s="65"/>
      <c r="BD51" s="44"/>
      <c r="BE51" s="44">
        <v>0</v>
      </c>
      <c r="BF51" s="70" t="s">
        <v>605</v>
      </c>
      <c r="BG51" s="44"/>
      <c r="BH51" s="65">
        <v>66</v>
      </c>
      <c r="BI51" s="44">
        <v>59</v>
      </c>
      <c r="BJ51" s="70" t="s">
        <v>605</v>
      </c>
      <c r="BK51" s="65">
        <v>58</v>
      </c>
      <c r="BL51" s="44">
        <v>92</v>
      </c>
      <c r="BM51" s="44">
        <v>67</v>
      </c>
      <c r="BN51" s="68" t="s">
        <v>605</v>
      </c>
      <c r="BO51" s="68">
        <v>72</v>
      </c>
      <c r="BP51" s="68">
        <v>73</v>
      </c>
      <c r="BQ51" s="68">
        <v>85</v>
      </c>
      <c r="BR51" s="68" t="s">
        <v>605</v>
      </c>
      <c r="BS51" s="44">
        <v>63</v>
      </c>
      <c r="BT51" s="44">
        <v>89</v>
      </c>
      <c r="BU51" s="44">
        <f>+BQ51</f>
        <v>85</v>
      </c>
      <c r="BV51" s="44" t="str">
        <f>+BR51</f>
        <v>-</v>
      </c>
      <c r="BW51" s="44"/>
      <c r="BX51" s="44"/>
      <c r="BY51" s="44"/>
      <c r="BZ51" s="44"/>
      <c r="CA51" s="44"/>
      <c r="CB51" s="44"/>
      <c r="CC51" s="44"/>
      <c r="CD51" s="44"/>
      <c r="CE51" s="44"/>
      <c r="CF51" s="44"/>
      <c r="CG51" s="44"/>
      <c r="CH51" s="44"/>
      <c r="CI51" s="44"/>
      <c r="CJ51" s="44"/>
      <c r="CK51" s="44">
        <v>68</v>
      </c>
      <c r="CL51" s="44">
        <v>88</v>
      </c>
      <c r="CM51" s="44">
        <v>56</v>
      </c>
      <c r="CN51" s="115">
        <v>67</v>
      </c>
      <c r="CO51" s="115">
        <v>92</v>
      </c>
      <c r="CP51" s="115">
        <v>65</v>
      </c>
      <c r="CQ51" s="115">
        <v>72</v>
      </c>
      <c r="CR51" s="115">
        <v>64</v>
      </c>
      <c r="CS51" s="115">
        <v>75</v>
      </c>
      <c r="CT51" s="115">
        <v>0</v>
      </c>
      <c r="CU51" s="115">
        <v>0</v>
      </c>
      <c r="CV51" s="115">
        <v>0</v>
      </c>
      <c r="CW51" s="115">
        <v>78</v>
      </c>
      <c r="CX51" s="115">
        <v>0</v>
      </c>
      <c r="CY51" s="115">
        <v>0</v>
      </c>
      <c r="CZ51" s="115"/>
      <c r="DA51" s="115"/>
      <c r="DB51" s="115"/>
      <c r="DC51" s="115"/>
      <c r="DD51" s="115"/>
      <c r="DE51" s="115"/>
      <c r="DF51" s="115"/>
      <c r="DG51" s="44"/>
      <c r="DH51" s="44"/>
      <c r="DI51" s="14"/>
      <c r="DL51" s="68"/>
      <c r="DM51" s="68"/>
      <c r="DN51" s="44"/>
      <c r="DO51" s="44"/>
      <c r="DP51" s="44"/>
      <c r="DQ51" s="68"/>
      <c r="DR51" s="68"/>
      <c r="DS51" s="68"/>
      <c r="DT51" s="68"/>
      <c r="DU51" s="68"/>
      <c r="DV51" s="68"/>
      <c r="DW51" s="68"/>
      <c r="DX51" s="44"/>
      <c r="DY51" s="44"/>
      <c r="DZ51" s="44"/>
      <c r="EA51" s="44"/>
      <c r="EB51" s="65"/>
      <c r="EE51" s="44">
        <f>SUM(BK51:BN51)</f>
        <v>217</v>
      </c>
      <c r="EF51" s="44">
        <f>SUM(BO51:BR51)</f>
        <v>230</v>
      </c>
      <c r="EG51" s="44">
        <f>SUM(BS51:BV51)</f>
        <v>237</v>
      </c>
      <c r="EH51" s="44">
        <f t="shared" ref="EH51:EK51" si="137">+EG51*0.9</f>
        <v>213.3</v>
      </c>
      <c r="EI51" s="44">
        <f t="shared" si="137"/>
        <v>191.97000000000003</v>
      </c>
      <c r="EJ51" s="44">
        <f t="shared" si="137"/>
        <v>172.77300000000002</v>
      </c>
      <c r="EK51" s="44">
        <f t="shared" si="137"/>
        <v>155.49570000000003</v>
      </c>
      <c r="EL51" s="44">
        <f t="shared" si="14"/>
        <v>280</v>
      </c>
      <c r="EM51" s="44">
        <f t="shared" si="4"/>
        <v>211</v>
      </c>
      <c r="EN51" s="44">
        <f t="shared" si="5"/>
        <v>78</v>
      </c>
      <c r="EO51" s="44">
        <f t="shared" si="107"/>
        <v>0</v>
      </c>
      <c r="EP51" s="44">
        <f t="shared" si="7"/>
        <v>0</v>
      </c>
      <c r="FH51" s="44"/>
      <c r="FJ51" s="82">
        <f>+EM51*0.5</f>
        <v>105.5</v>
      </c>
    </row>
    <row r="52" spans="2:168" s="20" customFormat="1" collapsed="1">
      <c r="B52" s="111" t="s">
        <v>631</v>
      </c>
      <c r="C52" s="68" t="s">
        <v>605</v>
      </c>
      <c r="D52" s="68" t="s">
        <v>605</v>
      </c>
      <c r="E52" s="68" t="s">
        <v>605</v>
      </c>
      <c r="F52" s="68" t="s">
        <v>605</v>
      </c>
      <c r="G52" s="68" t="s">
        <v>605</v>
      </c>
      <c r="H52" s="68" t="s">
        <v>605</v>
      </c>
      <c r="I52" s="68" t="s">
        <v>605</v>
      </c>
      <c r="J52" s="68" t="s">
        <v>605</v>
      </c>
      <c r="K52" s="68" t="s">
        <v>605</v>
      </c>
      <c r="L52" s="68" t="s">
        <v>605</v>
      </c>
      <c r="M52" s="68" t="s">
        <v>605</v>
      </c>
      <c r="N52" s="68" t="s">
        <v>605</v>
      </c>
      <c r="O52" s="68" t="s">
        <v>605</v>
      </c>
      <c r="P52" s="68" t="s">
        <v>605</v>
      </c>
      <c r="Q52" s="68" t="s">
        <v>605</v>
      </c>
      <c r="R52" s="68" t="s">
        <v>605</v>
      </c>
      <c r="S52" s="68" t="s">
        <v>605</v>
      </c>
      <c r="T52" s="68" t="s">
        <v>605</v>
      </c>
      <c r="U52" s="68" t="s">
        <v>605</v>
      </c>
      <c r="V52" s="68" t="s">
        <v>605</v>
      </c>
      <c r="W52" s="44">
        <v>607</v>
      </c>
      <c r="X52" s="44">
        <v>807</v>
      </c>
      <c r="Y52" s="44">
        <v>824</v>
      </c>
      <c r="Z52" s="44">
        <v>812</v>
      </c>
      <c r="AA52" s="44">
        <v>585</v>
      </c>
      <c r="AB52" s="44">
        <f>239+105</f>
        <v>344</v>
      </c>
      <c r="AC52" s="44">
        <f>496+205</f>
        <v>701</v>
      </c>
      <c r="AD52" s="44">
        <f>587+223</f>
        <v>810</v>
      </c>
      <c r="AE52" s="44">
        <f>558+211</f>
        <v>769</v>
      </c>
      <c r="AF52" s="44">
        <f>504+224</f>
        <v>728</v>
      </c>
      <c r="AG52" s="44">
        <f>583+214</f>
        <v>797</v>
      </c>
      <c r="AH52" s="44">
        <f>719+289</f>
        <v>1008</v>
      </c>
      <c r="AI52" s="68">
        <f>265+146</f>
        <v>411</v>
      </c>
      <c r="AJ52" s="44">
        <f>306+95</f>
        <v>401</v>
      </c>
      <c r="AK52" s="44">
        <f>339+107</f>
        <v>446</v>
      </c>
      <c r="AL52" s="65">
        <v>472</v>
      </c>
      <c r="AM52" s="65">
        <v>491</v>
      </c>
      <c r="AN52" s="65">
        <v>471</v>
      </c>
      <c r="AO52" s="65">
        <v>537</v>
      </c>
      <c r="AP52" s="70">
        <v>540</v>
      </c>
      <c r="AQ52" s="65">
        <v>598</v>
      </c>
      <c r="AR52" s="65">
        <v>478</v>
      </c>
      <c r="AS52" s="65">
        <v>577</v>
      </c>
      <c r="AT52" s="65">
        <v>637</v>
      </c>
      <c r="AU52" s="44">
        <f>464+147</f>
        <v>611</v>
      </c>
      <c r="AV52" s="65">
        <f>415+174</f>
        <v>589</v>
      </c>
      <c r="AW52" s="44">
        <v>625</v>
      </c>
      <c r="AX52" s="65">
        <v>664</v>
      </c>
      <c r="AY52" s="65">
        <v>564</v>
      </c>
      <c r="AZ52" s="44">
        <v>548</v>
      </c>
      <c r="BA52" s="44">
        <v>602</v>
      </c>
      <c r="BB52" s="44">
        <f>467+202</f>
        <v>669</v>
      </c>
      <c r="BC52" s="65">
        <f>388+182</f>
        <v>570</v>
      </c>
      <c r="BD52" s="44">
        <v>604</v>
      </c>
      <c r="BE52" s="44">
        <v>578</v>
      </c>
      <c r="BF52" s="65">
        <v>622</v>
      </c>
      <c r="BG52" s="44">
        <v>591</v>
      </c>
      <c r="BH52" s="65">
        <v>622</v>
      </c>
      <c r="BI52" s="44">
        <v>643</v>
      </c>
      <c r="BJ52" s="65">
        <v>667</v>
      </c>
      <c r="BK52" s="65">
        <v>634</v>
      </c>
      <c r="BL52" s="44">
        <v>659</v>
      </c>
      <c r="BM52" s="44">
        <v>676</v>
      </c>
      <c r="BN52" s="44">
        <v>750</v>
      </c>
      <c r="BO52" s="44">
        <v>653</v>
      </c>
      <c r="BP52" s="44">
        <v>715</v>
      </c>
      <c r="BQ52" s="44">
        <v>752</v>
      </c>
      <c r="BR52" s="44">
        <v>798</v>
      </c>
      <c r="BS52" s="44">
        <v>624</v>
      </c>
      <c r="BT52" s="44">
        <v>762</v>
      </c>
      <c r="BU52" s="44">
        <f>+BQ52*0.7</f>
        <v>526.4</v>
      </c>
      <c r="BV52" s="44">
        <f>+BR52*0.6</f>
        <v>478.79999999999995</v>
      </c>
      <c r="BW52" s="44"/>
      <c r="BX52" s="44"/>
      <c r="BY52" s="44"/>
      <c r="BZ52" s="44"/>
      <c r="CA52" s="44"/>
      <c r="CB52" s="44"/>
      <c r="CC52" s="44"/>
      <c r="CD52" s="44"/>
      <c r="CE52" s="44"/>
      <c r="CF52" s="44"/>
      <c r="CG52" s="44"/>
      <c r="CH52" s="44"/>
      <c r="CI52" s="44"/>
      <c r="CJ52" s="44"/>
      <c r="CK52" s="44">
        <v>188</v>
      </c>
      <c r="CL52" s="44">
        <v>192</v>
      </c>
      <c r="CM52" s="44">
        <v>174</v>
      </c>
      <c r="CN52" s="115">
        <v>174</v>
      </c>
      <c r="CO52" s="115">
        <v>179</v>
      </c>
      <c r="CP52" s="115">
        <v>193</v>
      </c>
      <c r="CQ52" s="115">
        <v>156</v>
      </c>
      <c r="CR52" s="115">
        <v>139</v>
      </c>
      <c r="CS52" s="115">
        <v>0</v>
      </c>
      <c r="CT52" s="115">
        <v>0</v>
      </c>
      <c r="CU52" s="115">
        <v>0</v>
      </c>
      <c r="CV52" s="115">
        <v>0</v>
      </c>
      <c r="CW52" s="115">
        <v>0</v>
      </c>
      <c r="CX52" s="115">
        <v>0</v>
      </c>
      <c r="CY52" s="115">
        <v>0</v>
      </c>
      <c r="CZ52" s="115"/>
      <c r="DA52" s="115"/>
      <c r="DB52" s="115"/>
      <c r="DC52" s="115"/>
      <c r="DD52" s="115"/>
      <c r="DE52" s="115"/>
      <c r="DF52" s="115"/>
      <c r="DG52" s="44"/>
      <c r="DH52" s="44"/>
      <c r="DL52" s="68"/>
      <c r="DM52" s="68" t="s">
        <v>605</v>
      </c>
      <c r="DN52" s="68" t="s">
        <v>605</v>
      </c>
      <c r="DO52" s="68" t="s">
        <v>605</v>
      </c>
      <c r="DP52" s="68" t="s">
        <v>605</v>
      </c>
      <c r="DQ52" s="68" t="s">
        <v>605</v>
      </c>
      <c r="DR52" s="68" t="s">
        <v>605</v>
      </c>
      <c r="DS52" s="68" t="s">
        <v>605</v>
      </c>
      <c r="DT52" s="68" t="s">
        <v>605</v>
      </c>
      <c r="DU52" s="68">
        <f>SUM(W52:Z52)</f>
        <v>3050</v>
      </c>
      <c r="DV52" s="44">
        <f>SUM(AA52:AD52)</f>
        <v>2440</v>
      </c>
      <c r="DW52" s="68">
        <f>SUM(AE52:AH52)</f>
        <v>3302</v>
      </c>
      <c r="DX52" s="44">
        <v>1730</v>
      </c>
      <c r="DY52" s="44">
        <v>2039</v>
      </c>
      <c r="DZ52" s="44">
        <f>SUM(AQ52:AT52)</f>
        <v>2290</v>
      </c>
      <c r="EA52" s="68">
        <f>SUM(AU52:AX52)</f>
        <v>2489</v>
      </c>
      <c r="EB52" s="65">
        <f t="shared" si="129"/>
        <v>2383</v>
      </c>
      <c r="EC52" s="68">
        <f t="shared" ref="EC52:EC56" si="138">SUM(BC52:BF52)</f>
        <v>2374</v>
      </c>
      <c r="ED52" s="68">
        <f>SUM(BG52:BJ52)</f>
        <v>2523</v>
      </c>
      <c r="EE52" s="44">
        <f t="shared" si="132"/>
        <v>2719</v>
      </c>
      <c r="EF52" s="44">
        <f t="shared" si="133"/>
        <v>2918</v>
      </c>
      <c r="EG52" s="44">
        <f t="shared" si="134"/>
        <v>2391.1999999999998</v>
      </c>
      <c r="EH52" s="44">
        <f>EG52*0.4</f>
        <v>956.48</v>
      </c>
      <c r="EI52" s="44">
        <f>EH52*0.6</f>
        <v>573.88800000000003</v>
      </c>
      <c r="EJ52" s="44">
        <f>EI52*0.6</f>
        <v>344.33280000000002</v>
      </c>
      <c r="EK52" s="44">
        <f>+EJ52</f>
        <v>344.33280000000002</v>
      </c>
      <c r="EL52" s="44">
        <f t="shared" si="14"/>
        <v>720</v>
      </c>
      <c r="EM52" s="44">
        <f t="shared" si="4"/>
        <v>295</v>
      </c>
      <c r="EN52" s="44">
        <f t="shared" si="5"/>
        <v>0</v>
      </c>
      <c r="EO52" s="44">
        <f t="shared" si="107"/>
        <v>0</v>
      </c>
      <c r="EP52" s="44">
        <f t="shared" si="7"/>
        <v>0</v>
      </c>
      <c r="EQ52" s="44"/>
      <c r="ER52" s="44"/>
      <c r="ES52" s="44"/>
      <c r="ET52" s="44"/>
      <c r="EU52" s="44"/>
      <c r="EV52" s="44"/>
      <c r="EW52" s="44"/>
      <c r="EX52" s="44"/>
      <c r="EY52" s="44"/>
      <c r="EZ52" s="44"/>
      <c r="FA52" s="44"/>
      <c r="FB52" s="44"/>
      <c r="FC52" s="44"/>
      <c r="FD52" s="44"/>
      <c r="FE52" s="44"/>
      <c r="FF52" s="44"/>
      <c r="FG52" s="44"/>
      <c r="FH52" s="81">
        <f>EC52*0.4</f>
        <v>949.6</v>
      </c>
      <c r="FI52" s="44">
        <f>EH52*0.2</f>
        <v>191.29600000000002</v>
      </c>
      <c r="FJ52" s="82">
        <f>EM52*0.1</f>
        <v>29.5</v>
      </c>
      <c r="FK52" s="44"/>
      <c r="FL52" s="111" t="s">
        <v>632</v>
      </c>
    </row>
    <row r="53" spans="2:168">
      <c r="B53" s="4" t="s">
        <v>678</v>
      </c>
      <c r="C53" s="62"/>
      <c r="D53" s="62"/>
      <c r="E53" s="62"/>
      <c r="F53" s="62"/>
      <c r="G53" s="62" t="s">
        <v>605</v>
      </c>
      <c r="H53" s="62" t="s">
        <v>605</v>
      </c>
      <c r="I53" s="62" t="s">
        <v>605</v>
      </c>
      <c r="J53" s="62" t="s">
        <v>605</v>
      </c>
      <c r="K53" s="62" t="s">
        <v>605</v>
      </c>
      <c r="L53" s="62" t="s">
        <v>605</v>
      </c>
      <c r="M53" s="62" t="s">
        <v>605</v>
      </c>
      <c r="N53" s="62" t="s">
        <v>605</v>
      </c>
      <c r="O53" s="62" t="s">
        <v>605</v>
      </c>
      <c r="P53" s="62" t="s">
        <v>605</v>
      </c>
      <c r="Q53" s="62" t="s">
        <v>605</v>
      </c>
      <c r="R53" s="62" t="s">
        <v>605</v>
      </c>
      <c r="S53" s="62" t="s">
        <v>605</v>
      </c>
      <c r="T53" s="62" t="s">
        <v>605</v>
      </c>
      <c r="U53" s="62" t="s">
        <v>605</v>
      </c>
      <c r="V53" s="62" t="s">
        <v>605</v>
      </c>
      <c r="W53" s="44">
        <v>220</v>
      </c>
      <c r="X53" s="44">
        <v>209</v>
      </c>
      <c r="Y53" s="44">
        <v>256</v>
      </c>
      <c r="Z53" s="44">
        <v>243</v>
      </c>
      <c r="AA53" s="44">
        <v>239</v>
      </c>
      <c r="AB53" s="44">
        <f>45+58</f>
        <v>103</v>
      </c>
      <c r="AC53" s="44">
        <f>103+151</f>
        <v>254</v>
      </c>
      <c r="AD53" s="44">
        <f>110+156</f>
        <v>266</v>
      </c>
      <c r="AE53" s="44">
        <f>99+180</f>
        <v>279</v>
      </c>
      <c r="AF53" s="44">
        <f>91+200</f>
        <v>291</v>
      </c>
      <c r="AG53" s="44">
        <f>105+199</f>
        <v>304</v>
      </c>
      <c r="AH53" s="44">
        <f>123+230</f>
        <v>353</v>
      </c>
      <c r="AI53" s="68">
        <f>105+228</f>
        <v>333</v>
      </c>
      <c r="AJ53" s="44">
        <f>102+239</f>
        <v>341</v>
      </c>
      <c r="AK53" s="44">
        <f>110+228</f>
        <v>338</v>
      </c>
      <c r="AL53" s="65">
        <v>361</v>
      </c>
      <c r="AM53" s="65">
        <v>337</v>
      </c>
      <c r="AN53" s="69">
        <v>351</v>
      </c>
      <c r="AO53" s="103">
        <v>374</v>
      </c>
      <c r="AP53" s="70">
        <v>391</v>
      </c>
      <c r="AQ53" s="65">
        <v>360</v>
      </c>
      <c r="AR53" s="65">
        <v>389</v>
      </c>
      <c r="AS53" s="65">
        <v>402</v>
      </c>
      <c r="AT53" s="65">
        <v>453</v>
      </c>
      <c r="AU53" s="44">
        <f>135+270</f>
        <v>405</v>
      </c>
      <c r="AV53" s="65">
        <f>118+318</f>
        <v>436</v>
      </c>
      <c r="AW53" s="44">
        <v>450</v>
      </c>
      <c r="AX53" s="65">
        <v>454</v>
      </c>
      <c r="AY53" s="65">
        <v>407</v>
      </c>
      <c r="AZ53" s="44">
        <v>395</v>
      </c>
      <c r="BA53" s="44">
        <v>436</v>
      </c>
      <c r="BB53" s="44">
        <v>499</v>
      </c>
      <c r="BC53" s="65">
        <f>145+277</f>
        <v>422</v>
      </c>
      <c r="BD53" s="44">
        <v>449</v>
      </c>
      <c r="BE53" s="44">
        <v>416</v>
      </c>
      <c r="BF53" s="65">
        <v>462</v>
      </c>
      <c r="BG53" s="44">
        <v>392</v>
      </c>
      <c r="BH53" s="65">
        <v>291</v>
      </c>
      <c r="BI53" s="44">
        <v>277</v>
      </c>
      <c r="BJ53" s="65">
        <v>290</v>
      </c>
      <c r="BK53" s="65">
        <v>227</v>
      </c>
      <c r="BL53" s="44">
        <v>209</v>
      </c>
      <c r="BM53" s="44">
        <v>181</v>
      </c>
      <c r="BN53" s="44">
        <v>189</v>
      </c>
      <c r="BO53" s="44">
        <v>147</v>
      </c>
      <c r="BP53" s="44">
        <v>147</v>
      </c>
      <c r="BQ53" s="44">
        <v>140</v>
      </c>
      <c r="BR53" s="44">
        <v>155</v>
      </c>
      <c r="BS53" s="44">
        <v>119</v>
      </c>
      <c r="BT53" s="44">
        <v>128</v>
      </c>
      <c r="BU53" s="44">
        <f>+BQ53</f>
        <v>140</v>
      </c>
      <c r="BV53" s="44">
        <f>+BR53</f>
        <v>155</v>
      </c>
      <c r="BW53" s="44"/>
      <c r="BX53" s="44"/>
      <c r="BY53" s="44"/>
      <c r="BZ53" s="44"/>
      <c r="CA53" s="44"/>
      <c r="CB53" s="44"/>
      <c r="CC53" s="44"/>
      <c r="CD53" s="44"/>
      <c r="CE53" s="44"/>
      <c r="CF53" s="44"/>
      <c r="CG53" s="44"/>
      <c r="CH53" s="44"/>
      <c r="CI53" s="44"/>
      <c r="CJ53" s="44"/>
      <c r="CK53" s="44">
        <v>76</v>
      </c>
      <c r="CL53" s="44">
        <v>85</v>
      </c>
      <c r="CM53" s="44">
        <v>62</v>
      </c>
      <c r="CN53" s="115">
        <v>72</v>
      </c>
      <c r="CO53" s="115">
        <v>68</v>
      </c>
      <c r="CP53" s="115">
        <v>80</v>
      </c>
      <c r="CQ53" s="115">
        <v>61</v>
      </c>
      <c r="CR53" s="115">
        <v>65</v>
      </c>
      <c r="CS53" s="115">
        <v>0</v>
      </c>
      <c r="CT53" s="115">
        <v>0</v>
      </c>
      <c r="CU53" s="115">
        <v>0</v>
      </c>
      <c r="CV53" s="115">
        <v>0</v>
      </c>
      <c r="CW53" s="115">
        <v>0</v>
      </c>
      <c r="CX53" s="115">
        <v>0</v>
      </c>
      <c r="CY53" s="115">
        <v>0</v>
      </c>
      <c r="CZ53" s="115"/>
      <c r="DA53" s="115"/>
      <c r="DB53" s="115"/>
      <c r="DC53" s="115"/>
      <c r="DD53" s="115"/>
      <c r="DE53" s="115"/>
      <c r="DF53" s="115"/>
      <c r="DG53" s="44"/>
      <c r="DH53" s="44"/>
      <c r="DL53" s="68"/>
      <c r="DM53" s="68" t="s">
        <v>605</v>
      </c>
      <c r="DN53" s="68" t="s">
        <v>605</v>
      </c>
      <c r="DO53" s="68" t="s">
        <v>605</v>
      </c>
      <c r="DP53" s="68" t="s">
        <v>605</v>
      </c>
      <c r="DQ53" s="68" t="s">
        <v>605</v>
      </c>
      <c r="DR53" s="68" t="s">
        <v>605</v>
      </c>
      <c r="DS53" s="68" t="s">
        <v>605</v>
      </c>
      <c r="DT53" s="68" t="s">
        <v>605</v>
      </c>
      <c r="DU53" s="44">
        <v>928</v>
      </c>
      <c r="DV53" s="44">
        <v>862</v>
      </c>
      <c r="DW53" s="44">
        <v>1227</v>
      </c>
      <c r="DX53" s="44">
        <v>1372</v>
      </c>
      <c r="DY53" s="44">
        <v>1453</v>
      </c>
      <c r="DZ53" s="44">
        <f>SUM(AQ53:AT53)</f>
        <v>1604</v>
      </c>
      <c r="EA53" s="68">
        <f>SUM(AU53:AX53)</f>
        <v>1745</v>
      </c>
      <c r="EB53" s="65">
        <f t="shared" si="129"/>
        <v>1737</v>
      </c>
      <c r="EC53" s="68">
        <f t="shared" si="138"/>
        <v>1749</v>
      </c>
      <c r="ED53" s="44">
        <f>EC53*0.5</f>
        <v>874.5</v>
      </c>
      <c r="EE53" s="44">
        <f t="shared" si="132"/>
        <v>806</v>
      </c>
      <c r="EF53" s="44">
        <f t="shared" si="133"/>
        <v>589</v>
      </c>
      <c r="EG53" s="44">
        <f t="shared" si="134"/>
        <v>542</v>
      </c>
      <c r="EH53" s="44">
        <f t="shared" ref="EH53:EK53" si="139">EG53*0.8</f>
        <v>433.6</v>
      </c>
      <c r="EI53" s="44">
        <f t="shared" si="139"/>
        <v>346.88000000000005</v>
      </c>
      <c r="EJ53" s="44">
        <f t="shared" si="139"/>
        <v>277.50400000000008</v>
      </c>
      <c r="EK53" s="44">
        <f t="shared" si="139"/>
        <v>222.00320000000008</v>
      </c>
      <c r="EL53" s="44">
        <f t="shared" si="14"/>
        <v>282</v>
      </c>
      <c r="EM53" s="44">
        <f t="shared" si="4"/>
        <v>126</v>
      </c>
      <c r="EN53" s="44">
        <f t="shared" si="5"/>
        <v>0</v>
      </c>
      <c r="EO53" s="44">
        <f t="shared" si="107"/>
        <v>0</v>
      </c>
      <c r="EP53" s="44">
        <f t="shared" si="7"/>
        <v>0</v>
      </c>
      <c r="FH53" s="81">
        <f>EC53*0.5</f>
        <v>874.5</v>
      </c>
      <c r="FI53" s="44">
        <f>EH53*0.1</f>
        <v>43.360000000000007</v>
      </c>
      <c r="FJ53" s="82">
        <v>0</v>
      </c>
    </row>
    <row r="54" spans="2:168" collapsed="1">
      <c r="B54" s="4" t="s">
        <v>679</v>
      </c>
      <c r="C54" s="62"/>
      <c r="D54" s="62"/>
      <c r="E54" s="62"/>
      <c r="F54" s="62"/>
      <c r="G54" s="62" t="s">
        <v>605</v>
      </c>
      <c r="H54" s="62" t="s">
        <v>605</v>
      </c>
      <c r="I54" s="62" t="s">
        <v>605</v>
      </c>
      <c r="J54" s="62" t="s">
        <v>605</v>
      </c>
      <c r="K54" s="62" t="s">
        <v>605</v>
      </c>
      <c r="L54" s="62" t="s">
        <v>605</v>
      </c>
      <c r="M54" s="62" t="s">
        <v>605</v>
      </c>
      <c r="N54" s="62" t="s">
        <v>605</v>
      </c>
      <c r="O54" s="62" t="s">
        <v>605</v>
      </c>
      <c r="P54" s="62" t="s">
        <v>605</v>
      </c>
      <c r="Q54" s="62" t="s">
        <v>605</v>
      </c>
      <c r="R54" s="62" t="s">
        <v>605</v>
      </c>
      <c r="S54" s="62" t="s">
        <v>605</v>
      </c>
      <c r="T54" s="62" t="s">
        <v>605</v>
      </c>
      <c r="U54" s="62" t="s">
        <v>605</v>
      </c>
      <c r="V54" s="62" t="s">
        <v>605</v>
      </c>
      <c r="W54" s="44">
        <v>174</v>
      </c>
      <c r="X54" s="44">
        <v>191</v>
      </c>
      <c r="Y54" s="44">
        <v>197</v>
      </c>
      <c r="Z54" s="44">
        <v>195</v>
      </c>
      <c r="AA54" s="44">
        <v>190</v>
      </c>
      <c r="AB54" s="44">
        <f>77+21</f>
        <v>98</v>
      </c>
      <c r="AC54" s="44">
        <f>160+51</f>
        <v>211</v>
      </c>
      <c r="AD54" s="44">
        <f>176+58</f>
        <v>234</v>
      </c>
      <c r="AE54" s="44">
        <f>145+61</f>
        <v>206</v>
      </c>
      <c r="AF54" s="44">
        <f>115+67</f>
        <v>182</v>
      </c>
      <c r="AG54" s="44">
        <f>166+65</f>
        <v>231</v>
      </c>
      <c r="AH54" s="44">
        <f>207+78</f>
        <v>285</v>
      </c>
      <c r="AI54" s="68">
        <f>180+72</f>
        <v>252</v>
      </c>
      <c r="AJ54" s="44">
        <f>142+80</f>
        <v>222</v>
      </c>
      <c r="AK54" s="44">
        <f>160+71</f>
        <v>231</v>
      </c>
      <c r="AL54" s="65">
        <v>283</v>
      </c>
      <c r="AM54" s="65">
        <v>260</v>
      </c>
      <c r="AN54" s="69">
        <v>255</v>
      </c>
      <c r="AO54" s="70">
        <v>295</v>
      </c>
      <c r="AP54" s="70">
        <v>290</v>
      </c>
      <c r="AQ54" s="65">
        <v>303</v>
      </c>
      <c r="AR54" s="65">
        <v>269</v>
      </c>
      <c r="AS54" s="65">
        <v>294</v>
      </c>
      <c r="AT54" s="65">
        <v>324</v>
      </c>
      <c r="AU54" s="44">
        <f>222+91</f>
        <v>313</v>
      </c>
      <c r="AV54" s="65">
        <f>183+107</f>
        <v>290</v>
      </c>
      <c r="AW54" s="44">
        <v>298</v>
      </c>
      <c r="AX54" s="65">
        <v>313</v>
      </c>
      <c r="AY54" s="65">
        <v>289</v>
      </c>
      <c r="AZ54" s="44">
        <v>273</v>
      </c>
      <c r="BA54" s="44">
        <v>283</v>
      </c>
      <c r="BB54" s="44">
        <v>309</v>
      </c>
      <c r="BC54" s="65">
        <f>176+85</f>
        <v>261</v>
      </c>
      <c r="BD54" s="44">
        <v>260</v>
      </c>
      <c r="BE54" s="44">
        <v>237</v>
      </c>
      <c r="BF54" s="65">
        <v>255</v>
      </c>
      <c r="BG54" s="44">
        <v>225</v>
      </c>
      <c r="BH54" s="65">
        <v>230</v>
      </c>
      <c r="BI54" s="44">
        <v>213</v>
      </c>
      <c r="BJ54" s="65">
        <v>215</v>
      </c>
      <c r="BK54" s="65">
        <v>195</v>
      </c>
      <c r="BL54" s="44">
        <v>205</v>
      </c>
      <c r="BM54" s="44">
        <v>176</v>
      </c>
      <c r="BN54" s="44">
        <v>185</v>
      </c>
      <c r="BO54" s="44">
        <v>151</v>
      </c>
      <c r="BP54" s="44">
        <v>155</v>
      </c>
      <c r="BQ54" s="44">
        <v>131</v>
      </c>
      <c r="BR54" s="44">
        <v>125</v>
      </c>
      <c r="BS54" s="44"/>
      <c r="BT54" s="44">
        <v>57</v>
      </c>
      <c r="BU54" s="44">
        <f>+BT54</f>
        <v>57</v>
      </c>
      <c r="BV54" s="44">
        <f>+BU54</f>
        <v>57</v>
      </c>
      <c r="BW54" s="44"/>
      <c r="BX54" s="44"/>
      <c r="BY54" s="44"/>
      <c r="BZ54" s="44"/>
      <c r="CA54" s="44"/>
      <c r="CB54" s="44"/>
      <c r="CC54" s="44"/>
      <c r="CD54" s="44"/>
      <c r="CE54" s="44"/>
      <c r="CF54" s="44"/>
      <c r="CG54" s="44"/>
      <c r="CH54" s="44"/>
      <c r="CI54" s="44"/>
      <c r="CJ54" s="44"/>
      <c r="CK54" s="44">
        <v>0</v>
      </c>
      <c r="CL54" s="44">
        <v>0</v>
      </c>
      <c r="CM54" s="44">
        <v>0</v>
      </c>
      <c r="CN54" s="115">
        <v>0</v>
      </c>
      <c r="CO54" s="115">
        <v>0</v>
      </c>
      <c r="CP54" s="115">
        <v>0</v>
      </c>
      <c r="CQ54" s="115">
        <v>0</v>
      </c>
      <c r="CR54" s="115">
        <v>0</v>
      </c>
      <c r="CS54" s="115">
        <v>0</v>
      </c>
      <c r="CT54" s="115">
        <v>0</v>
      </c>
      <c r="CU54" s="115">
        <v>0</v>
      </c>
      <c r="CV54" s="115">
        <v>0</v>
      </c>
      <c r="CW54" s="115">
        <v>0</v>
      </c>
      <c r="CX54" s="115">
        <v>0</v>
      </c>
      <c r="CY54" s="115">
        <v>0</v>
      </c>
      <c r="CZ54" s="115"/>
      <c r="DA54" s="115"/>
      <c r="DB54" s="115"/>
      <c r="DC54" s="115"/>
      <c r="DD54" s="115"/>
      <c r="DE54" s="115"/>
      <c r="DF54" s="115"/>
      <c r="DG54" s="44"/>
      <c r="DH54" s="44"/>
      <c r="DL54" s="68"/>
      <c r="DM54" s="68" t="s">
        <v>605</v>
      </c>
      <c r="DN54" s="68" t="s">
        <v>605</v>
      </c>
      <c r="DO54" s="68" t="s">
        <v>605</v>
      </c>
      <c r="DP54" s="68" t="s">
        <v>605</v>
      </c>
      <c r="DQ54" s="68" t="s">
        <v>605</v>
      </c>
      <c r="DR54" s="68" t="s">
        <v>605</v>
      </c>
      <c r="DS54" s="68" t="s">
        <v>605</v>
      </c>
      <c r="DT54" s="68" t="s">
        <v>605</v>
      </c>
      <c r="DU54" s="44">
        <v>757</v>
      </c>
      <c r="DV54" s="44">
        <v>544</v>
      </c>
      <c r="DW54" s="44">
        <v>904</v>
      </c>
      <c r="DX54" s="44">
        <v>988</v>
      </c>
      <c r="DY54" s="44">
        <v>1100</v>
      </c>
      <c r="DZ54" s="44">
        <f>SUM(AQ54:AT54)</f>
        <v>1190</v>
      </c>
      <c r="EA54" s="44">
        <f>SUM(AU54:AX54)</f>
        <v>1214</v>
      </c>
      <c r="EB54" s="65">
        <f t="shared" si="129"/>
        <v>1154</v>
      </c>
      <c r="EC54" s="68">
        <f t="shared" si="138"/>
        <v>1013</v>
      </c>
      <c r="ED54" s="44">
        <f>SUM(BG54:BJ54)</f>
        <v>883</v>
      </c>
      <c r="EE54" s="44">
        <f t="shared" si="132"/>
        <v>761</v>
      </c>
      <c r="EF54" s="44">
        <f t="shared" si="133"/>
        <v>562</v>
      </c>
      <c r="EG54" s="44">
        <f t="shared" si="134"/>
        <v>171</v>
      </c>
      <c r="EH54" s="44">
        <f>EG54*0.3</f>
        <v>51.3</v>
      </c>
      <c r="EI54" s="44">
        <f>EH54*0.3</f>
        <v>15.389999999999999</v>
      </c>
      <c r="EJ54" s="44">
        <f>EI54*0.3</f>
        <v>4.6169999999999991</v>
      </c>
      <c r="EK54" s="44">
        <f>EJ54*0.3</f>
        <v>1.3850999999999998</v>
      </c>
      <c r="EL54" s="44">
        <f t="shared" si="14"/>
        <v>0</v>
      </c>
      <c r="EM54" s="44">
        <f t="shared" si="4"/>
        <v>0</v>
      </c>
      <c r="EN54" s="44">
        <f t="shared" si="5"/>
        <v>0</v>
      </c>
      <c r="EO54" s="44">
        <f t="shared" si="107"/>
        <v>0</v>
      </c>
      <c r="EP54" s="44">
        <f t="shared" si="7"/>
        <v>0</v>
      </c>
      <c r="FH54" s="81">
        <f>EC54*0.3</f>
        <v>303.89999999999998</v>
      </c>
      <c r="FI54" s="44">
        <f t="shared" ref="FI54" si="140">EH54*0.1</f>
        <v>5.13</v>
      </c>
      <c r="FJ54" s="82">
        <v>0</v>
      </c>
      <c r="FL54" s="4" t="s">
        <v>680</v>
      </c>
    </row>
    <row r="55" spans="2:168" collapsed="1">
      <c r="B55" s="14" t="s">
        <v>684</v>
      </c>
      <c r="C55" s="37">
        <v>394</v>
      </c>
      <c r="D55" s="37">
        <v>323</v>
      </c>
      <c r="E55" s="37">
        <v>395</v>
      </c>
      <c r="F55" s="44">
        <f>DP55-E55-D55-C55</f>
        <v>395</v>
      </c>
      <c r="G55" s="37">
        <f>373+79</f>
        <v>452</v>
      </c>
      <c r="H55" s="37">
        <f>305+85</f>
        <v>390</v>
      </c>
      <c r="I55" s="37">
        <f>394+86</f>
        <v>480</v>
      </c>
      <c r="J55" s="37">
        <f>379+102</f>
        <v>481</v>
      </c>
      <c r="K55" s="37">
        <f>425+92</f>
        <v>517</v>
      </c>
      <c r="L55" s="37">
        <f>353+100</f>
        <v>453</v>
      </c>
      <c r="M55" s="37">
        <f>416+104</f>
        <v>520</v>
      </c>
      <c r="N55" s="37">
        <f>405+102</f>
        <v>507</v>
      </c>
      <c r="O55" s="37">
        <f>419+95</f>
        <v>514</v>
      </c>
      <c r="P55" s="37">
        <f>383+101</f>
        <v>484</v>
      </c>
      <c r="Q55" s="37">
        <f>459+96</f>
        <v>555</v>
      </c>
      <c r="R55" s="37">
        <f>485+102</f>
        <v>587</v>
      </c>
      <c r="S55" s="37">
        <f>503+105</f>
        <v>608</v>
      </c>
      <c r="T55" s="37">
        <f>410+105</f>
        <v>515</v>
      </c>
      <c r="U55" s="37">
        <f>490+108</f>
        <v>598</v>
      </c>
      <c r="V55" s="37">
        <f>526+120</f>
        <v>646</v>
      </c>
      <c r="W55" s="44">
        <f>630+110</f>
        <v>740</v>
      </c>
      <c r="X55" s="44">
        <f>456+118</f>
        <v>574</v>
      </c>
      <c r="Y55" s="44">
        <f>524+129</f>
        <v>653</v>
      </c>
      <c r="Z55" s="44">
        <f>636+139</f>
        <v>775</v>
      </c>
      <c r="AA55" s="44">
        <f>620+138</f>
        <v>758</v>
      </c>
      <c r="AB55" s="44">
        <f>480+150</f>
        <v>630</v>
      </c>
      <c r="AC55" s="44">
        <f>676+155</f>
        <v>831</v>
      </c>
      <c r="AD55" s="44">
        <f>726+172</f>
        <v>898</v>
      </c>
      <c r="AE55" s="44">
        <f>644+166</f>
        <v>810</v>
      </c>
      <c r="AF55" s="44">
        <f>608+181</f>
        <v>789</v>
      </c>
      <c r="AG55" s="44">
        <f>637+165</f>
        <v>802</v>
      </c>
      <c r="AH55" s="44">
        <f>768+191</f>
        <v>959</v>
      </c>
      <c r="AI55" s="68">
        <f>661+184</f>
        <v>845</v>
      </c>
      <c r="AJ55" s="44">
        <f>613+183</f>
        <v>796</v>
      </c>
      <c r="AK55" s="44">
        <f>647+160</f>
        <v>807</v>
      </c>
      <c r="AL55" s="65">
        <v>808</v>
      </c>
      <c r="AM55" s="65">
        <v>779</v>
      </c>
      <c r="AN55" s="69">
        <v>706</v>
      </c>
      <c r="AO55" s="103">
        <v>459</v>
      </c>
      <c r="AP55" s="70">
        <v>166</v>
      </c>
      <c r="AQ55" s="65">
        <v>146</v>
      </c>
      <c r="AR55" s="65">
        <v>127</v>
      </c>
      <c r="AS55" s="65">
        <v>124</v>
      </c>
      <c r="AT55" s="65">
        <v>134</v>
      </c>
      <c r="AU55" s="44">
        <f>26+96</f>
        <v>122</v>
      </c>
      <c r="AV55" s="65">
        <f>42+109</f>
        <v>151</v>
      </c>
      <c r="AW55" s="44">
        <v>135</v>
      </c>
      <c r="AX55" s="65">
        <v>131</v>
      </c>
      <c r="AY55" s="65">
        <v>115</v>
      </c>
      <c r="AZ55" s="44">
        <v>125</v>
      </c>
      <c r="BA55" s="44">
        <v>128</v>
      </c>
      <c r="BB55" s="44">
        <v>148</v>
      </c>
      <c r="BC55" s="65">
        <f>17+103</f>
        <v>120</v>
      </c>
      <c r="BD55" s="44">
        <v>144</v>
      </c>
      <c r="BE55" s="44">
        <v>126</v>
      </c>
      <c r="BF55" s="65">
        <v>142</v>
      </c>
      <c r="BG55" s="44">
        <v>135</v>
      </c>
      <c r="BH55" s="65">
        <v>146</v>
      </c>
      <c r="BI55" s="44">
        <v>139</v>
      </c>
      <c r="BJ55" s="65">
        <v>153</v>
      </c>
      <c r="BK55" s="65">
        <v>130</v>
      </c>
      <c r="BL55" s="44">
        <v>139</v>
      </c>
      <c r="BM55" s="44">
        <v>129</v>
      </c>
      <c r="BN55" s="44">
        <v>143</v>
      </c>
      <c r="BO55" s="44">
        <v>116</v>
      </c>
      <c r="BP55" s="44">
        <v>109</v>
      </c>
      <c r="BQ55" s="44">
        <v>116</v>
      </c>
      <c r="BR55" s="44">
        <v>128</v>
      </c>
      <c r="BS55" s="44">
        <v>101</v>
      </c>
      <c r="BT55" s="44">
        <v>104</v>
      </c>
      <c r="BU55" s="44">
        <f t="shared" ref="BU55:BV57" si="141">+BQ55</f>
        <v>116</v>
      </c>
      <c r="BV55" s="44">
        <f t="shared" si="141"/>
        <v>128</v>
      </c>
      <c r="BW55" s="44"/>
      <c r="BX55" s="44"/>
      <c r="BY55" s="44"/>
      <c r="BZ55" s="44"/>
      <c r="CA55" s="44"/>
      <c r="CB55" s="44"/>
      <c r="CC55" s="44"/>
      <c r="CD55" s="44"/>
      <c r="CE55" s="44"/>
      <c r="CF55" s="44"/>
      <c r="CG55" s="44"/>
      <c r="CH55" s="44"/>
      <c r="CI55" s="44"/>
      <c r="CJ55" s="44"/>
      <c r="CK55" s="44">
        <v>72</v>
      </c>
      <c r="CL55" s="44">
        <v>75</v>
      </c>
      <c r="CM55" s="44">
        <v>69</v>
      </c>
      <c r="CN55" s="115">
        <v>73</v>
      </c>
      <c r="CO55" s="115">
        <v>74</v>
      </c>
      <c r="CP55" s="115">
        <v>78</v>
      </c>
      <c r="CQ55" s="115">
        <v>78</v>
      </c>
      <c r="CR55" s="115">
        <v>79</v>
      </c>
      <c r="CS55" s="115">
        <v>0</v>
      </c>
      <c r="CT55" s="115">
        <v>0</v>
      </c>
      <c r="CU55" s="115">
        <v>0</v>
      </c>
      <c r="CV55" s="115">
        <v>0</v>
      </c>
      <c r="CW55" s="115">
        <v>0</v>
      </c>
      <c r="CX55" s="115">
        <v>0</v>
      </c>
      <c r="CY55" s="115">
        <v>0</v>
      </c>
      <c r="CZ55" s="115"/>
      <c r="DA55" s="115"/>
      <c r="DB55" s="115"/>
      <c r="DC55" s="115"/>
      <c r="DD55" s="115"/>
      <c r="DE55" s="115"/>
      <c r="DF55" s="115"/>
      <c r="DG55" s="44"/>
      <c r="DH55" s="44"/>
      <c r="DL55" s="68"/>
      <c r="DM55" s="68">
        <v>718</v>
      </c>
      <c r="DN55" s="44">
        <v>1037</v>
      </c>
      <c r="DO55" s="44">
        <v>1337</v>
      </c>
      <c r="DP55" s="44">
        <f>1220+287</f>
        <v>1507</v>
      </c>
      <c r="DQ55" s="44">
        <v>1803</v>
      </c>
      <c r="DR55" s="44">
        <v>1997</v>
      </c>
      <c r="DS55" s="44">
        <v>2140</v>
      </c>
      <c r="DT55" s="44">
        <v>2365</v>
      </c>
      <c r="DU55" s="44">
        <v>2742</v>
      </c>
      <c r="DV55" s="44">
        <v>3117</v>
      </c>
      <c r="DW55" s="44">
        <v>3361</v>
      </c>
      <c r="DX55" s="44">
        <v>3256</v>
      </c>
      <c r="DY55" s="44">
        <v>2110</v>
      </c>
      <c r="DZ55" s="44">
        <f>SUM(AQ55:AT55)</f>
        <v>531</v>
      </c>
      <c r="EA55" s="44">
        <f>SUM(AU55:AX55)</f>
        <v>539</v>
      </c>
      <c r="EB55" s="65">
        <f t="shared" si="129"/>
        <v>516</v>
      </c>
      <c r="EC55" s="44">
        <f t="shared" si="138"/>
        <v>532</v>
      </c>
      <c r="ED55" s="44">
        <f>SUM(BG55:BJ55)</f>
        <v>573</v>
      </c>
      <c r="EE55" s="44">
        <f t="shared" si="132"/>
        <v>541</v>
      </c>
      <c r="EF55" s="44">
        <f t="shared" si="133"/>
        <v>469</v>
      </c>
      <c r="EG55" s="44">
        <f t="shared" si="134"/>
        <v>449</v>
      </c>
      <c r="EH55" s="44">
        <f t="shared" ref="EH55:EK55" si="142">EG55*0.9</f>
        <v>404.1</v>
      </c>
      <c r="EI55" s="44">
        <f t="shared" si="142"/>
        <v>363.69000000000005</v>
      </c>
      <c r="EJ55" s="44">
        <f t="shared" si="142"/>
        <v>327.32100000000008</v>
      </c>
      <c r="EK55" s="44">
        <f t="shared" si="142"/>
        <v>294.58890000000008</v>
      </c>
      <c r="EL55" s="44">
        <f t="shared" si="14"/>
        <v>294</v>
      </c>
      <c r="EM55" s="44">
        <f t="shared" si="4"/>
        <v>157</v>
      </c>
      <c r="EN55" s="44">
        <f t="shared" si="5"/>
        <v>0</v>
      </c>
      <c r="EO55" s="44">
        <f t="shared" si="107"/>
        <v>0</v>
      </c>
      <c r="EP55" s="44">
        <f t="shared" si="7"/>
        <v>0</v>
      </c>
      <c r="FH55" s="81">
        <f>EC55*0.2</f>
        <v>106.4</v>
      </c>
      <c r="FI55" s="44">
        <f>EH55*0.1</f>
        <v>40.410000000000004</v>
      </c>
      <c r="FJ55" s="82">
        <f>EM55*0.1</f>
        <v>15.700000000000001</v>
      </c>
      <c r="FL55" s="14" t="s">
        <v>685</v>
      </c>
    </row>
    <row r="56" spans="2:168">
      <c r="B56" s="14" t="s">
        <v>686</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8" t="s">
        <v>605</v>
      </c>
      <c r="X56" s="68" t="s">
        <v>605</v>
      </c>
      <c r="Y56" s="68" t="s">
        <v>605</v>
      </c>
      <c r="Z56" s="68" t="s">
        <v>605</v>
      </c>
      <c r="AA56" s="68" t="s">
        <v>605</v>
      </c>
      <c r="AB56" s="68" t="s">
        <v>605</v>
      </c>
      <c r="AC56" s="68" t="s">
        <v>605</v>
      </c>
      <c r="AD56" s="68" t="s">
        <v>605</v>
      </c>
      <c r="AE56" s="68" t="s">
        <v>605</v>
      </c>
      <c r="AF56" s="68" t="s">
        <v>605</v>
      </c>
      <c r="AG56" s="68" t="s">
        <v>605</v>
      </c>
      <c r="AH56" s="68" t="s">
        <v>605</v>
      </c>
      <c r="AI56" s="68" t="s">
        <v>605</v>
      </c>
      <c r="AJ56" s="68" t="s">
        <v>605</v>
      </c>
      <c r="AK56" s="68" t="s">
        <v>605</v>
      </c>
      <c r="AL56" s="70" t="s">
        <v>605</v>
      </c>
      <c r="AM56" s="70" t="s">
        <v>605</v>
      </c>
      <c r="AN56" s="103" t="s">
        <v>605</v>
      </c>
      <c r="AO56" s="103" t="s">
        <v>605</v>
      </c>
      <c r="AP56" s="70" t="s">
        <v>605</v>
      </c>
      <c r="AQ56" s="75" t="s">
        <v>687</v>
      </c>
      <c r="AR56" s="75" t="s">
        <v>688</v>
      </c>
      <c r="AS56" s="75" t="s">
        <v>689</v>
      </c>
      <c r="AT56" s="75" t="s">
        <v>690</v>
      </c>
      <c r="AU56" s="73" t="s">
        <v>691</v>
      </c>
      <c r="AV56" s="75" t="s">
        <v>692</v>
      </c>
      <c r="AW56" s="73" t="s">
        <v>693</v>
      </c>
      <c r="AX56" s="75" t="s">
        <v>694</v>
      </c>
      <c r="AY56" s="75" t="s">
        <v>695</v>
      </c>
      <c r="AZ56" s="73" t="s">
        <v>696</v>
      </c>
      <c r="BA56" s="73" t="s">
        <v>697</v>
      </c>
      <c r="BB56" s="44">
        <v>184</v>
      </c>
      <c r="BC56" s="65">
        <f>178+86</f>
        <v>264</v>
      </c>
      <c r="BD56" s="44">
        <v>230</v>
      </c>
      <c r="BE56" s="44">
        <v>255</v>
      </c>
      <c r="BF56" s="65">
        <v>203</v>
      </c>
      <c r="BG56" s="44">
        <v>179</v>
      </c>
      <c r="BH56" s="65">
        <v>162</v>
      </c>
      <c r="BI56" s="44">
        <v>149</v>
      </c>
      <c r="BJ56" s="65">
        <v>146</v>
      </c>
      <c r="BK56" s="65">
        <v>128</v>
      </c>
      <c r="BL56" s="68">
        <v>141</v>
      </c>
      <c r="BM56" s="68">
        <v>109</v>
      </c>
      <c r="BN56" s="68">
        <v>106</v>
      </c>
      <c r="BO56" s="68">
        <v>87</v>
      </c>
      <c r="BP56" s="68">
        <v>102</v>
      </c>
      <c r="BQ56" s="68">
        <v>104</v>
      </c>
      <c r="BR56" s="68">
        <v>102</v>
      </c>
      <c r="BS56" s="44">
        <v>74</v>
      </c>
      <c r="BT56" s="44">
        <v>75</v>
      </c>
      <c r="BU56" s="44">
        <f t="shared" si="141"/>
        <v>104</v>
      </c>
      <c r="BV56" s="44">
        <f t="shared" si="141"/>
        <v>102</v>
      </c>
      <c r="BW56" s="44"/>
      <c r="BX56" s="44"/>
      <c r="BY56" s="44"/>
      <c r="BZ56" s="44"/>
      <c r="CA56" s="44"/>
      <c r="CB56" s="44"/>
      <c r="CC56" s="44"/>
      <c r="CD56" s="44"/>
      <c r="CE56" s="44"/>
      <c r="CF56" s="44"/>
      <c r="CG56" s="44"/>
      <c r="CH56" s="44"/>
      <c r="CI56" s="44"/>
      <c r="CJ56" s="44"/>
      <c r="CK56" s="44">
        <v>56</v>
      </c>
      <c r="CL56" s="44">
        <v>54</v>
      </c>
      <c r="CM56" s="44">
        <v>0</v>
      </c>
      <c r="CN56" s="115">
        <v>0</v>
      </c>
      <c r="CO56" s="115">
        <v>49</v>
      </c>
      <c r="CP56" s="115">
        <v>47</v>
      </c>
      <c r="CQ56" s="115">
        <v>0</v>
      </c>
      <c r="CR56" s="115">
        <v>0</v>
      </c>
      <c r="CS56" s="115">
        <v>0</v>
      </c>
      <c r="CT56" s="115">
        <v>0</v>
      </c>
      <c r="CU56" s="115">
        <v>0</v>
      </c>
      <c r="CV56" s="115">
        <v>0</v>
      </c>
      <c r="CW56" s="115">
        <v>0</v>
      </c>
      <c r="CX56" s="115">
        <v>0</v>
      </c>
      <c r="CY56" s="115">
        <v>0</v>
      </c>
      <c r="CZ56" s="115"/>
      <c r="DA56" s="115"/>
      <c r="DB56" s="115"/>
      <c r="DC56" s="115"/>
      <c r="DD56" s="115"/>
      <c r="DE56" s="115"/>
      <c r="DF56" s="115"/>
      <c r="DG56" s="44"/>
      <c r="DH56" s="44"/>
      <c r="DL56" s="68"/>
      <c r="DM56" s="68" t="s">
        <v>605</v>
      </c>
      <c r="DN56" s="68" t="s">
        <v>605</v>
      </c>
      <c r="DO56" s="68" t="s">
        <v>605</v>
      </c>
      <c r="DP56" s="68" t="s">
        <v>605</v>
      </c>
      <c r="DQ56" s="68" t="s">
        <v>605</v>
      </c>
      <c r="DR56" s="68" t="s">
        <v>605</v>
      </c>
      <c r="DS56" s="68" t="s">
        <v>605</v>
      </c>
      <c r="DT56" s="68" t="s">
        <v>605</v>
      </c>
      <c r="DU56" s="68" t="s">
        <v>605</v>
      </c>
      <c r="DV56" s="68" t="s">
        <v>605</v>
      </c>
      <c r="DW56" s="68" t="s">
        <v>605</v>
      </c>
      <c r="DX56" s="68" t="s">
        <v>605</v>
      </c>
      <c r="DY56" s="73" t="s">
        <v>698</v>
      </c>
      <c r="DZ56" s="73" t="s">
        <v>699</v>
      </c>
      <c r="EA56" s="73" t="s">
        <v>700</v>
      </c>
      <c r="EB56" s="75">
        <f t="shared" si="129"/>
        <v>184</v>
      </c>
      <c r="EC56" s="68">
        <f t="shared" si="138"/>
        <v>952</v>
      </c>
      <c r="ED56" s="44">
        <f>SUM(BG56:BJ56)</f>
        <v>636</v>
      </c>
      <c r="EE56" s="44">
        <f t="shared" si="132"/>
        <v>484</v>
      </c>
      <c r="EF56" s="44">
        <f t="shared" si="133"/>
        <v>395</v>
      </c>
      <c r="EG56" s="44">
        <f t="shared" si="134"/>
        <v>355</v>
      </c>
      <c r="EH56" s="44">
        <f t="shared" ref="EH56:EK56" si="143">EG56*0.7</f>
        <v>248.49999999999997</v>
      </c>
      <c r="EI56" s="44">
        <f t="shared" si="143"/>
        <v>173.94999999999996</v>
      </c>
      <c r="EJ56" s="44">
        <f t="shared" si="143"/>
        <v>121.76499999999996</v>
      </c>
      <c r="EK56" s="44">
        <f t="shared" si="143"/>
        <v>85.235499999999959</v>
      </c>
      <c r="EL56" s="44">
        <f t="shared" si="14"/>
        <v>96</v>
      </c>
      <c r="EM56" s="44">
        <f t="shared" si="4"/>
        <v>0</v>
      </c>
      <c r="EN56" s="44">
        <f t="shared" si="5"/>
        <v>0</v>
      </c>
      <c r="EO56" s="44">
        <f t="shared" si="107"/>
        <v>0</v>
      </c>
      <c r="EP56" s="44">
        <f t="shared" si="7"/>
        <v>0</v>
      </c>
      <c r="FH56" s="81">
        <f>EC56*0.6</f>
        <v>571.19999999999993</v>
      </c>
      <c r="FI56" s="44">
        <f>EH56*0.1</f>
        <v>24.849999999999998</v>
      </c>
      <c r="FJ56" s="82">
        <v>0</v>
      </c>
    </row>
    <row r="57" spans="2:168">
      <c r="B57" s="4" t="s">
        <v>703</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v>0</v>
      </c>
      <c r="X57" s="62">
        <v>4</v>
      </c>
      <c r="Y57" s="62">
        <v>0</v>
      </c>
      <c r="Z57" s="62">
        <v>0</v>
      </c>
      <c r="AA57" s="37">
        <f>25+7</f>
        <v>32</v>
      </c>
      <c r="AB57" s="37">
        <f>0+9</f>
        <v>9</v>
      </c>
      <c r="AC57" s="37">
        <f>4+11</f>
        <v>15</v>
      </c>
      <c r="AD57" s="37">
        <f>14+14</f>
        <v>28</v>
      </c>
      <c r="AE57" s="44">
        <f>16+14</f>
        <v>30</v>
      </c>
      <c r="AF57" s="44">
        <f>21+17</f>
        <v>38</v>
      </c>
      <c r="AG57" s="44">
        <f>29+18</f>
        <v>47</v>
      </c>
      <c r="AH57" s="44">
        <f>33+21</f>
        <v>54</v>
      </c>
      <c r="AI57" s="68">
        <f>32+21</f>
        <v>53</v>
      </c>
      <c r="AJ57" s="44">
        <f>28+22</f>
        <v>50</v>
      </c>
      <c r="AK57" s="37">
        <f>44+23</f>
        <v>67</v>
      </c>
      <c r="AL57" s="65">
        <v>63</v>
      </c>
      <c r="AM57" s="65">
        <v>66</v>
      </c>
      <c r="AN57" s="69">
        <v>67</v>
      </c>
      <c r="AO57" s="69">
        <v>72</v>
      </c>
      <c r="AP57" s="103">
        <v>81</v>
      </c>
      <c r="AQ57" s="65">
        <v>83</v>
      </c>
      <c r="AR57" s="65">
        <v>66</v>
      </c>
      <c r="AS57" s="65">
        <v>81</v>
      </c>
      <c r="AT57" s="65">
        <v>85</v>
      </c>
      <c r="AU57" s="44">
        <f>49+28</f>
        <v>77</v>
      </c>
      <c r="AV57" s="65">
        <v>80</v>
      </c>
      <c r="AW57" s="44">
        <v>83</v>
      </c>
      <c r="AX57" s="65">
        <v>81</v>
      </c>
      <c r="AY57" s="65">
        <v>79</v>
      </c>
      <c r="AZ57" s="44">
        <v>75</v>
      </c>
      <c r="BA57" s="44">
        <v>81</v>
      </c>
      <c r="BB57" s="44"/>
      <c r="BC57" s="65"/>
      <c r="BD57" s="44"/>
      <c r="BE57" s="44">
        <v>75</v>
      </c>
      <c r="BF57" s="65">
        <v>84</v>
      </c>
      <c r="BG57" s="44"/>
      <c r="BH57" s="65">
        <v>84</v>
      </c>
      <c r="BI57" s="44">
        <v>86</v>
      </c>
      <c r="BJ57" s="65">
        <v>91</v>
      </c>
      <c r="BK57" s="65">
        <v>85</v>
      </c>
      <c r="BL57" s="44">
        <v>89</v>
      </c>
      <c r="BM57" s="44">
        <v>92</v>
      </c>
      <c r="BN57" s="44">
        <v>102</v>
      </c>
      <c r="BO57" s="44">
        <v>86</v>
      </c>
      <c r="BP57" s="44">
        <v>94</v>
      </c>
      <c r="BQ57" s="44">
        <v>83</v>
      </c>
      <c r="BR57" s="44">
        <v>96</v>
      </c>
      <c r="BS57" s="44">
        <v>87</v>
      </c>
      <c r="BT57" s="44">
        <v>98</v>
      </c>
      <c r="BU57" s="44">
        <f t="shared" si="141"/>
        <v>83</v>
      </c>
      <c r="BV57" s="44">
        <f t="shared" si="141"/>
        <v>96</v>
      </c>
      <c r="BW57" s="44"/>
      <c r="BX57" s="44"/>
      <c r="BY57" s="44"/>
      <c r="BZ57" s="44"/>
      <c r="CA57" s="44"/>
      <c r="CB57" s="44"/>
      <c r="CC57" s="44"/>
      <c r="CD57" s="44"/>
      <c r="CE57" s="44"/>
      <c r="CF57" s="44"/>
      <c r="CG57" s="44"/>
      <c r="CH57" s="44"/>
      <c r="CI57" s="44"/>
      <c r="CJ57" s="44"/>
      <c r="CK57" s="44">
        <v>0</v>
      </c>
      <c r="CL57" s="44">
        <v>0</v>
      </c>
      <c r="CM57" s="44">
        <v>0</v>
      </c>
      <c r="CN57" s="115">
        <v>0</v>
      </c>
      <c r="CO57" s="115">
        <v>0</v>
      </c>
      <c r="CP57" s="115">
        <v>0</v>
      </c>
      <c r="CQ57" s="115">
        <v>0</v>
      </c>
      <c r="CR57" s="115">
        <v>0</v>
      </c>
      <c r="CS57" s="115">
        <v>0</v>
      </c>
      <c r="CT57" s="115">
        <v>0</v>
      </c>
      <c r="CU57" s="115">
        <v>0</v>
      </c>
      <c r="CV57" s="115">
        <v>0</v>
      </c>
      <c r="CW57" s="115">
        <v>0</v>
      </c>
      <c r="CX57" s="115">
        <v>0</v>
      </c>
      <c r="CY57" s="115">
        <v>0</v>
      </c>
      <c r="CZ57" s="115"/>
      <c r="DA57" s="115"/>
      <c r="DB57" s="115"/>
      <c r="DC57" s="115"/>
      <c r="DD57" s="115"/>
      <c r="DE57" s="115"/>
      <c r="DF57" s="115"/>
      <c r="DG57" s="44"/>
      <c r="DH57" s="44"/>
      <c r="DL57" s="68"/>
      <c r="DM57" s="68" t="s">
        <v>605</v>
      </c>
      <c r="DN57" s="68" t="s">
        <v>605</v>
      </c>
      <c r="DO57" s="68" t="s">
        <v>605</v>
      </c>
      <c r="DP57" s="68" t="s">
        <v>605</v>
      </c>
      <c r="DQ57" s="68" t="s">
        <v>605</v>
      </c>
      <c r="DR57" s="68" t="s">
        <v>605</v>
      </c>
      <c r="DS57" s="68" t="s">
        <v>605</v>
      </c>
      <c r="DT57" s="68" t="s">
        <v>605</v>
      </c>
      <c r="DU57" s="68">
        <f>SUM(W57:Z57)</f>
        <v>4</v>
      </c>
      <c r="DV57" s="68">
        <f>SUM(AA57:AD57)</f>
        <v>84</v>
      </c>
      <c r="DW57" s="68">
        <f>SUM(AE57:AH57)</f>
        <v>169</v>
      </c>
      <c r="DX57" s="44">
        <v>233</v>
      </c>
      <c r="DY57" s="44">
        <v>286</v>
      </c>
      <c r="DZ57" s="44">
        <f>SUM(AQ57:AT57)</f>
        <v>315</v>
      </c>
      <c r="EA57" s="44">
        <f>SUM(AU57:AX57)</f>
        <v>321</v>
      </c>
      <c r="EB57" s="65">
        <f t="shared" si="129"/>
        <v>235</v>
      </c>
      <c r="EE57" s="44">
        <f t="shared" si="132"/>
        <v>368</v>
      </c>
      <c r="EF57" s="44">
        <f t="shared" si="133"/>
        <v>359</v>
      </c>
      <c r="EG57" s="44">
        <f t="shared" si="134"/>
        <v>364</v>
      </c>
      <c r="EH57" s="44">
        <f t="shared" ref="EH57:EK57" si="144">+EG57*0.9</f>
        <v>327.60000000000002</v>
      </c>
      <c r="EI57" s="44">
        <f t="shared" si="144"/>
        <v>294.84000000000003</v>
      </c>
      <c r="EJ57" s="44">
        <f t="shared" si="144"/>
        <v>265.35600000000005</v>
      </c>
      <c r="EK57" s="44">
        <f t="shared" si="144"/>
        <v>238.82040000000006</v>
      </c>
      <c r="EL57" s="44">
        <f t="shared" si="14"/>
        <v>0</v>
      </c>
      <c r="EM57" s="44">
        <f t="shared" si="4"/>
        <v>0</v>
      </c>
      <c r="EN57" s="44">
        <f t="shared" si="5"/>
        <v>0</v>
      </c>
      <c r="EO57" s="44">
        <f t="shared" si="107"/>
        <v>0</v>
      </c>
      <c r="EP57" s="44">
        <f t="shared" si="7"/>
        <v>0</v>
      </c>
      <c r="FJ57" s="82">
        <f>+EM57*0.5</f>
        <v>0</v>
      </c>
    </row>
    <row r="58" spans="2:168" s="23" customFormat="1">
      <c r="B58" s="111" t="s">
        <v>633</v>
      </c>
      <c r="C58" s="44">
        <v>49</v>
      </c>
      <c r="D58" s="44">
        <v>151</v>
      </c>
      <c r="E58" s="44">
        <v>257</v>
      </c>
      <c r="F58" s="44">
        <v>408</v>
      </c>
      <c r="G58" s="44">
        <f>289+86</f>
        <v>375</v>
      </c>
      <c r="H58" s="44">
        <f>407+129</f>
        <v>536</v>
      </c>
      <c r="I58" s="44">
        <f>427+151</f>
        <v>578</v>
      </c>
      <c r="J58" s="44">
        <f>521+198</f>
        <v>719</v>
      </c>
      <c r="K58" s="68">
        <f>533+234</f>
        <v>767</v>
      </c>
      <c r="L58" s="68">
        <f>642+258</f>
        <v>900</v>
      </c>
      <c r="M58" s="68">
        <f>730+265</f>
        <v>995</v>
      </c>
      <c r="N58" s="68">
        <f>809+325</f>
        <v>1134</v>
      </c>
      <c r="O58" s="68">
        <f>797+322</f>
        <v>1119</v>
      </c>
      <c r="P58" s="68">
        <f>852+410</f>
        <v>1262</v>
      </c>
      <c r="Q58" s="68">
        <f>843+373</f>
        <v>1216</v>
      </c>
      <c r="R58" s="68">
        <f>1044+390</f>
        <v>1434</v>
      </c>
      <c r="S58" s="68">
        <f>1039+428</f>
        <v>1467</v>
      </c>
      <c r="T58" s="68">
        <f>977+462</f>
        <v>1439</v>
      </c>
      <c r="U58" s="68">
        <f>1132+528</f>
        <v>1660</v>
      </c>
      <c r="V58" s="68">
        <f>1275+608</f>
        <v>1883</v>
      </c>
      <c r="W58" s="68">
        <f>1299+553</f>
        <v>1852</v>
      </c>
      <c r="X58" s="68">
        <f>1151+632</f>
        <v>1783</v>
      </c>
      <c r="Y58" s="68">
        <f>1350+670</f>
        <v>2020</v>
      </c>
      <c r="Z58" s="68">
        <f>1536+781</f>
        <v>2317</v>
      </c>
      <c r="AA58" s="68">
        <f>1380+719</f>
        <v>2099</v>
      </c>
      <c r="AB58" s="68">
        <f>1186+829</f>
        <v>2015</v>
      </c>
      <c r="AC58" s="68">
        <f>1576+892</f>
        <v>2468</v>
      </c>
      <c r="AD58" s="68">
        <f>1684+964</f>
        <v>2648</v>
      </c>
      <c r="AE58" s="68">
        <f>1573+924</f>
        <v>2497</v>
      </c>
      <c r="AF58" s="68">
        <f>1313+1050</f>
        <v>2363</v>
      </c>
      <c r="AG58" s="68">
        <f>1725+1013</f>
        <v>2738</v>
      </c>
      <c r="AH58" s="68">
        <f>2023+1241</f>
        <v>3264</v>
      </c>
      <c r="AI58" s="68">
        <f>1913+1162</f>
        <v>3075</v>
      </c>
      <c r="AJ58" s="68">
        <f>1680+1178</f>
        <v>2858</v>
      </c>
      <c r="AK58" s="68">
        <f>1739+1158</f>
        <v>2897</v>
      </c>
      <c r="AL58" s="70">
        <v>3357</v>
      </c>
      <c r="AM58" s="70">
        <v>3107</v>
      </c>
      <c r="AN58" s="70">
        <v>3123</v>
      </c>
      <c r="AO58" s="70">
        <v>3321</v>
      </c>
      <c r="AP58" s="70">
        <f>DY58-AO58-AN58-AM58</f>
        <v>3335</v>
      </c>
      <c r="AQ58" s="70">
        <f>2137+1221</f>
        <v>3358</v>
      </c>
      <c r="AR58" s="70">
        <v>2719</v>
      </c>
      <c r="AS58" s="70">
        <f>1810+1360</f>
        <v>3170</v>
      </c>
      <c r="AT58" s="70">
        <v>3428</v>
      </c>
      <c r="AU58" s="68">
        <f>1751+1386</f>
        <v>3137</v>
      </c>
      <c r="AV58" s="70">
        <f>1396+1580</f>
        <v>2976</v>
      </c>
      <c r="AW58" s="68">
        <v>3142</v>
      </c>
      <c r="AX58" s="70">
        <v>3146</v>
      </c>
      <c r="AY58" s="70">
        <f>1452+1269</f>
        <v>2721</v>
      </c>
      <c r="AZ58" s="68">
        <v>2685</v>
      </c>
      <c r="BA58" s="68">
        <v>2853</v>
      </c>
      <c r="BB58" s="68">
        <f>1522+1653</f>
        <v>3175</v>
      </c>
      <c r="BC58" s="70">
        <f>1310+1447</f>
        <v>2757</v>
      </c>
      <c r="BD58" s="68">
        <v>2813</v>
      </c>
      <c r="BE58" s="68">
        <v>2534</v>
      </c>
      <c r="BF58" s="70">
        <v>2629</v>
      </c>
      <c r="BG58" s="68">
        <v>2385</v>
      </c>
      <c r="BH58" s="70">
        <v>2591</v>
      </c>
      <c r="BI58" s="68">
        <v>2602</v>
      </c>
      <c r="BJ58" s="70">
        <v>1999</v>
      </c>
      <c r="BK58" s="70">
        <v>1395</v>
      </c>
      <c r="BL58" s="68">
        <v>1220</v>
      </c>
      <c r="BM58" s="68">
        <v>749</v>
      </c>
      <c r="BN58" s="68">
        <v>584</v>
      </c>
      <c r="BO58" s="68">
        <v>626</v>
      </c>
      <c r="BP58" s="68">
        <v>545</v>
      </c>
      <c r="BQ58" s="68">
        <v>533</v>
      </c>
      <c r="BR58" s="68">
        <v>611</v>
      </c>
      <c r="BS58" s="68">
        <v>457</v>
      </c>
      <c r="BT58" s="68">
        <v>543</v>
      </c>
      <c r="BU58" s="68">
        <f t="shared" ref="BU58:BV58" si="145">+BQ58*0.75</f>
        <v>399.75</v>
      </c>
      <c r="BV58" s="68">
        <f t="shared" si="145"/>
        <v>458.25</v>
      </c>
      <c r="BW58" s="68"/>
      <c r="BX58" s="68"/>
      <c r="BY58" s="68"/>
      <c r="BZ58" s="68"/>
      <c r="CA58" s="68"/>
      <c r="CB58" s="68"/>
      <c r="CC58" s="68"/>
      <c r="CD58" s="68"/>
      <c r="CE58" s="68"/>
      <c r="CF58" s="68"/>
      <c r="CG58" s="68"/>
      <c r="CH58" s="68"/>
      <c r="CI58" s="68"/>
      <c r="CJ58" s="68"/>
      <c r="CK58" s="68">
        <v>507</v>
      </c>
      <c r="CL58" s="68">
        <v>524</v>
      </c>
      <c r="CM58" s="68">
        <v>622</v>
      </c>
      <c r="CN58" s="122">
        <v>107</v>
      </c>
      <c r="CO58" s="122">
        <v>476</v>
      </c>
      <c r="CP58" s="122">
        <v>468</v>
      </c>
      <c r="CQ58" s="122">
        <v>405</v>
      </c>
      <c r="CR58" s="122">
        <v>431</v>
      </c>
      <c r="CS58" s="122">
        <v>0</v>
      </c>
      <c r="CT58" s="122">
        <v>0</v>
      </c>
      <c r="CU58" s="122">
        <v>0</v>
      </c>
      <c r="CV58" s="122">
        <v>0</v>
      </c>
      <c r="CW58" s="122">
        <v>0</v>
      </c>
      <c r="CX58" s="122">
        <v>0</v>
      </c>
      <c r="CY58" s="122">
        <v>0</v>
      </c>
      <c r="CZ58" s="122"/>
      <c r="DA58" s="122"/>
      <c r="DB58" s="122"/>
      <c r="DC58" s="122"/>
      <c r="DD58" s="122"/>
      <c r="DE58" s="122"/>
      <c r="DF58" s="122"/>
      <c r="DG58" s="68"/>
      <c r="DH58" s="68"/>
      <c r="DL58" s="68"/>
      <c r="DM58" s="68" t="s">
        <v>605</v>
      </c>
      <c r="DN58" s="68" t="s">
        <v>605</v>
      </c>
      <c r="DO58" s="68" t="s">
        <v>605</v>
      </c>
      <c r="DP58" s="68">
        <v>865</v>
      </c>
      <c r="DQ58" s="68">
        <f>SUM(G58:J58)</f>
        <v>2208</v>
      </c>
      <c r="DR58" s="68">
        <f>SUM(K58:N58)</f>
        <v>3796</v>
      </c>
      <c r="DS58" s="68">
        <f>SUM(O58:R58)</f>
        <v>5031</v>
      </c>
      <c r="DT58" s="68">
        <f>SUM(S58:V58)</f>
        <v>6449</v>
      </c>
      <c r="DU58" s="68">
        <f>SUM(W58:Z58)</f>
        <v>7972</v>
      </c>
      <c r="DV58" s="68">
        <f>SUM(AA58:AD58)</f>
        <v>9230</v>
      </c>
      <c r="DW58" s="68">
        <f>SUM(AE58:AH58)</f>
        <v>10862</v>
      </c>
      <c r="DX58" s="68">
        <v>12187</v>
      </c>
      <c r="DY58" s="68">
        <v>12886</v>
      </c>
      <c r="DZ58" s="68">
        <f>SUM(AQ58:AT58)</f>
        <v>12675</v>
      </c>
      <c r="EA58" s="68">
        <f>SUM(AU58:AX58)</f>
        <v>12401</v>
      </c>
      <c r="EB58" s="70">
        <f t="shared" si="129"/>
        <v>11434</v>
      </c>
      <c r="EC58" s="68">
        <f t="shared" ref="EC58:EC62" si="146">SUM(BC58:BF58)</f>
        <v>10733</v>
      </c>
      <c r="ED58" s="68">
        <f>SUM(BG58:BJ58)</f>
        <v>9577</v>
      </c>
      <c r="EE58" s="68">
        <f t="shared" si="132"/>
        <v>3948</v>
      </c>
      <c r="EF58" s="44">
        <f t="shared" si="133"/>
        <v>2315</v>
      </c>
      <c r="EG58" s="44">
        <f t="shared" si="134"/>
        <v>1858</v>
      </c>
      <c r="EH58" s="68">
        <f t="shared" ref="EH58:EK58" si="147">EG58*0.8</f>
        <v>1486.4</v>
      </c>
      <c r="EI58" s="68">
        <f t="shared" si="147"/>
        <v>1189.1200000000001</v>
      </c>
      <c r="EJ58" s="68">
        <f t="shared" si="147"/>
        <v>951.29600000000016</v>
      </c>
      <c r="EK58" s="68">
        <f t="shared" si="147"/>
        <v>761.0368000000002</v>
      </c>
      <c r="EL58" s="44">
        <f t="shared" si="14"/>
        <v>1673</v>
      </c>
      <c r="EM58" s="44">
        <f t="shared" si="4"/>
        <v>836</v>
      </c>
      <c r="EN58" s="44">
        <f t="shared" si="5"/>
        <v>0</v>
      </c>
      <c r="EO58" s="44">
        <f t="shared" si="107"/>
        <v>0</v>
      </c>
      <c r="EP58" s="44">
        <f t="shared" si="7"/>
        <v>0</v>
      </c>
      <c r="EQ58" s="68"/>
      <c r="ER58" s="68"/>
      <c r="ES58" s="68"/>
      <c r="ET58" s="68"/>
      <c r="EU58" s="68"/>
      <c r="EV58" s="68"/>
      <c r="EW58" s="68"/>
      <c r="EX58" s="68"/>
      <c r="EY58" s="68"/>
      <c r="EZ58" s="68"/>
      <c r="FA58" s="68"/>
      <c r="FB58" s="68"/>
      <c r="FC58" s="68"/>
      <c r="FD58" s="68"/>
      <c r="FE58" s="68"/>
      <c r="FF58" s="68"/>
      <c r="FG58" s="68"/>
      <c r="FH58" s="83">
        <f>EC58*0.8</f>
        <v>8586.4</v>
      </c>
      <c r="FI58" s="68">
        <f>EH58*0.3</f>
        <v>445.92</v>
      </c>
      <c r="FJ58" s="84">
        <f>EM58*0.2</f>
        <v>167.20000000000002</v>
      </c>
      <c r="FK58" s="68"/>
      <c r="FL58" s="111" t="s">
        <v>634</v>
      </c>
    </row>
    <row r="59" spans="2:168" s="20" customFormat="1" collapsed="1">
      <c r="B59" s="20" t="s">
        <v>635</v>
      </c>
      <c r="C59" s="44" t="s">
        <v>605</v>
      </c>
      <c r="D59" s="44" t="s">
        <v>605</v>
      </c>
      <c r="E59" s="44" t="s">
        <v>605</v>
      </c>
      <c r="F59" s="44" t="s">
        <v>605</v>
      </c>
      <c r="G59" s="44">
        <v>0</v>
      </c>
      <c r="H59" s="44">
        <f>401+1</f>
        <v>402</v>
      </c>
      <c r="I59" s="44">
        <f>112+26</f>
        <v>138</v>
      </c>
      <c r="J59" s="44">
        <f>128+105</f>
        <v>233</v>
      </c>
      <c r="K59" s="44">
        <f>146+44</f>
        <v>190</v>
      </c>
      <c r="L59" s="44">
        <f>194+111</f>
        <v>305</v>
      </c>
      <c r="M59" s="44">
        <f>158+87</f>
        <v>245</v>
      </c>
      <c r="N59" s="44">
        <f>161+116</f>
        <v>277</v>
      </c>
      <c r="O59" s="44">
        <f>276+52</f>
        <v>328</v>
      </c>
      <c r="P59" s="44">
        <f>125+179</f>
        <v>304</v>
      </c>
      <c r="Q59" s="44">
        <f>199+133</f>
        <v>332</v>
      </c>
      <c r="R59" s="44">
        <f>234+146</f>
        <v>380</v>
      </c>
      <c r="S59" s="44">
        <f>238+139</f>
        <v>377</v>
      </c>
      <c r="T59" s="44">
        <f>198+153</f>
        <v>351</v>
      </c>
      <c r="U59" s="44">
        <f>222+153</f>
        <v>375</v>
      </c>
      <c r="V59" s="44">
        <f>251+164</f>
        <v>415</v>
      </c>
      <c r="W59" s="44">
        <f>263+159</f>
        <v>422</v>
      </c>
      <c r="X59" s="44">
        <f>213+172</f>
        <v>385</v>
      </c>
      <c r="Y59" s="44">
        <f>256+181</f>
        <v>437</v>
      </c>
      <c r="Z59" s="44">
        <f>285+206</f>
        <v>491</v>
      </c>
      <c r="AA59" s="44">
        <f>293+182</f>
        <v>475</v>
      </c>
      <c r="AB59" s="44">
        <f>227+192</f>
        <v>419</v>
      </c>
      <c r="AC59" s="44">
        <f>282+194</f>
        <v>476</v>
      </c>
      <c r="AD59" s="44">
        <f>301+208</f>
        <v>509</v>
      </c>
      <c r="AE59" s="44">
        <f>220+196</f>
        <v>416</v>
      </c>
      <c r="AF59" s="44">
        <f>201+188</f>
        <v>389</v>
      </c>
      <c r="AG59" s="44">
        <f>217+186</f>
        <v>403</v>
      </c>
      <c r="AH59" s="44">
        <f>248+221</f>
        <v>469</v>
      </c>
      <c r="AI59" s="68">
        <f>230+208</f>
        <v>438</v>
      </c>
      <c r="AJ59" s="44">
        <f>174+217</f>
        <v>391</v>
      </c>
      <c r="AK59" s="44">
        <f>186+200</f>
        <v>386</v>
      </c>
      <c r="AL59" s="65">
        <v>430</v>
      </c>
      <c r="AM59" s="65">
        <v>390</v>
      </c>
      <c r="AN59" s="65">
        <v>394</v>
      </c>
      <c r="AO59" s="65">
        <v>423</v>
      </c>
      <c r="AP59" s="70">
        <v>450</v>
      </c>
      <c r="AQ59" s="65">
        <v>434</v>
      </c>
      <c r="AR59" s="65">
        <v>382</v>
      </c>
      <c r="AS59" s="65">
        <v>450</v>
      </c>
      <c r="AT59" s="65">
        <v>498</v>
      </c>
      <c r="AU59" s="44">
        <f>223+237</f>
        <v>460</v>
      </c>
      <c r="AV59" s="65">
        <f>199+264</f>
        <v>463</v>
      </c>
      <c r="AW59" s="44">
        <v>509</v>
      </c>
      <c r="AX59" s="65">
        <v>502</v>
      </c>
      <c r="AY59" s="65">
        <v>454</v>
      </c>
      <c r="AZ59" s="44">
        <v>423</v>
      </c>
      <c r="BA59" s="44">
        <v>466</v>
      </c>
      <c r="BB59" s="44">
        <v>549</v>
      </c>
      <c r="BC59" s="65">
        <f>253+226</f>
        <v>479</v>
      </c>
      <c r="BD59" s="44">
        <v>491</v>
      </c>
      <c r="BE59" s="44">
        <v>459</v>
      </c>
      <c r="BF59" s="65">
        <v>499</v>
      </c>
      <c r="BG59" s="44">
        <v>470</v>
      </c>
      <c r="BH59" s="65">
        <v>495</v>
      </c>
      <c r="BI59" s="44">
        <v>493</v>
      </c>
      <c r="BJ59" s="65">
        <v>523</v>
      </c>
      <c r="BK59" s="65">
        <v>496</v>
      </c>
      <c r="BL59" s="44">
        <v>485</v>
      </c>
      <c r="BM59" s="44">
        <v>517</v>
      </c>
      <c r="BN59" s="44">
        <v>553</v>
      </c>
      <c r="BO59" s="44">
        <v>461</v>
      </c>
      <c r="BP59" s="44">
        <v>484</v>
      </c>
      <c r="BQ59" s="44">
        <v>460</v>
      </c>
      <c r="BR59" s="44">
        <v>476</v>
      </c>
      <c r="BS59" s="44">
        <v>374</v>
      </c>
      <c r="BT59" s="44">
        <v>427</v>
      </c>
      <c r="BU59" s="44">
        <f t="shared" ref="BU59:BV59" si="148">+BQ59</f>
        <v>460</v>
      </c>
      <c r="BV59" s="44">
        <f t="shared" si="148"/>
        <v>476</v>
      </c>
      <c r="BW59" s="44"/>
      <c r="BX59" s="44"/>
      <c r="BY59" s="44"/>
      <c r="BZ59" s="44"/>
      <c r="CA59" s="44"/>
      <c r="CB59" s="44"/>
      <c r="CC59" s="44"/>
      <c r="CD59" s="44"/>
      <c r="CE59" s="44"/>
      <c r="CF59" s="44"/>
      <c r="CG59" s="44"/>
      <c r="CH59" s="44"/>
      <c r="CI59" s="44"/>
      <c r="CJ59" s="44"/>
      <c r="CK59" s="44">
        <v>137</v>
      </c>
      <c r="CL59" s="44">
        <v>127</v>
      </c>
      <c r="CM59" s="44">
        <v>145</v>
      </c>
      <c r="CN59" s="115">
        <v>114</v>
      </c>
      <c r="CO59" s="115">
        <v>120</v>
      </c>
      <c r="CP59" s="115">
        <v>119</v>
      </c>
      <c r="CQ59" s="115">
        <v>127</v>
      </c>
      <c r="CR59" s="115">
        <v>94</v>
      </c>
      <c r="CS59" s="115">
        <v>0</v>
      </c>
      <c r="CT59" s="115">
        <v>0</v>
      </c>
      <c r="CU59" s="115">
        <v>0</v>
      </c>
      <c r="CV59" s="115">
        <v>0</v>
      </c>
      <c r="CW59" s="115">
        <v>0</v>
      </c>
      <c r="CX59" s="115">
        <v>0</v>
      </c>
      <c r="CY59" s="115">
        <v>0</v>
      </c>
      <c r="CZ59" s="115"/>
      <c r="DA59" s="115"/>
      <c r="DB59" s="115"/>
      <c r="DC59" s="115"/>
      <c r="DD59" s="115"/>
      <c r="DE59" s="115"/>
      <c r="DF59" s="115"/>
      <c r="DG59" s="44"/>
      <c r="DH59" s="44"/>
      <c r="DL59" s="68"/>
      <c r="DM59" s="68" t="s">
        <v>605</v>
      </c>
      <c r="DN59" s="68" t="s">
        <v>605</v>
      </c>
      <c r="DO59" s="68" t="s">
        <v>605</v>
      </c>
      <c r="DP59" s="68" t="s">
        <v>605</v>
      </c>
      <c r="DQ59" s="44">
        <v>788</v>
      </c>
      <c r="DR59" s="44">
        <v>1016</v>
      </c>
      <c r="DS59" s="44">
        <v>1344</v>
      </c>
      <c r="DT59" s="44">
        <v>1518</v>
      </c>
      <c r="DU59" s="44">
        <f>[3]Viagra!C10+[3]Viagra!C11</f>
        <v>1735</v>
      </c>
      <c r="DV59" s="44">
        <f>[3]Viagra!D10+[3]Viagra!D11</f>
        <v>1879</v>
      </c>
      <c r="DW59" s="44">
        <v>1678</v>
      </c>
      <c r="DX59" s="44">
        <v>1645</v>
      </c>
      <c r="DY59" s="44">
        <v>1657</v>
      </c>
      <c r="DZ59" s="44">
        <f>SUM(AQ59:AT59)</f>
        <v>1764</v>
      </c>
      <c r="EA59" s="68">
        <f>SUM(AU59:AX59)</f>
        <v>1934</v>
      </c>
      <c r="EB59" s="65">
        <f t="shared" si="129"/>
        <v>1892</v>
      </c>
      <c r="EC59" s="68">
        <f t="shared" si="146"/>
        <v>1928</v>
      </c>
      <c r="ED59" s="68">
        <f t="shared" ref="ED59" si="149">SUM(BG59:BJ59)</f>
        <v>1981</v>
      </c>
      <c r="EE59" s="44">
        <f t="shared" si="132"/>
        <v>2051</v>
      </c>
      <c r="EF59" s="44">
        <f t="shared" si="133"/>
        <v>1881</v>
      </c>
      <c r="EG59" s="44">
        <f t="shared" si="134"/>
        <v>1737</v>
      </c>
      <c r="EH59" s="44">
        <f t="shared" ref="EH59:EK59" si="150">EG59*0.9</f>
        <v>1563.3</v>
      </c>
      <c r="EI59" s="44">
        <f t="shared" si="150"/>
        <v>1406.97</v>
      </c>
      <c r="EJ59" s="44">
        <f t="shared" si="150"/>
        <v>1266.2730000000001</v>
      </c>
      <c r="EK59" s="44">
        <f t="shared" si="150"/>
        <v>1139.6457000000003</v>
      </c>
      <c r="EL59" s="44">
        <f t="shared" si="14"/>
        <v>498</v>
      </c>
      <c r="EM59" s="44">
        <f t="shared" si="4"/>
        <v>221</v>
      </c>
      <c r="EN59" s="44">
        <f t="shared" si="5"/>
        <v>0</v>
      </c>
      <c r="EO59" s="44">
        <f t="shared" si="107"/>
        <v>0</v>
      </c>
      <c r="EP59" s="44">
        <f t="shared" si="7"/>
        <v>0</v>
      </c>
      <c r="EQ59" s="44"/>
      <c r="ER59" s="44"/>
      <c r="ES59" s="44"/>
      <c r="ET59" s="44"/>
      <c r="EU59" s="44"/>
      <c r="EV59" s="44"/>
      <c r="EW59" s="44"/>
      <c r="EX59" s="44"/>
      <c r="EY59" s="44"/>
      <c r="EZ59" s="44"/>
      <c r="FA59" s="44"/>
      <c r="FB59" s="44"/>
      <c r="FC59" s="44"/>
      <c r="FD59" s="44"/>
      <c r="FE59" s="44"/>
      <c r="FF59" s="44"/>
      <c r="FG59" s="44"/>
      <c r="FH59" s="81">
        <f>EC59*0.3</f>
        <v>578.4</v>
      </c>
      <c r="FI59" s="44">
        <f>EH59*0.2</f>
        <v>312.66000000000003</v>
      </c>
      <c r="FJ59" s="82">
        <f>EM59*0.1</f>
        <v>22.1</v>
      </c>
      <c r="FK59" s="44"/>
      <c r="FL59" s="111" t="s">
        <v>636</v>
      </c>
    </row>
    <row r="60" spans="2:168" s="20" customFormat="1" collapsed="1">
      <c r="B60" s="111" t="s">
        <v>637</v>
      </c>
      <c r="C60" s="44">
        <v>498</v>
      </c>
      <c r="D60" s="44">
        <v>521</v>
      </c>
      <c r="E60" s="44">
        <v>574</v>
      </c>
      <c r="F60" s="44">
        <f>DP60-E60-D60-C60</f>
        <v>624</v>
      </c>
      <c r="G60" s="44">
        <f>254+305</f>
        <v>559</v>
      </c>
      <c r="H60" s="44">
        <f>274+336</f>
        <v>610</v>
      </c>
      <c r="I60" s="44">
        <f>335+327</f>
        <v>662</v>
      </c>
      <c r="J60" s="44">
        <f>317+393</f>
        <v>710</v>
      </c>
      <c r="K60" s="44">
        <f>307+387</f>
        <v>694</v>
      </c>
      <c r="L60" s="44">
        <f>306+407</f>
        <v>713</v>
      </c>
      <c r="M60" s="44">
        <f>358+420</f>
        <v>778</v>
      </c>
      <c r="N60" s="44">
        <f>364+443</f>
        <v>807</v>
      </c>
      <c r="O60" s="44">
        <f>346+436</f>
        <v>782</v>
      </c>
      <c r="P60" s="44">
        <f>337+468</f>
        <v>805</v>
      </c>
      <c r="Q60" s="44">
        <f>404+443</f>
        <v>847</v>
      </c>
      <c r="R60" s="44">
        <f>439+489</f>
        <v>928</v>
      </c>
      <c r="S60" s="44">
        <f>391+469</f>
        <v>860</v>
      </c>
      <c r="T60" s="44">
        <f>391+488</f>
        <v>879</v>
      </c>
      <c r="U60" s="44">
        <f>426+455</f>
        <v>881</v>
      </c>
      <c r="V60" s="44">
        <f>459+503</f>
        <v>962</v>
      </c>
      <c r="W60" s="44">
        <f>448+483</f>
        <v>931</v>
      </c>
      <c r="X60" s="44">
        <f>380+506</f>
        <v>886</v>
      </c>
      <c r="Y60" s="68">
        <f>440+523</f>
        <v>963</v>
      </c>
      <c r="Z60" s="44">
        <f>507+559</f>
        <v>1066</v>
      </c>
      <c r="AA60" s="44">
        <f>436+547</f>
        <v>983</v>
      </c>
      <c r="AB60" s="44">
        <f>424+579</f>
        <v>1003</v>
      </c>
      <c r="AC60" s="44">
        <f>489+615</f>
        <v>1104</v>
      </c>
      <c r="AD60" s="44">
        <f>585+660</f>
        <v>1245</v>
      </c>
      <c r="AE60" s="44">
        <f>489+652</f>
        <v>1141</v>
      </c>
      <c r="AF60" s="44">
        <f>412+620</f>
        <v>1032</v>
      </c>
      <c r="AG60" s="44">
        <f>471+565</f>
        <v>1036</v>
      </c>
      <c r="AH60" s="44">
        <f>619+634</f>
        <v>1253</v>
      </c>
      <c r="AI60" s="68">
        <f>540+635</f>
        <v>1175</v>
      </c>
      <c r="AJ60" s="44">
        <f>523+633</f>
        <v>1156</v>
      </c>
      <c r="AK60" s="44">
        <f>546+585</f>
        <v>1131</v>
      </c>
      <c r="AL60" s="65">
        <v>1244</v>
      </c>
      <c r="AM60" s="65">
        <v>1183</v>
      </c>
      <c r="AN60" s="65">
        <v>1158</v>
      </c>
      <c r="AO60" s="65">
        <v>1208</v>
      </c>
      <c r="AP60" s="70">
        <v>1317</v>
      </c>
      <c r="AQ60" s="65">
        <v>1069</v>
      </c>
      <c r="AR60" s="65">
        <v>642</v>
      </c>
      <c r="AS60" s="65">
        <f>48+592</f>
        <v>640</v>
      </c>
      <c r="AT60" s="65">
        <v>650</v>
      </c>
      <c r="AU60" s="44">
        <f>-5+518</f>
        <v>513</v>
      </c>
      <c r="AV60" s="65">
        <f>41+586</f>
        <v>627</v>
      </c>
      <c r="AW60" s="44">
        <v>562</v>
      </c>
      <c r="AX60" s="65">
        <v>542</v>
      </c>
      <c r="AY60" s="65">
        <v>481</v>
      </c>
      <c r="AZ60" s="44">
        <v>518</v>
      </c>
      <c r="BA60" s="44">
        <v>488</v>
      </c>
      <c r="BB60" s="44">
        <f>15+471</f>
        <v>486</v>
      </c>
      <c r="BC60" s="65">
        <f>13+355</f>
        <v>368</v>
      </c>
      <c r="BD60" s="44">
        <v>422</v>
      </c>
      <c r="BE60" s="44">
        <v>330</v>
      </c>
      <c r="BF60" s="65">
        <v>386</v>
      </c>
      <c r="BG60" s="44">
        <v>356</v>
      </c>
      <c r="BH60" s="65">
        <v>375</v>
      </c>
      <c r="BI60" s="44">
        <v>350</v>
      </c>
      <c r="BJ60" s="65">
        <v>364</v>
      </c>
      <c r="BK60" s="65">
        <v>334</v>
      </c>
      <c r="BL60" s="44">
        <v>348</v>
      </c>
      <c r="BM60" s="44">
        <v>319</v>
      </c>
      <c r="BN60" s="44">
        <v>348</v>
      </c>
      <c r="BO60" s="44">
        <v>301</v>
      </c>
      <c r="BP60" s="44">
        <v>313</v>
      </c>
      <c r="BQ60" s="44">
        <v>303</v>
      </c>
      <c r="BR60" s="44">
        <v>312</v>
      </c>
      <c r="BS60" s="68">
        <v>278</v>
      </c>
      <c r="BT60" s="68">
        <v>282</v>
      </c>
      <c r="BU60" s="68">
        <f t="shared" ref="BU60:BV60" si="151">+BQ60*0.9</f>
        <v>272.7</v>
      </c>
      <c r="BV60" s="68">
        <f t="shared" si="151"/>
        <v>280.8</v>
      </c>
      <c r="BW60" s="68"/>
      <c r="BX60" s="68"/>
      <c r="BY60" s="68"/>
      <c r="BZ60" s="68"/>
      <c r="CA60" s="68"/>
      <c r="CB60" s="68"/>
      <c r="CC60" s="68"/>
      <c r="CD60" s="68"/>
      <c r="CE60" s="68"/>
      <c r="CF60" s="68"/>
      <c r="CG60" s="68"/>
      <c r="CH60" s="68"/>
      <c r="CI60" s="68"/>
      <c r="CJ60" s="68"/>
      <c r="CK60" s="68">
        <v>248</v>
      </c>
      <c r="CL60" s="68">
        <v>251</v>
      </c>
      <c r="CM60" s="68">
        <v>300</v>
      </c>
      <c r="CN60" s="122">
        <v>216</v>
      </c>
      <c r="CO60" s="122">
        <v>219</v>
      </c>
      <c r="CP60" s="122">
        <v>215</v>
      </c>
      <c r="CQ60" s="122">
        <v>197</v>
      </c>
      <c r="CR60" s="122">
        <v>222</v>
      </c>
      <c r="CS60" s="122">
        <v>0</v>
      </c>
      <c r="CT60" s="122">
        <v>0</v>
      </c>
      <c r="CU60" s="122">
        <v>0</v>
      </c>
      <c r="CV60" s="122">
        <v>0</v>
      </c>
      <c r="CW60" s="122">
        <v>0</v>
      </c>
      <c r="CX60" s="122">
        <v>0</v>
      </c>
      <c r="CY60" s="122">
        <v>0</v>
      </c>
      <c r="CZ60" s="122"/>
      <c r="DA60" s="122"/>
      <c r="DB60" s="122"/>
      <c r="DC60" s="122"/>
      <c r="DD60" s="122"/>
      <c r="DE60" s="122"/>
      <c r="DF60" s="122"/>
      <c r="DG60" s="68"/>
      <c r="DH60" s="68"/>
      <c r="DJ60" s="20">
        <f>DK60/2.44</f>
        <v>77.688287883661786</v>
      </c>
      <c r="DK60" s="20">
        <f>DL60/2.19</f>
        <v>189.55942243613475</v>
      </c>
      <c r="DL60" s="68">
        <f>DM60/1.85</f>
        <v>415.1351351351351</v>
      </c>
      <c r="DM60" s="68">
        <v>768</v>
      </c>
      <c r="DN60" s="44">
        <v>1265</v>
      </c>
      <c r="DO60" s="44">
        <v>1795</v>
      </c>
      <c r="DP60" s="44">
        <v>2217</v>
      </c>
      <c r="DQ60" s="68">
        <f>SUM(G60:J60)</f>
        <v>2541</v>
      </c>
      <c r="DR60" s="68">
        <f>SUM(K60:N60)</f>
        <v>2992</v>
      </c>
      <c r="DS60" s="68">
        <f>SUM(O60:R60)</f>
        <v>3362</v>
      </c>
      <c r="DT60" s="68">
        <f>SUM(S60:V60)</f>
        <v>3582</v>
      </c>
      <c r="DU60" s="68">
        <f>SUM(W60:Z60)</f>
        <v>3846</v>
      </c>
      <c r="DV60" s="68">
        <f>SUM(AA60:AD60)</f>
        <v>4335</v>
      </c>
      <c r="DW60" s="68">
        <f>SUM(AE60:AH60)</f>
        <v>4462</v>
      </c>
      <c r="DX60" s="44">
        <v>4706</v>
      </c>
      <c r="DY60" s="44">
        <f>SUM(AM60:AP60)</f>
        <v>4866</v>
      </c>
      <c r="DZ60" s="44">
        <f>SUM(AQ60:AT60)</f>
        <v>3001</v>
      </c>
      <c r="EA60" s="68">
        <f>SUM(AU60:AX60)</f>
        <v>2244</v>
      </c>
      <c r="EB60" s="65">
        <f t="shared" si="129"/>
        <v>1973</v>
      </c>
      <c r="EC60" s="68">
        <f t="shared" si="146"/>
        <v>1506</v>
      </c>
      <c r="ED60" s="44">
        <f>SUM(BG60:BJ60)</f>
        <v>1445</v>
      </c>
      <c r="EE60" s="44">
        <f t="shared" si="132"/>
        <v>1349</v>
      </c>
      <c r="EF60" s="44">
        <f t="shared" si="133"/>
        <v>1229</v>
      </c>
      <c r="EG60" s="44">
        <f t="shared" si="134"/>
        <v>1113.5</v>
      </c>
      <c r="EH60" s="44">
        <f t="shared" ref="EH60:EK60" si="152">EG60*0.8</f>
        <v>890.80000000000007</v>
      </c>
      <c r="EI60" s="44">
        <f t="shared" si="152"/>
        <v>712.6400000000001</v>
      </c>
      <c r="EJ60" s="44">
        <f t="shared" si="152"/>
        <v>570.11200000000008</v>
      </c>
      <c r="EK60" s="44">
        <f t="shared" si="152"/>
        <v>456.08960000000008</v>
      </c>
      <c r="EL60" s="44">
        <f t="shared" si="14"/>
        <v>950</v>
      </c>
      <c r="EM60" s="44">
        <f t="shared" si="4"/>
        <v>419</v>
      </c>
      <c r="EN60" s="44">
        <f t="shared" si="5"/>
        <v>0</v>
      </c>
      <c r="EO60" s="44">
        <f t="shared" si="107"/>
        <v>0</v>
      </c>
      <c r="EP60" s="44">
        <f t="shared" si="7"/>
        <v>0</v>
      </c>
      <c r="EQ60" s="44"/>
      <c r="ER60" s="44"/>
      <c r="ES60" s="44"/>
      <c r="ET60" s="44"/>
      <c r="EU60" s="44"/>
      <c r="EV60" s="44"/>
      <c r="EW60" s="44"/>
      <c r="EX60" s="44"/>
      <c r="EY60" s="44"/>
      <c r="EZ60" s="44"/>
      <c r="FA60" s="44"/>
      <c r="FB60" s="44"/>
      <c r="FC60" s="44"/>
      <c r="FD60" s="44"/>
      <c r="FE60" s="44"/>
      <c r="FF60" s="44"/>
      <c r="FG60" s="44"/>
      <c r="FH60" s="81">
        <f>EC60*0.2</f>
        <v>301.2</v>
      </c>
      <c r="FI60" s="44">
        <f>EH60*0.1</f>
        <v>89.080000000000013</v>
      </c>
      <c r="FJ60" s="82">
        <f>EM60*0.05</f>
        <v>20.950000000000003</v>
      </c>
      <c r="FK60" s="44"/>
    </row>
    <row r="61" spans="2:168" s="20" customFormat="1">
      <c r="B61" s="111" t="s">
        <v>1585</v>
      </c>
      <c r="C61" s="44"/>
      <c r="D61" s="44"/>
      <c r="E61" s="44"/>
      <c r="F61" s="44"/>
      <c r="G61" s="44"/>
      <c r="H61" s="44"/>
      <c r="I61" s="44"/>
      <c r="J61" s="44"/>
      <c r="K61" s="44"/>
      <c r="L61" s="44"/>
      <c r="M61" s="44"/>
      <c r="N61" s="44"/>
      <c r="O61" s="44"/>
      <c r="P61" s="44"/>
      <c r="Q61" s="44"/>
      <c r="R61" s="44"/>
      <c r="S61" s="44"/>
      <c r="T61" s="44"/>
      <c r="U61" s="44"/>
      <c r="V61" s="44"/>
      <c r="W61" s="44"/>
      <c r="X61" s="44"/>
      <c r="Y61" s="68"/>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68"/>
      <c r="BT61" s="68"/>
      <c r="BU61" s="68"/>
      <c r="BV61" s="68"/>
      <c r="BW61" s="68"/>
      <c r="BX61" s="68"/>
      <c r="BY61" s="68"/>
      <c r="BZ61" s="68"/>
      <c r="CA61" s="68"/>
      <c r="CB61" s="68"/>
      <c r="CC61" s="68"/>
      <c r="CD61" s="68"/>
      <c r="CE61" s="68"/>
      <c r="CF61" s="68"/>
      <c r="CG61" s="68"/>
      <c r="CH61" s="68"/>
      <c r="CI61" s="68"/>
      <c r="CJ61" s="68"/>
      <c r="CK61" s="68">
        <v>40</v>
      </c>
      <c r="CL61" s="68"/>
      <c r="CM61" s="68"/>
      <c r="CN61" s="122"/>
      <c r="CO61" s="122">
        <v>43</v>
      </c>
      <c r="CP61" s="122"/>
      <c r="CQ61" s="122"/>
      <c r="CR61" s="122"/>
      <c r="CS61" s="122"/>
      <c r="CT61" s="122"/>
      <c r="CU61" s="122"/>
      <c r="CV61" s="122"/>
      <c r="CW61" s="122"/>
      <c r="CX61" s="122"/>
      <c r="CY61" s="122"/>
      <c r="CZ61" s="122"/>
      <c r="DA61" s="122"/>
      <c r="DB61" s="122"/>
      <c r="DC61" s="122"/>
      <c r="DD61" s="122"/>
      <c r="DE61" s="122"/>
      <c r="DF61" s="122"/>
      <c r="DG61" s="68"/>
      <c r="DH61" s="68"/>
      <c r="DL61" s="68"/>
      <c r="DM61" s="68"/>
      <c r="DN61" s="44"/>
      <c r="DO61" s="44"/>
      <c r="DP61" s="44"/>
      <c r="DQ61" s="68"/>
      <c r="DR61" s="68"/>
      <c r="DS61" s="68"/>
      <c r="DT61" s="68"/>
      <c r="DU61" s="68"/>
      <c r="DV61" s="68"/>
      <c r="DW61" s="68"/>
      <c r="DX61" s="44"/>
      <c r="DY61" s="44"/>
      <c r="DZ61" s="44"/>
      <c r="EA61" s="68"/>
      <c r="EB61" s="65"/>
      <c r="EC61" s="68"/>
      <c r="ED61" s="44"/>
      <c r="EE61" s="44"/>
      <c r="EF61" s="44"/>
      <c r="EG61" s="44"/>
      <c r="EH61" s="44"/>
      <c r="EI61" s="44"/>
      <c r="EJ61" s="44"/>
      <c r="EK61" s="44"/>
      <c r="EL61" s="44">
        <f t="shared" si="14"/>
        <v>43</v>
      </c>
      <c r="EM61" s="44">
        <f t="shared" si="4"/>
        <v>0</v>
      </c>
      <c r="EN61" s="44"/>
      <c r="EO61" s="44"/>
      <c r="EP61" s="44">
        <f t="shared" si="7"/>
        <v>0</v>
      </c>
      <c r="EQ61" s="44"/>
      <c r="ER61" s="44"/>
      <c r="ES61" s="44"/>
      <c r="ET61" s="44"/>
      <c r="EU61" s="44"/>
      <c r="EV61" s="44"/>
      <c r="EW61" s="44"/>
      <c r="EX61" s="44"/>
      <c r="EY61" s="44"/>
      <c r="EZ61" s="44"/>
      <c r="FA61" s="44"/>
      <c r="FB61" s="44"/>
      <c r="FC61" s="44"/>
      <c r="FD61" s="44"/>
      <c r="FE61" s="44"/>
      <c r="FF61" s="44"/>
      <c r="FG61" s="44"/>
      <c r="FH61" s="81"/>
      <c r="FI61" s="44"/>
      <c r="FJ61" s="82"/>
      <c r="FK61" s="44"/>
    </row>
    <row r="62" spans="2:168" collapsed="1">
      <c r="B62" s="4" t="s">
        <v>707</v>
      </c>
      <c r="C62" s="62"/>
      <c r="D62" s="62"/>
      <c r="E62" s="62"/>
      <c r="F62" s="62"/>
      <c r="G62" s="62" t="s">
        <v>605</v>
      </c>
      <c r="H62" s="62" t="s">
        <v>605</v>
      </c>
      <c r="I62" s="62" t="s">
        <v>605</v>
      </c>
      <c r="J62" s="62" t="s">
        <v>605</v>
      </c>
      <c r="K62" s="62" t="s">
        <v>605</v>
      </c>
      <c r="L62" s="62" t="s">
        <v>605</v>
      </c>
      <c r="M62" s="62" t="s">
        <v>605</v>
      </c>
      <c r="N62" s="62" t="s">
        <v>605</v>
      </c>
      <c r="O62" s="62" t="s">
        <v>605</v>
      </c>
      <c r="P62" s="62" t="s">
        <v>605</v>
      </c>
      <c r="Q62" s="62" t="s">
        <v>605</v>
      </c>
      <c r="R62" s="62" t="s">
        <v>605</v>
      </c>
      <c r="S62" s="62" t="s">
        <v>605</v>
      </c>
      <c r="T62" s="62" t="s">
        <v>605</v>
      </c>
      <c r="U62" s="62" t="s">
        <v>605</v>
      </c>
      <c r="V62" s="62" t="s">
        <v>605</v>
      </c>
      <c r="W62" s="62" t="s">
        <v>605</v>
      </c>
      <c r="X62" s="62" t="s">
        <v>605</v>
      </c>
      <c r="Y62" s="62" t="s">
        <v>605</v>
      </c>
      <c r="Z62" s="62" t="s">
        <v>605</v>
      </c>
      <c r="AA62" s="62" t="s">
        <v>605</v>
      </c>
      <c r="AE62" s="44"/>
      <c r="AF62" s="44"/>
      <c r="AG62" s="44"/>
      <c r="AH62" s="44"/>
      <c r="AI62" s="62"/>
      <c r="AK62" s="62" t="s">
        <v>605</v>
      </c>
      <c r="AL62" s="103" t="s">
        <v>605</v>
      </c>
      <c r="AM62" s="103" t="s">
        <v>605</v>
      </c>
      <c r="AN62" s="103" t="s">
        <v>605</v>
      </c>
      <c r="AO62" s="103" t="s">
        <v>605</v>
      </c>
      <c r="AP62" s="103" t="s">
        <v>605</v>
      </c>
      <c r="AQ62" s="70" t="s">
        <v>605</v>
      </c>
      <c r="AR62" s="70" t="s">
        <v>605</v>
      </c>
      <c r="AS62" s="70" t="s">
        <v>605</v>
      </c>
      <c r="AT62" s="70" t="s">
        <v>605</v>
      </c>
      <c r="AU62" s="68" t="s">
        <v>605</v>
      </c>
      <c r="AV62" s="65">
        <f>45+28</f>
        <v>73</v>
      </c>
      <c r="AW62" s="44">
        <v>95</v>
      </c>
      <c r="AX62" s="70">
        <v>95</v>
      </c>
      <c r="AY62" s="75" t="s">
        <v>708</v>
      </c>
      <c r="AZ62" s="44">
        <v>94</v>
      </c>
      <c r="BA62" s="44">
        <v>111</v>
      </c>
      <c r="BB62" s="44">
        <v>131</v>
      </c>
      <c r="BC62" s="65">
        <f>69+45</f>
        <v>114</v>
      </c>
      <c r="BD62" s="44">
        <v>122</v>
      </c>
      <c r="BE62" s="44">
        <v>116</v>
      </c>
      <c r="BF62" s="65">
        <v>129</v>
      </c>
      <c r="BG62" s="44">
        <v>123</v>
      </c>
      <c r="BH62" s="65">
        <v>130</v>
      </c>
      <c r="BI62" s="44">
        <v>140</v>
      </c>
      <c r="BJ62" s="65">
        <v>142</v>
      </c>
      <c r="BK62" s="65">
        <v>136</v>
      </c>
      <c r="BL62" s="44">
        <v>143</v>
      </c>
      <c r="BM62" s="44">
        <v>135</v>
      </c>
      <c r="BN62" s="44">
        <v>120</v>
      </c>
      <c r="BO62" s="44">
        <v>72</v>
      </c>
      <c r="BP62" s="44">
        <v>78</v>
      </c>
      <c r="BQ62" s="44">
        <v>75</v>
      </c>
      <c r="BR62" s="44">
        <v>82</v>
      </c>
      <c r="BS62" s="44">
        <v>76</v>
      </c>
      <c r="BT62" s="44">
        <v>68</v>
      </c>
      <c r="BU62" s="44">
        <f t="shared" si="89"/>
        <v>75</v>
      </c>
      <c r="BV62" s="44">
        <f t="shared" si="89"/>
        <v>82</v>
      </c>
      <c r="BW62" s="44"/>
      <c r="BX62" s="44"/>
      <c r="BY62" s="44"/>
      <c r="BZ62" s="44"/>
      <c r="CA62" s="44"/>
      <c r="CB62" s="44"/>
      <c r="CC62" s="44"/>
      <c r="CD62" s="44"/>
      <c r="CE62" s="44"/>
      <c r="CF62" s="44"/>
      <c r="CG62" s="44"/>
      <c r="CH62" s="44"/>
      <c r="CI62" s="44"/>
      <c r="CJ62" s="44"/>
      <c r="CK62" s="44">
        <v>53</v>
      </c>
      <c r="CL62" s="44"/>
      <c r="CM62" s="44"/>
      <c r="CN62" s="115"/>
      <c r="CO62" s="115">
        <v>24</v>
      </c>
      <c r="CP62" s="115"/>
      <c r="CQ62" s="115"/>
      <c r="CR62" s="115"/>
      <c r="CS62" s="115"/>
      <c r="CT62" s="115"/>
      <c r="CU62" s="115"/>
      <c r="CV62" s="115"/>
      <c r="CW62" s="115"/>
      <c r="CX62" s="115"/>
      <c r="CY62" s="115"/>
      <c r="CZ62" s="115"/>
      <c r="DA62" s="115"/>
      <c r="DB62" s="115"/>
      <c r="DC62" s="115"/>
      <c r="DD62" s="115"/>
      <c r="DE62" s="115"/>
      <c r="DF62" s="115"/>
      <c r="DG62" s="44"/>
      <c r="DH62" s="44"/>
      <c r="DL62" s="68"/>
      <c r="DM62" s="68" t="s">
        <v>605</v>
      </c>
      <c r="DN62" s="68" t="s">
        <v>605</v>
      </c>
      <c r="DO62" s="68" t="s">
        <v>605</v>
      </c>
      <c r="DP62" s="68" t="s">
        <v>605</v>
      </c>
      <c r="DQ62" s="68" t="s">
        <v>605</v>
      </c>
      <c r="DR62" s="68" t="s">
        <v>605</v>
      </c>
      <c r="DS62" s="68" t="s">
        <v>605</v>
      </c>
      <c r="DT62" s="68" t="s">
        <v>605</v>
      </c>
      <c r="DU62" s="68" t="s">
        <v>605</v>
      </c>
      <c r="DV62" s="68" t="s">
        <v>605</v>
      </c>
      <c r="DW62" s="68" t="s">
        <v>605</v>
      </c>
      <c r="DX62" s="68" t="s">
        <v>605</v>
      </c>
      <c r="DY62" s="68" t="s">
        <v>605</v>
      </c>
      <c r="DZ62" s="68" t="s">
        <v>605</v>
      </c>
      <c r="EA62" s="68" t="s">
        <v>605</v>
      </c>
      <c r="EB62" s="65">
        <f>SUM(AY62:BB62)</f>
        <v>336</v>
      </c>
      <c r="EC62" s="44">
        <f t="shared" si="146"/>
        <v>481</v>
      </c>
      <c r="ED62" s="44">
        <f>SUM(BG62:BJ62)</f>
        <v>535</v>
      </c>
      <c r="EE62" s="44">
        <f t="shared" si="132"/>
        <v>534</v>
      </c>
      <c r="EF62" s="44">
        <f t="shared" si="133"/>
        <v>307</v>
      </c>
      <c r="EG62" s="44">
        <f t="shared" si="91"/>
        <v>301</v>
      </c>
      <c r="EH62" s="44">
        <f t="shared" ref="EH62:EK62" si="153">EG62*0.5</f>
        <v>150.5</v>
      </c>
      <c r="EI62" s="44">
        <f t="shared" si="153"/>
        <v>75.25</v>
      </c>
      <c r="EJ62" s="44">
        <f t="shared" si="153"/>
        <v>37.625</v>
      </c>
      <c r="EK62" s="44">
        <f t="shared" si="153"/>
        <v>18.8125</v>
      </c>
      <c r="EL62" s="44">
        <f t="shared" si="14"/>
        <v>24</v>
      </c>
      <c r="EM62" s="44">
        <f t="shared" si="4"/>
        <v>0</v>
      </c>
      <c r="EN62" s="44">
        <f t="shared" si="5"/>
        <v>0</v>
      </c>
      <c r="EO62" s="44">
        <f t="shared" si="107"/>
        <v>0</v>
      </c>
      <c r="EP62" s="44">
        <f t="shared" si="7"/>
        <v>0</v>
      </c>
      <c r="FH62" s="81">
        <f>EC62*0.2</f>
        <v>96.2</v>
      </c>
      <c r="FI62" s="44">
        <f>EH62*0.1</f>
        <v>15.05</v>
      </c>
      <c r="FJ62" s="82">
        <v>0</v>
      </c>
    </row>
    <row r="63" spans="2:168" collapsed="1">
      <c r="B63" s="4" t="s">
        <v>711</v>
      </c>
      <c r="C63" s="37">
        <v>154</v>
      </c>
      <c r="D63" s="37">
        <v>148</v>
      </c>
      <c r="E63" s="37">
        <v>160</v>
      </c>
      <c r="F63" s="44">
        <f t="shared" ref="F63" si="154">DP63-E63-D63-C63</f>
        <v>164</v>
      </c>
      <c r="G63" s="37">
        <f>82+85</f>
        <v>167</v>
      </c>
      <c r="H63" s="37">
        <f>67+90</f>
        <v>157</v>
      </c>
      <c r="I63" s="37">
        <f>85+87</f>
        <v>172</v>
      </c>
      <c r="J63" s="37">
        <f>81+102</f>
        <v>183</v>
      </c>
      <c r="K63" s="37">
        <f>93+98</f>
        <v>191</v>
      </c>
      <c r="L63" s="37">
        <f>77+108</f>
        <v>185</v>
      </c>
      <c r="M63" s="37">
        <f>90+105</f>
        <v>195</v>
      </c>
      <c r="N63" s="37">
        <f>92+121</f>
        <v>213</v>
      </c>
      <c r="O63" s="37">
        <f>88+114</f>
        <v>202</v>
      </c>
      <c r="P63" s="37">
        <f>72+125</f>
        <v>197</v>
      </c>
      <c r="Q63" s="37">
        <f>92+118</f>
        <v>210</v>
      </c>
      <c r="R63" s="37">
        <f>57+129</f>
        <v>186</v>
      </c>
      <c r="S63" s="37">
        <f>20+123</f>
        <v>143</v>
      </c>
      <c r="T63" s="37">
        <f>8+124</f>
        <v>132</v>
      </c>
      <c r="U63" s="37">
        <f>8+119</f>
        <v>127</v>
      </c>
      <c r="V63" s="37">
        <f>14+135</f>
        <v>149</v>
      </c>
      <c r="W63" s="44">
        <f>11+120</f>
        <v>131</v>
      </c>
      <c r="X63" s="44">
        <f>2+130</f>
        <v>132</v>
      </c>
      <c r="Y63" s="44">
        <f>3+129</f>
        <v>132</v>
      </c>
      <c r="Z63" s="44">
        <f>6+130</f>
        <v>136</v>
      </c>
      <c r="AA63" s="44">
        <f>5+130</f>
        <v>135</v>
      </c>
      <c r="AB63" s="44">
        <f>4+137</f>
        <v>141</v>
      </c>
      <c r="AC63" s="44">
        <f>5+147</f>
        <v>152</v>
      </c>
      <c r="AD63" s="44">
        <f>5+162</f>
        <v>167</v>
      </c>
      <c r="AE63" s="44">
        <f>3+145</f>
        <v>148</v>
      </c>
      <c r="AF63" s="44">
        <f>1+160</f>
        <v>161</v>
      </c>
      <c r="AG63" s="44">
        <f>1+149</f>
        <v>150</v>
      </c>
      <c r="AH63" s="44">
        <f>1+167</f>
        <v>168</v>
      </c>
      <c r="AI63" s="68">
        <f>1+152</f>
        <v>153</v>
      </c>
      <c r="AJ63" s="37">
        <f>1+154</f>
        <v>155</v>
      </c>
      <c r="AK63" s="44">
        <f>2+130</f>
        <v>132</v>
      </c>
      <c r="AL63" s="65">
        <v>146</v>
      </c>
      <c r="AM63" s="65">
        <v>126</v>
      </c>
      <c r="AN63" s="65">
        <v>139</v>
      </c>
      <c r="AO63" s="65">
        <v>133</v>
      </c>
      <c r="AP63" s="70">
        <v>140</v>
      </c>
      <c r="AQ63" s="65">
        <v>134</v>
      </c>
      <c r="AR63" s="65">
        <v>125</v>
      </c>
      <c r="AS63" s="65">
        <f>1+118</f>
        <v>119</v>
      </c>
      <c r="AT63" s="65">
        <v>128</v>
      </c>
      <c r="AU63" s="44">
        <f>2+119</f>
        <v>121</v>
      </c>
      <c r="AV63" s="65">
        <f>1+131</f>
        <v>132</v>
      </c>
      <c r="AW63" s="44">
        <v>125</v>
      </c>
      <c r="AX63" s="65">
        <v>121</v>
      </c>
      <c r="AY63" s="65">
        <v>107</v>
      </c>
      <c r="AZ63" s="44">
        <v>114</v>
      </c>
      <c r="BA63" s="44">
        <v>109</v>
      </c>
      <c r="BB63" s="44">
        <v>127</v>
      </c>
      <c r="BC63" s="65">
        <f>8+99</f>
        <v>107</v>
      </c>
      <c r="BD63" s="44">
        <v>110</v>
      </c>
      <c r="BE63" s="44">
        <v>95</v>
      </c>
      <c r="BF63" s="65">
        <v>101</v>
      </c>
      <c r="BG63" s="44">
        <v>96</v>
      </c>
      <c r="BH63" s="65">
        <v>101</v>
      </c>
      <c r="BI63" s="44">
        <v>92</v>
      </c>
      <c r="BJ63" s="65">
        <v>91</v>
      </c>
      <c r="BK63" s="65">
        <v>84</v>
      </c>
      <c r="BL63" s="44">
        <v>91</v>
      </c>
      <c r="BM63" s="44">
        <v>79</v>
      </c>
      <c r="BN63" s="44">
        <v>84</v>
      </c>
      <c r="BO63" s="44">
        <v>76</v>
      </c>
      <c r="BP63" s="44">
        <v>75</v>
      </c>
      <c r="BQ63" s="44">
        <v>70</v>
      </c>
      <c r="BR63" s="44">
        <v>75</v>
      </c>
      <c r="BS63" s="44">
        <v>66</v>
      </c>
      <c r="BT63" s="44">
        <v>68</v>
      </c>
      <c r="BU63" s="44">
        <f t="shared" ref="BU63:BU73" si="155">+BQ63</f>
        <v>70</v>
      </c>
      <c r="BV63" s="44">
        <f t="shared" ref="BV63:BV73" si="156">+BR63</f>
        <v>75</v>
      </c>
      <c r="BW63" s="44"/>
      <c r="BX63" s="44"/>
      <c r="BY63" s="44"/>
      <c r="BZ63" s="44"/>
      <c r="CA63" s="44"/>
      <c r="CB63" s="44"/>
      <c r="CC63" s="44"/>
      <c r="CD63" s="44"/>
      <c r="CE63" s="44"/>
      <c r="CF63" s="44"/>
      <c r="CG63" s="44"/>
      <c r="CH63" s="44"/>
      <c r="CI63" s="44"/>
      <c r="CJ63" s="44"/>
      <c r="CK63" s="44"/>
      <c r="CL63" s="44"/>
      <c r="CM63" s="44"/>
      <c r="CN63" s="115"/>
      <c r="CO63" s="115"/>
      <c r="CP63" s="115"/>
      <c r="CQ63" s="115"/>
      <c r="CR63" s="115"/>
      <c r="CS63" s="115"/>
      <c r="CT63" s="115"/>
      <c r="CU63" s="115"/>
      <c r="CV63" s="115"/>
      <c r="CW63" s="115"/>
      <c r="CX63" s="115"/>
      <c r="CY63" s="115"/>
      <c r="CZ63" s="115"/>
      <c r="DA63" s="115"/>
      <c r="DB63" s="115"/>
      <c r="DC63" s="115"/>
      <c r="DD63" s="115"/>
      <c r="DE63" s="115"/>
      <c r="DF63" s="115"/>
      <c r="DG63" s="44"/>
      <c r="DH63" s="44"/>
      <c r="DL63" s="68"/>
      <c r="DM63" s="68">
        <v>313</v>
      </c>
      <c r="DN63" s="44">
        <v>413</v>
      </c>
      <c r="DO63" s="44">
        <v>533</v>
      </c>
      <c r="DP63" s="44">
        <f>278+348</f>
        <v>626</v>
      </c>
      <c r="DQ63" s="68">
        <f>SUM(G63:J63)</f>
        <v>679</v>
      </c>
      <c r="DR63" s="68">
        <f>SUM(K63:N63)</f>
        <v>784</v>
      </c>
      <c r="DS63" s="68">
        <f>SUM(O63:R63)</f>
        <v>795</v>
      </c>
      <c r="DT63" s="68">
        <f>SUM(S63:V63)</f>
        <v>551</v>
      </c>
      <c r="DU63" s="68">
        <f>SUM(W63:Z63)</f>
        <v>531</v>
      </c>
      <c r="DV63" s="68">
        <f>SUM(AA63:AD63)</f>
        <v>595</v>
      </c>
      <c r="DW63" s="68">
        <f>SUM(AE63:AH63)</f>
        <v>627</v>
      </c>
      <c r="DX63" s="44">
        <v>586</v>
      </c>
      <c r="DY63" s="44">
        <v>538</v>
      </c>
      <c r="DZ63" s="44">
        <f t="shared" ref="DZ63:DZ65" si="157">SUM(AQ63:AT63)</f>
        <v>506</v>
      </c>
      <c r="EA63" s="44">
        <f t="shared" ref="EA63:EA65" si="158">SUM(AU63:AX63)</f>
        <v>499</v>
      </c>
      <c r="EB63" s="65">
        <f t="shared" ref="EB63:EB65" si="159">SUM(AY63:BB63)</f>
        <v>457</v>
      </c>
      <c r="EC63" s="44">
        <f t="shared" ref="EC63:EC65" si="160">SUM(BC63:BF63)</f>
        <v>413</v>
      </c>
      <c r="ED63" s="44">
        <f t="shared" si="78"/>
        <v>380</v>
      </c>
      <c r="EE63" s="44">
        <f t="shared" si="79"/>
        <v>338</v>
      </c>
      <c r="EF63" s="44">
        <f t="shared" si="80"/>
        <v>296</v>
      </c>
      <c r="EG63" s="44">
        <f t="shared" si="60"/>
        <v>279</v>
      </c>
      <c r="EH63" s="44">
        <f t="shared" ref="EH63:EK63" si="161">EG63*0.85</f>
        <v>237.15</v>
      </c>
      <c r="EI63" s="44">
        <f t="shared" si="161"/>
        <v>201.57749999999999</v>
      </c>
      <c r="EJ63" s="44">
        <f t="shared" si="161"/>
        <v>171.34087499999998</v>
      </c>
      <c r="EK63" s="44">
        <f t="shared" si="161"/>
        <v>145.63974374999998</v>
      </c>
      <c r="EL63" s="44">
        <f t="shared" si="14"/>
        <v>0</v>
      </c>
      <c r="EM63" s="44">
        <f t="shared" si="4"/>
        <v>0</v>
      </c>
      <c r="EN63" s="44">
        <f t="shared" si="5"/>
        <v>0</v>
      </c>
      <c r="EO63" s="44">
        <f t="shared" si="107"/>
        <v>0</v>
      </c>
      <c r="EP63" s="44">
        <f t="shared" si="7"/>
        <v>0</v>
      </c>
      <c r="FH63" s="81">
        <f>EC63*0.2</f>
        <v>82.600000000000009</v>
      </c>
      <c r="FI63" s="44">
        <f>EH63*0.1</f>
        <v>23.715000000000003</v>
      </c>
      <c r="FJ63" s="82">
        <f>EM63*0.1</f>
        <v>0</v>
      </c>
      <c r="FL63" s="14" t="s">
        <v>712</v>
      </c>
    </row>
    <row r="64" spans="2:168">
      <c r="B64" s="14" t="s">
        <v>196</v>
      </c>
      <c r="C64" s="68"/>
      <c r="D64" s="68"/>
      <c r="E64" s="68"/>
      <c r="F64" s="68"/>
      <c r="G64" s="68"/>
      <c r="H64" s="68"/>
      <c r="I64" s="68"/>
      <c r="J64" s="68"/>
      <c r="K64" s="68"/>
      <c r="L64" s="68"/>
      <c r="M64" s="68"/>
      <c r="N64" s="68"/>
      <c r="O64" s="68"/>
      <c r="P64" s="68"/>
      <c r="Q64" s="68"/>
      <c r="R64" s="68"/>
      <c r="S64" s="68"/>
      <c r="T64" s="68"/>
      <c r="U64" s="68"/>
      <c r="V64" s="68"/>
      <c r="W64" s="68"/>
      <c r="X64" s="68"/>
      <c r="Y64" s="68"/>
      <c r="Z64" s="62"/>
      <c r="AA64" s="68"/>
      <c r="AB64" s="68"/>
      <c r="AC64" s="68"/>
      <c r="AD64" s="62"/>
      <c r="AI64" s="68"/>
      <c r="AJ64" s="68"/>
      <c r="AK64" s="68"/>
      <c r="AL64" s="70"/>
      <c r="AM64" s="69"/>
      <c r="AN64" s="69"/>
      <c r="AO64" s="69"/>
      <c r="AP64" s="103"/>
      <c r="AQ64" s="65"/>
      <c r="AR64" s="65"/>
      <c r="AS64" s="65"/>
      <c r="AT64" s="65"/>
      <c r="AU64" s="44"/>
      <c r="AV64" s="65"/>
      <c r="AW64" s="44"/>
      <c r="AX64" s="65"/>
      <c r="AY64" s="65"/>
      <c r="AZ64" s="44"/>
      <c r="BA64" s="44"/>
      <c r="BB64" s="44"/>
      <c r="BC64" s="65">
        <v>91</v>
      </c>
      <c r="BD64" s="44">
        <v>97</v>
      </c>
      <c r="BE64" s="44">
        <v>104</v>
      </c>
      <c r="BF64" s="65">
        <v>96</v>
      </c>
      <c r="BG64" s="44">
        <v>89</v>
      </c>
      <c r="BH64" s="65">
        <v>100</v>
      </c>
      <c r="BI64" s="44">
        <v>96</v>
      </c>
      <c r="BJ64" s="65">
        <v>87</v>
      </c>
      <c r="BK64" s="65">
        <v>82</v>
      </c>
      <c r="BL64" s="44">
        <v>85</v>
      </c>
      <c r="BM64" s="44">
        <v>92</v>
      </c>
      <c r="BN64" s="44">
        <v>87</v>
      </c>
      <c r="BO64" s="44">
        <v>84</v>
      </c>
      <c r="BP64" s="44">
        <v>86</v>
      </c>
      <c r="BQ64" s="44">
        <v>91</v>
      </c>
      <c r="BR64" s="44">
        <v>89</v>
      </c>
      <c r="BS64" s="44">
        <v>88</v>
      </c>
      <c r="BT64" s="44">
        <v>87</v>
      </c>
      <c r="BU64" s="44">
        <f t="shared" si="155"/>
        <v>91</v>
      </c>
      <c r="BV64" s="44">
        <f t="shared" si="156"/>
        <v>89</v>
      </c>
      <c r="BW64" s="44"/>
      <c r="BX64" s="44"/>
      <c r="BY64" s="44"/>
      <c r="BZ64" s="44"/>
      <c r="CA64" s="44"/>
      <c r="CB64" s="44"/>
      <c r="CC64" s="44"/>
      <c r="CD64" s="44"/>
      <c r="CE64" s="44"/>
      <c r="CF64" s="44"/>
      <c r="CG64" s="44"/>
      <c r="CH64" s="44"/>
      <c r="CI64" s="44"/>
      <c r="CJ64" s="44"/>
      <c r="CK64" s="44"/>
      <c r="CL64" s="44"/>
      <c r="CM64" s="44"/>
      <c r="CN64" s="115"/>
      <c r="CO64" s="115"/>
      <c r="CP64" s="115"/>
      <c r="CQ64" s="115"/>
      <c r="CR64" s="115"/>
      <c r="CS64" s="115"/>
      <c r="CT64" s="115"/>
      <c r="CU64" s="115"/>
      <c r="CV64" s="115"/>
      <c r="CW64" s="115"/>
      <c r="CX64" s="115"/>
      <c r="CY64" s="115"/>
      <c r="CZ64" s="115"/>
      <c r="DA64" s="115"/>
      <c r="DB64" s="115"/>
      <c r="DC64" s="115"/>
      <c r="DD64" s="115"/>
      <c r="DE64" s="115"/>
      <c r="DF64" s="115"/>
      <c r="DG64" s="44"/>
      <c r="DH64" s="44"/>
      <c r="DL64" s="68"/>
      <c r="DM64" s="68"/>
      <c r="DN64" s="68"/>
      <c r="DO64" s="68"/>
      <c r="DP64" s="68"/>
      <c r="DQ64" s="68"/>
      <c r="DR64" s="68"/>
      <c r="DS64" s="68"/>
      <c r="DT64" s="68"/>
      <c r="DU64" s="68"/>
      <c r="DW64" s="44"/>
      <c r="DX64" s="44"/>
      <c r="DY64" s="44"/>
      <c r="DZ64" s="44"/>
      <c r="EA64" s="44"/>
      <c r="EB64" s="65"/>
      <c r="EC64" s="44">
        <f t="shared" si="160"/>
        <v>388</v>
      </c>
      <c r="ED64" s="44">
        <f t="shared" ref="ED64:ED65" si="162">SUM(BG64:BJ64)</f>
        <v>372</v>
      </c>
      <c r="EE64" s="44">
        <f t="shared" si="79"/>
        <v>346</v>
      </c>
      <c r="EF64" s="44">
        <f t="shared" si="80"/>
        <v>350</v>
      </c>
      <c r="EG64" s="44">
        <f t="shared" si="60"/>
        <v>355</v>
      </c>
      <c r="EH64" s="44">
        <f t="shared" ref="EH64:EK64" si="163">+EG64</f>
        <v>355</v>
      </c>
      <c r="EI64" s="44">
        <f t="shared" si="163"/>
        <v>355</v>
      </c>
      <c r="EJ64" s="44">
        <f t="shared" si="163"/>
        <v>355</v>
      </c>
      <c r="EK64" s="44">
        <f t="shared" si="163"/>
        <v>355</v>
      </c>
      <c r="EL64" s="44">
        <f t="shared" si="14"/>
        <v>0</v>
      </c>
      <c r="EM64" s="44">
        <f t="shared" si="4"/>
        <v>0</v>
      </c>
      <c r="EN64" s="44">
        <f t="shared" si="5"/>
        <v>0</v>
      </c>
      <c r="EO64" s="44">
        <f t="shared" si="107"/>
        <v>0</v>
      </c>
      <c r="EP64" s="44">
        <f t="shared" si="7"/>
        <v>0</v>
      </c>
      <c r="FJ64" s="82">
        <f>+EM64*0.8</f>
        <v>0</v>
      </c>
      <c r="FL64" s="14"/>
    </row>
    <row r="65" spans="1:175" collapsed="1">
      <c r="B65" s="4" t="s">
        <v>716</v>
      </c>
      <c r="G65" s="37">
        <v>6</v>
      </c>
      <c r="H65" s="37">
        <v>11</v>
      </c>
      <c r="I65" s="37">
        <v>15</v>
      </c>
      <c r="J65" s="37">
        <v>21</v>
      </c>
      <c r="K65" s="37">
        <v>19</v>
      </c>
      <c r="L65" s="37">
        <v>22</v>
      </c>
      <c r="M65" s="37">
        <v>23</v>
      </c>
      <c r="N65" s="37">
        <v>28</v>
      </c>
      <c r="O65" s="37">
        <v>25</v>
      </c>
      <c r="P65" s="37">
        <v>30</v>
      </c>
      <c r="Q65" s="37">
        <v>30</v>
      </c>
      <c r="R65" s="37">
        <v>34</v>
      </c>
      <c r="S65" s="37">
        <v>34</v>
      </c>
      <c r="T65" s="37">
        <v>36</v>
      </c>
      <c r="U65" s="37">
        <v>30</v>
      </c>
      <c r="V65" s="37">
        <v>47</v>
      </c>
      <c r="W65" s="37">
        <v>45</v>
      </c>
      <c r="X65" s="37">
        <v>50</v>
      </c>
      <c r="Y65" s="37">
        <v>53</v>
      </c>
      <c r="Z65" s="37">
        <v>56</v>
      </c>
      <c r="AA65" s="44">
        <v>55</v>
      </c>
      <c r="AB65" s="44">
        <v>58</v>
      </c>
      <c r="AC65" s="44">
        <v>67</v>
      </c>
      <c r="AD65" s="44">
        <v>74</v>
      </c>
      <c r="AE65" s="44">
        <v>71</v>
      </c>
      <c r="AF65" s="44">
        <v>74</v>
      </c>
      <c r="AG65" s="44">
        <v>77</v>
      </c>
      <c r="AH65" s="44">
        <v>87</v>
      </c>
      <c r="AI65" s="68">
        <v>85</v>
      </c>
      <c r="AJ65" s="44">
        <v>86</v>
      </c>
      <c r="AK65" s="37">
        <v>85</v>
      </c>
      <c r="AL65" s="65">
        <v>90</v>
      </c>
      <c r="AM65" s="65">
        <v>82</v>
      </c>
      <c r="AN65" s="69">
        <v>88</v>
      </c>
      <c r="AO65" s="69">
        <v>90</v>
      </c>
      <c r="AP65" s="103">
        <v>98</v>
      </c>
      <c r="AQ65" s="65">
        <v>85</v>
      </c>
      <c r="AR65" s="65">
        <v>100</v>
      </c>
      <c r="AS65" s="65">
        <v>100</v>
      </c>
      <c r="AT65" s="65">
        <v>116</v>
      </c>
      <c r="AU65" s="44">
        <v>104</v>
      </c>
      <c r="AV65" s="65">
        <v>121</v>
      </c>
      <c r="AW65" s="44">
        <v>131</v>
      </c>
      <c r="AX65" s="65">
        <v>126</v>
      </c>
      <c r="AY65" s="65">
        <v>95</v>
      </c>
      <c r="AZ65" s="44">
        <v>108</v>
      </c>
      <c r="BA65" s="44">
        <v>108</v>
      </c>
      <c r="BB65" s="44">
        <v>121</v>
      </c>
      <c r="BC65" s="65">
        <f>0+107</f>
        <v>107</v>
      </c>
      <c r="BD65" s="44">
        <v>103</v>
      </c>
      <c r="BE65" s="44">
        <v>100</v>
      </c>
      <c r="BF65" s="65">
        <v>107</v>
      </c>
      <c r="BG65" s="44">
        <v>99</v>
      </c>
      <c r="BH65" s="65">
        <v>106</v>
      </c>
      <c r="BI65" s="44">
        <v>117</v>
      </c>
      <c r="BJ65" s="65">
        <v>115</v>
      </c>
      <c r="BK65" s="65">
        <v>94</v>
      </c>
      <c r="BL65" s="44">
        <v>84</v>
      </c>
      <c r="BM65" s="44">
        <v>71</v>
      </c>
      <c r="BN65" s="44">
        <v>77</v>
      </c>
      <c r="BO65" s="44">
        <v>62</v>
      </c>
      <c r="BP65" s="44">
        <v>59</v>
      </c>
      <c r="BQ65" s="44">
        <v>52</v>
      </c>
      <c r="BR65" s="44">
        <v>62</v>
      </c>
      <c r="BS65" s="44" t="s">
        <v>605</v>
      </c>
      <c r="BT65" s="44" t="s">
        <v>605</v>
      </c>
      <c r="BU65" s="44" t="s">
        <v>605</v>
      </c>
      <c r="BV65" s="44" t="s">
        <v>605</v>
      </c>
      <c r="BW65" s="44"/>
      <c r="BX65" s="44"/>
      <c r="BY65" s="44"/>
      <c r="BZ65" s="44"/>
      <c r="CA65" s="44"/>
      <c r="CB65" s="44"/>
      <c r="CC65" s="44"/>
      <c r="CD65" s="44"/>
      <c r="CE65" s="44"/>
      <c r="CF65" s="44"/>
      <c r="CG65" s="44"/>
      <c r="CH65" s="44"/>
      <c r="CI65" s="44"/>
      <c r="CJ65" s="44"/>
      <c r="CK65" s="44"/>
      <c r="CL65" s="44"/>
      <c r="CM65" s="44"/>
      <c r="CN65" s="115"/>
      <c r="CO65" s="115"/>
      <c r="CP65" s="115"/>
      <c r="CQ65" s="115"/>
      <c r="CR65" s="115"/>
      <c r="CS65" s="115"/>
      <c r="CT65" s="115"/>
      <c r="CU65" s="115"/>
      <c r="CV65" s="115"/>
      <c r="CW65" s="115"/>
      <c r="CX65" s="115"/>
      <c r="CY65" s="115"/>
      <c r="CZ65" s="115"/>
      <c r="DA65" s="115"/>
      <c r="DB65" s="115"/>
      <c r="DC65" s="115"/>
      <c r="DD65" s="115"/>
      <c r="DE65" s="115"/>
      <c r="DF65" s="115"/>
      <c r="DG65" s="44"/>
      <c r="DH65" s="44"/>
      <c r="DI65" s="44"/>
      <c r="DJ65" s="44"/>
      <c r="DK65" s="44"/>
      <c r="DL65" s="68"/>
      <c r="DM65" s="68" t="s">
        <v>605</v>
      </c>
      <c r="DN65" s="68" t="s">
        <v>605</v>
      </c>
      <c r="DO65" s="68" t="s">
        <v>605</v>
      </c>
      <c r="DP65" s="68" t="s">
        <v>605</v>
      </c>
      <c r="DQ65" s="68">
        <f>SUM(G65:J65)</f>
        <v>53</v>
      </c>
      <c r="DR65" s="68">
        <f>SUM(K65:N65)</f>
        <v>92</v>
      </c>
      <c r="DS65" s="68">
        <f>SUM(O65:R65)</f>
        <v>119</v>
      </c>
      <c r="DT65" s="68">
        <f>SUM(S65:V65)</f>
        <v>147</v>
      </c>
      <c r="DU65" s="68">
        <f>SUM(W65:Z65)</f>
        <v>204</v>
      </c>
      <c r="DV65" s="68">
        <f>SUM(AA65:AD65)</f>
        <v>254</v>
      </c>
      <c r="DW65" s="68">
        <f>SUM(AE65:AH65)</f>
        <v>309</v>
      </c>
      <c r="DX65" s="44">
        <v>346</v>
      </c>
      <c r="DY65" s="44">
        <v>358</v>
      </c>
      <c r="DZ65" s="44">
        <f t="shared" si="157"/>
        <v>401</v>
      </c>
      <c r="EA65" s="44">
        <f t="shared" si="158"/>
        <v>482</v>
      </c>
      <c r="EB65" s="65">
        <f t="shared" si="159"/>
        <v>432</v>
      </c>
      <c r="EC65" s="44">
        <f t="shared" si="160"/>
        <v>417</v>
      </c>
      <c r="ED65" s="44">
        <f t="shared" si="162"/>
        <v>437</v>
      </c>
      <c r="EE65" s="44">
        <f t="shared" si="79"/>
        <v>326</v>
      </c>
      <c r="EF65" s="44">
        <f t="shared" si="80"/>
        <v>235</v>
      </c>
      <c r="EG65" s="44">
        <f t="shared" si="60"/>
        <v>0</v>
      </c>
      <c r="EH65" s="44">
        <f t="shared" ref="EH65:EK65" si="164">EG65*0.65</f>
        <v>0</v>
      </c>
      <c r="EI65" s="44">
        <f t="shared" si="164"/>
        <v>0</v>
      </c>
      <c r="EJ65" s="44">
        <f t="shared" si="164"/>
        <v>0</v>
      </c>
      <c r="EK65" s="44">
        <f t="shared" si="164"/>
        <v>0</v>
      </c>
      <c r="EL65" s="44">
        <f t="shared" si="14"/>
        <v>0</v>
      </c>
      <c r="EM65" s="44">
        <f t="shared" si="4"/>
        <v>0</v>
      </c>
      <c r="EN65" s="44">
        <f t="shared" si="5"/>
        <v>0</v>
      </c>
      <c r="EO65" s="44">
        <f t="shared" si="107"/>
        <v>0</v>
      </c>
      <c r="EP65" s="44">
        <f t="shared" si="7"/>
        <v>0</v>
      </c>
      <c r="FH65" s="81">
        <f t="shared" ref="FH65" si="165">EC65*0.2</f>
        <v>83.4</v>
      </c>
      <c r="FI65" s="44">
        <f t="shared" ref="FI65" si="166">EH65*0.1</f>
        <v>0</v>
      </c>
      <c r="FJ65" s="82">
        <v>0</v>
      </c>
    </row>
    <row r="66" spans="1:175">
      <c r="B66" s="4" t="s">
        <v>717</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37">
        <v>65</v>
      </c>
      <c r="T66" s="44">
        <f>21+1</f>
        <v>22</v>
      </c>
      <c r="U66" s="44">
        <f>22+1</f>
        <v>23</v>
      </c>
      <c r="V66" s="44">
        <f>38+1</f>
        <v>39</v>
      </c>
      <c r="W66" s="44">
        <f>36+2</f>
        <v>38</v>
      </c>
      <c r="X66" s="44">
        <f>45+3</f>
        <v>48</v>
      </c>
      <c r="Y66" s="44">
        <f>54+3</f>
        <v>57</v>
      </c>
      <c r="Z66" s="44">
        <f>74+5</f>
        <v>79</v>
      </c>
      <c r="AA66" s="44">
        <f>69+9</f>
        <v>78</v>
      </c>
      <c r="AB66" s="44">
        <f>62+12</f>
        <v>74</v>
      </c>
      <c r="AC66" s="44">
        <f>82+14</f>
        <v>96</v>
      </c>
      <c r="AD66" s="44">
        <f>89+16</f>
        <v>105</v>
      </c>
      <c r="AE66" s="44">
        <f>72+16</f>
        <v>88</v>
      </c>
      <c r="AF66" s="44">
        <f>91+19</f>
        <v>110</v>
      </c>
      <c r="AG66" s="44">
        <f>104+21</f>
        <v>125</v>
      </c>
      <c r="AH66" s="44">
        <v>143</v>
      </c>
      <c r="AI66" s="68">
        <f>112+26</f>
        <v>138</v>
      </c>
      <c r="AJ66" s="44">
        <f>119+26</f>
        <v>145</v>
      </c>
      <c r="AK66" s="44">
        <f>121+27</f>
        <v>148</v>
      </c>
      <c r="AL66" s="65">
        <v>159</v>
      </c>
      <c r="AM66" s="65">
        <v>182</v>
      </c>
      <c r="AN66" s="65">
        <v>165</v>
      </c>
      <c r="AO66" s="65">
        <v>201</v>
      </c>
      <c r="AP66" s="103">
        <v>210</v>
      </c>
      <c r="AQ66" s="65">
        <v>216</v>
      </c>
      <c r="AR66" s="65">
        <v>178</v>
      </c>
      <c r="AS66" s="65">
        <v>228</v>
      </c>
      <c r="AT66" s="65">
        <v>232</v>
      </c>
      <c r="AU66" s="44">
        <f>200+41</f>
        <v>241</v>
      </c>
      <c r="AV66" s="65">
        <f>184+48</f>
        <v>232</v>
      </c>
      <c r="AW66" s="44">
        <v>258</v>
      </c>
      <c r="AX66" s="65">
        <v>276</v>
      </c>
      <c r="AY66" s="65">
        <v>230</v>
      </c>
      <c r="AZ66" s="44">
        <v>231</v>
      </c>
      <c r="BA66" s="44">
        <v>252</v>
      </c>
      <c r="BB66" s="44">
        <v>289</v>
      </c>
      <c r="BC66" s="65">
        <f>213+41</f>
        <v>254</v>
      </c>
      <c r="BD66" s="44">
        <v>247</v>
      </c>
      <c r="BE66" s="44">
        <v>262</v>
      </c>
      <c r="BF66" s="65">
        <v>264</v>
      </c>
      <c r="BG66" s="44">
        <v>232</v>
      </c>
      <c r="BH66" s="65">
        <v>258</v>
      </c>
      <c r="BI66" s="44">
        <v>263</v>
      </c>
      <c r="BJ66" s="65">
        <v>269</v>
      </c>
      <c r="BK66" s="65">
        <v>181</v>
      </c>
      <c r="BL66" s="44">
        <v>84</v>
      </c>
      <c r="BM66" s="44">
        <v>57</v>
      </c>
      <c r="BN66" s="44">
        <v>31</v>
      </c>
      <c r="BO66" s="68" t="s">
        <v>605</v>
      </c>
      <c r="BP66" s="68" t="s">
        <v>605</v>
      </c>
      <c r="BQ66" s="68" t="s">
        <v>605</v>
      </c>
      <c r="BR66" s="44">
        <v>77</v>
      </c>
      <c r="BS66" s="44" t="s">
        <v>605</v>
      </c>
      <c r="BT66" s="44" t="s">
        <v>605</v>
      </c>
      <c r="BU66" s="44" t="s">
        <v>605</v>
      </c>
      <c r="BV66" s="44" t="s">
        <v>605</v>
      </c>
      <c r="BW66" s="44"/>
      <c r="BX66" s="44"/>
      <c r="BY66" s="44"/>
      <c r="BZ66" s="44"/>
      <c r="CA66" s="44"/>
      <c r="CB66" s="44"/>
      <c r="CC66" s="44"/>
      <c r="CD66" s="44"/>
      <c r="CE66" s="44"/>
      <c r="CF66" s="44"/>
      <c r="CG66" s="44"/>
      <c r="CH66" s="44"/>
      <c r="CI66" s="44"/>
      <c r="CJ66" s="44"/>
      <c r="CK66" s="44"/>
      <c r="CL66" s="44"/>
      <c r="CM66" s="44"/>
      <c r="CN66" s="115"/>
      <c r="CO66" s="115"/>
      <c r="CP66" s="115"/>
      <c r="CQ66" s="115"/>
      <c r="CR66" s="115"/>
      <c r="CS66" s="115"/>
      <c r="CT66" s="115"/>
      <c r="CU66" s="115"/>
      <c r="CV66" s="115"/>
      <c r="CW66" s="115"/>
      <c r="CX66" s="115"/>
      <c r="CY66" s="115"/>
      <c r="CZ66" s="115"/>
      <c r="DA66" s="115"/>
      <c r="DB66" s="115"/>
      <c r="DC66" s="115"/>
      <c r="DD66" s="115"/>
      <c r="DE66" s="115"/>
      <c r="DF66" s="115"/>
      <c r="DG66" s="44"/>
      <c r="DH66" s="44"/>
      <c r="DL66" s="68"/>
      <c r="DM66" s="68" t="s">
        <v>605</v>
      </c>
      <c r="DN66" s="68" t="s">
        <v>605</v>
      </c>
      <c r="DO66" s="68" t="s">
        <v>605</v>
      </c>
      <c r="DP66" s="68" t="s">
        <v>605</v>
      </c>
      <c r="DQ66" s="68" t="s">
        <v>605</v>
      </c>
      <c r="DR66" s="68" t="s">
        <v>605</v>
      </c>
      <c r="DS66" s="68" t="s">
        <v>605</v>
      </c>
      <c r="DT66" s="68">
        <f>SUM(S66:V66)</f>
        <v>149</v>
      </c>
      <c r="DU66" s="68">
        <f>SUM(W66:Z66)</f>
        <v>222</v>
      </c>
      <c r="DV66" s="68">
        <f>SUM(AA66:AD66)</f>
        <v>353</v>
      </c>
      <c r="DW66" s="68">
        <f>SUM(AE66:AH66)</f>
        <v>466</v>
      </c>
      <c r="DX66" s="44">
        <v>589</v>
      </c>
      <c r="DY66" s="44">
        <v>758</v>
      </c>
      <c r="DZ66" s="44">
        <f>SUM(AQ66:AT66)</f>
        <v>854</v>
      </c>
      <c r="EA66" s="44">
        <f>SUM(AU66:AX66)</f>
        <v>1007</v>
      </c>
      <c r="EB66" s="65">
        <f>SUM(AY66:BB66)</f>
        <v>1002</v>
      </c>
      <c r="EC66" s="68">
        <f>SUM(BC66:BF66)</f>
        <v>1027</v>
      </c>
      <c r="ED66" s="44">
        <f>SUM(BG66:BJ66)</f>
        <v>1022</v>
      </c>
      <c r="EE66" s="44">
        <f>SUM(BK66:BN66)</f>
        <v>353</v>
      </c>
      <c r="EF66" s="44">
        <f>SUM(BO66:BR66)</f>
        <v>77</v>
      </c>
      <c r="EG66" s="44">
        <f t="shared" si="60"/>
        <v>0</v>
      </c>
      <c r="EH66" s="44">
        <f t="shared" ref="EH66:EK66" si="167">EG66*0.2</f>
        <v>0</v>
      </c>
      <c r="EI66" s="44">
        <f t="shared" si="167"/>
        <v>0</v>
      </c>
      <c r="EJ66" s="44">
        <f t="shared" si="167"/>
        <v>0</v>
      </c>
      <c r="EK66" s="44">
        <f t="shared" si="167"/>
        <v>0</v>
      </c>
      <c r="EL66" s="44">
        <f t="shared" si="14"/>
        <v>0</v>
      </c>
      <c r="EM66" s="44">
        <f t="shared" si="4"/>
        <v>0</v>
      </c>
      <c r="EN66" s="44">
        <f t="shared" si="5"/>
        <v>0</v>
      </c>
      <c r="EO66" s="44">
        <f t="shared" si="107"/>
        <v>0</v>
      </c>
      <c r="EP66" s="44">
        <f t="shared" si="7"/>
        <v>0</v>
      </c>
      <c r="FH66" s="81">
        <f>EC66*0.5</f>
        <v>513.5</v>
      </c>
      <c r="FI66" s="44">
        <f>EH66*0.1</f>
        <v>0</v>
      </c>
      <c r="FJ66" s="82">
        <v>0</v>
      </c>
      <c r="FL66" s="14" t="s">
        <v>718</v>
      </c>
    </row>
    <row r="67" spans="1:175" collapsed="1">
      <c r="B67" s="4" t="s">
        <v>719</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t="s">
        <v>605</v>
      </c>
      <c r="X67" s="62" t="s">
        <v>605</v>
      </c>
      <c r="Y67" s="62" t="s">
        <v>605</v>
      </c>
      <c r="Z67" s="62" t="s">
        <v>605</v>
      </c>
      <c r="AA67" s="62" t="s">
        <v>605</v>
      </c>
      <c r="AB67" s="62" t="s">
        <v>605</v>
      </c>
      <c r="AC67" s="62" t="s">
        <v>605</v>
      </c>
      <c r="AD67" s="62" t="s">
        <v>605</v>
      </c>
      <c r="AE67" s="44">
        <v>28</v>
      </c>
      <c r="AF67" s="44">
        <v>2</v>
      </c>
      <c r="AG67" s="44">
        <v>5</v>
      </c>
      <c r="AH67" s="44">
        <v>15</v>
      </c>
      <c r="AI67" s="68">
        <f>30+1</f>
        <v>31</v>
      </c>
      <c r="AJ67" s="44">
        <v>41</v>
      </c>
      <c r="AK67" s="44">
        <v>48</v>
      </c>
      <c r="AL67" s="65">
        <v>65</v>
      </c>
      <c r="AM67" s="65">
        <v>77</v>
      </c>
      <c r="AN67" s="65">
        <v>80</v>
      </c>
      <c r="AO67" s="65">
        <v>98</v>
      </c>
      <c r="AP67" s="70">
        <v>115</v>
      </c>
      <c r="AQ67" s="65">
        <v>146</v>
      </c>
      <c r="AR67" s="65">
        <v>119</v>
      </c>
      <c r="AS67" s="65">
        <f>128+21</f>
        <v>149</v>
      </c>
      <c r="AT67" s="65">
        <v>154</v>
      </c>
      <c r="AU67" s="44">
        <f>120+27</f>
        <v>147</v>
      </c>
      <c r="AV67" s="65">
        <f>116+30</f>
        <v>146</v>
      </c>
      <c r="AW67" s="44">
        <v>148</v>
      </c>
      <c r="AX67" s="65">
        <v>148</v>
      </c>
      <c r="AY67" s="65">
        <v>134</v>
      </c>
      <c r="AZ67" s="44">
        <v>128</v>
      </c>
      <c r="BA67" s="44">
        <v>130</v>
      </c>
      <c r="BB67" s="44">
        <v>156</v>
      </c>
      <c r="BC67" s="65">
        <f>86+49</f>
        <v>135</v>
      </c>
      <c r="BD67" s="44">
        <v>126</v>
      </c>
      <c r="BE67" s="44">
        <v>127</v>
      </c>
      <c r="BF67" s="65">
        <v>139</v>
      </c>
      <c r="BG67" s="44">
        <v>142</v>
      </c>
      <c r="BH67" s="65">
        <v>143</v>
      </c>
      <c r="BI67" s="44">
        <v>150</v>
      </c>
      <c r="BJ67" s="65">
        <v>103</v>
      </c>
      <c r="BK67" s="65">
        <v>65</v>
      </c>
      <c r="BL67" s="44">
        <v>58</v>
      </c>
      <c r="BM67" s="44">
        <v>68</v>
      </c>
      <c r="BN67" s="44">
        <v>67</v>
      </c>
      <c r="BO67" s="44">
        <v>56</v>
      </c>
      <c r="BP67" s="44">
        <v>56</v>
      </c>
      <c r="BQ67" s="44">
        <v>52</v>
      </c>
      <c r="BR67" s="44">
        <v>59</v>
      </c>
      <c r="BS67" s="44">
        <v>50</v>
      </c>
      <c r="BT67" s="44" t="s">
        <v>605</v>
      </c>
      <c r="BU67" s="44" t="s">
        <v>605</v>
      </c>
      <c r="BV67" s="44" t="s">
        <v>605</v>
      </c>
      <c r="BW67" s="44"/>
      <c r="BX67" s="44"/>
      <c r="BY67" s="44"/>
      <c r="BZ67" s="44"/>
      <c r="CA67" s="44"/>
      <c r="CB67" s="44"/>
      <c r="CC67" s="44"/>
      <c r="CD67" s="44"/>
      <c r="CE67" s="44"/>
      <c r="CF67" s="44"/>
      <c r="CG67" s="44"/>
      <c r="CH67" s="44"/>
      <c r="CI67" s="44"/>
      <c r="CJ67" s="44"/>
      <c r="CK67" s="44"/>
      <c r="CL67" s="44"/>
      <c r="CM67" s="44"/>
      <c r="CN67" s="115"/>
      <c r="CO67" s="115"/>
      <c r="CP67" s="115"/>
      <c r="CQ67" s="115"/>
      <c r="CR67" s="115"/>
      <c r="CS67" s="115"/>
      <c r="CT67" s="115"/>
      <c r="CU67" s="115"/>
      <c r="CV67" s="115"/>
      <c r="CW67" s="115"/>
      <c r="CX67" s="115"/>
      <c r="CY67" s="115"/>
      <c r="CZ67" s="115"/>
      <c r="DA67" s="115"/>
      <c r="DB67" s="115"/>
      <c r="DC67" s="115"/>
      <c r="DD67" s="115"/>
      <c r="DE67" s="115"/>
      <c r="DF67" s="115"/>
      <c r="DG67" s="44"/>
      <c r="DH67" s="44"/>
      <c r="DL67" s="68"/>
      <c r="DM67" s="68" t="s">
        <v>605</v>
      </c>
      <c r="DN67" s="68" t="s">
        <v>605</v>
      </c>
      <c r="DO67" s="68" t="s">
        <v>605</v>
      </c>
      <c r="DP67" s="68" t="s">
        <v>605</v>
      </c>
      <c r="DQ67" s="68" t="s">
        <v>605</v>
      </c>
      <c r="DR67" s="68" t="s">
        <v>605</v>
      </c>
      <c r="DS67" s="68" t="s">
        <v>605</v>
      </c>
      <c r="DT67" s="68" t="s">
        <v>605</v>
      </c>
      <c r="DU67" s="68" t="s">
        <v>605</v>
      </c>
      <c r="DV67" s="68" t="s">
        <v>605</v>
      </c>
      <c r="DW67" s="44">
        <f>SUM(AE67:AH67)</f>
        <v>50</v>
      </c>
      <c r="DX67" s="44">
        <v>185</v>
      </c>
      <c r="DY67" s="44">
        <v>370</v>
      </c>
      <c r="DZ67" s="44">
        <f>SUM(AQ67:AT67)</f>
        <v>568</v>
      </c>
      <c r="EA67" s="44">
        <f>SUM(AU67:AX67)</f>
        <v>589</v>
      </c>
      <c r="EB67" s="65">
        <f>SUM(AY67:BB67)</f>
        <v>548</v>
      </c>
      <c r="EC67" s="44">
        <f>SUM(BC67:BF67)</f>
        <v>527</v>
      </c>
      <c r="ED67" s="44">
        <f>SUM(BG67:BJ67)</f>
        <v>538</v>
      </c>
      <c r="EE67" s="44">
        <f>SUM(BK67:BN67)</f>
        <v>258</v>
      </c>
      <c r="EF67" s="44">
        <f>SUM(BO67:BR67)</f>
        <v>223</v>
      </c>
      <c r="EG67" s="44">
        <f t="shared" si="60"/>
        <v>50</v>
      </c>
      <c r="EH67" s="44">
        <f t="shared" ref="EH67:EK67" si="168">+EG67*0.9</f>
        <v>45</v>
      </c>
      <c r="EI67" s="44">
        <f t="shared" si="168"/>
        <v>40.5</v>
      </c>
      <c r="EJ67" s="44">
        <f t="shared" si="168"/>
        <v>36.450000000000003</v>
      </c>
      <c r="EK67" s="44">
        <f t="shared" si="168"/>
        <v>32.805000000000007</v>
      </c>
      <c r="EL67" s="44">
        <f t="shared" si="14"/>
        <v>0</v>
      </c>
      <c r="EM67" s="44">
        <f t="shared" si="4"/>
        <v>0</v>
      </c>
      <c r="EN67" s="44">
        <f t="shared" si="5"/>
        <v>0</v>
      </c>
      <c r="EO67" s="44">
        <f t="shared" si="107"/>
        <v>0</v>
      </c>
      <c r="EP67" s="44">
        <f t="shared" si="7"/>
        <v>0</v>
      </c>
      <c r="FH67" s="81">
        <f>EC67*0.2</f>
        <v>105.4</v>
      </c>
      <c r="FI67" s="44">
        <f>EH67*0.1</f>
        <v>4.5</v>
      </c>
      <c r="FJ67" s="82">
        <f t="shared" ref="FJ67:FJ73" si="169">+EM67*0.5</f>
        <v>0</v>
      </c>
      <c r="FL67" s="14"/>
    </row>
    <row r="68" spans="1:175">
      <c r="B68" s="14" t="s">
        <v>720</v>
      </c>
      <c r="W68" s="44"/>
      <c r="X68" s="44"/>
      <c r="Y68" s="44"/>
      <c r="Z68" s="44"/>
      <c r="AA68" s="44"/>
      <c r="AB68" s="44"/>
      <c r="AC68" s="44"/>
      <c r="AD68" s="44"/>
      <c r="AE68" s="44"/>
      <c r="AF68" s="44"/>
      <c r="AG68" s="44"/>
      <c r="AH68" s="44"/>
      <c r="AI68" s="68"/>
      <c r="AJ68" s="44"/>
      <c r="AK68" s="44"/>
      <c r="AL68" s="65"/>
      <c r="AM68" s="65"/>
      <c r="AN68" s="65"/>
      <c r="AO68" s="65"/>
      <c r="AP68" s="70"/>
      <c r="AQ68" s="65"/>
      <c r="AR68" s="65"/>
      <c r="AS68" s="65"/>
      <c r="AT68" s="65"/>
      <c r="AU68" s="44"/>
      <c r="AV68" s="65"/>
      <c r="AW68" s="44"/>
      <c r="AX68" s="65"/>
      <c r="AY68" s="65"/>
      <c r="AZ68" s="44"/>
      <c r="BA68" s="44"/>
      <c r="BB68" s="44"/>
      <c r="BC68" s="65"/>
      <c r="BD68" s="44"/>
      <c r="BE68" s="44">
        <v>61</v>
      </c>
      <c r="BF68" s="65">
        <v>65</v>
      </c>
      <c r="BG68" s="44"/>
      <c r="BH68" s="65">
        <v>62</v>
      </c>
      <c r="BI68" s="44">
        <v>61</v>
      </c>
      <c r="BJ68" s="65">
        <v>60</v>
      </c>
      <c r="BK68" s="65">
        <v>56</v>
      </c>
      <c r="BL68" s="44">
        <v>53</v>
      </c>
      <c r="BM68" s="44">
        <v>50</v>
      </c>
      <c r="BN68" s="68" t="s">
        <v>605</v>
      </c>
      <c r="BO68" s="68" t="s">
        <v>605</v>
      </c>
      <c r="BP68" s="68" t="s">
        <v>605</v>
      </c>
      <c r="BQ68" s="68" t="s">
        <v>605</v>
      </c>
      <c r="BR68" s="68" t="s">
        <v>605</v>
      </c>
      <c r="BS68" s="44" t="s">
        <v>605</v>
      </c>
      <c r="BT68" s="44" t="s">
        <v>605</v>
      </c>
      <c r="BU68" s="44" t="str">
        <f t="shared" si="155"/>
        <v>-</v>
      </c>
      <c r="BV68" s="44" t="s">
        <v>605</v>
      </c>
      <c r="BW68" s="44"/>
      <c r="BX68" s="44"/>
      <c r="BY68" s="44"/>
      <c r="BZ68" s="44"/>
      <c r="CA68" s="44"/>
      <c r="CB68" s="44"/>
      <c r="CC68" s="44"/>
      <c r="CD68" s="44"/>
      <c r="CE68" s="44"/>
      <c r="CF68" s="44"/>
      <c r="CG68" s="44"/>
      <c r="CH68" s="44"/>
      <c r="CI68" s="44"/>
      <c r="CJ68" s="44"/>
      <c r="CK68" s="44"/>
      <c r="CL68" s="44"/>
      <c r="CM68" s="44"/>
      <c r="CN68" s="115"/>
      <c r="CO68" s="115"/>
      <c r="CP68" s="115"/>
      <c r="CQ68" s="115"/>
      <c r="CR68" s="115"/>
      <c r="CS68" s="115"/>
      <c r="CT68" s="115"/>
      <c r="CU68" s="115"/>
      <c r="CV68" s="115"/>
      <c r="CW68" s="115"/>
      <c r="CX68" s="115"/>
      <c r="CY68" s="115"/>
      <c r="CZ68" s="115"/>
      <c r="DA68" s="115"/>
      <c r="DB68" s="115"/>
      <c r="DC68" s="115"/>
      <c r="DD68" s="115"/>
      <c r="DE68" s="115"/>
      <c r="DF68" s="115"/>
      <c r="DG68" s="44"/>
      <c r="DH68" s="44"/>
      <c r="DL68" s="68"/>
      <c r="DM68" s="68"/>
      <c r="DN68" s="44"/>
      <c r="DO68" s="44"/>
      <c r="DP68" s="44"/>
      <c r="DQ68" s="68"/>
      <c r="DR68" s="68"/>
      <c r="DS68" s="68"/>
      <c r="DT68" s="68"/>
      <c r="DU68" s="68"/>
      <c r="DV68" s="68"/>
      <c r="DW68" s="68"/>
      <c r="DX68" s="44"/>
      <c r="DY68" s="44"/>
      <c r="DZ68" s="44"/>
      <c r="EA68" s="44"/>
      <c r="EB68" s="65"/>
      <c r="EE68" s="44">
        <f t="shared" ref="EE68:EE73" si="170">SUM(BK68:BN68)</f>
        <v>159</v>
      </c>
      <c r="EF68" s="44">
        <f t="shared" ref="EF68:EF73" si="171">SUM(BO68:BR68)</f>
        <v>0</v>
      </c>
      <c r="EG68" s="44">
        <f t="shared" si="60"/>
        <v>0</v>
      </c>
      <c r="EH68" s="44">
        <f t="shared" ref="EH68:EK68" si="172">+EG68*0.9</f>
        <v>0</v>
      </c>
      <c r="EI68" s="44">
        <f t="shared" si="172"/>
        <v>0</v>
      </c>
      <c r="EJ68" s="44">
        <f t="shared" si="172"/>
        <v>0</v>
      </c>
      <c r="EK68" s="44">
        <f t="shared" si="172"/>
        <v>0</v>
      </c>
      <c r="EL68" s="44">
        <f t="shared" si="14"/>
        <v>0</v>
      </c>
      <c r="EM68" s="44">
        <f t="shared" si="4"/>
        <v>0</v>
      </c>
      <c r="EN68" s="44">
        <f t="shared" si="5"/>
        <v>0</v>
      </c>
      <c r="EO68" s="44">
        <f t="shared" si="107"/>
        <v>0</v>
      </c>
      <c r="EP68" s="44">
        <f t="shared" si="7"/>
        <v>0</v>
      </c>
      <c r="FH68" s="44"/>
      <c r="FJ68" s="82">
        <f t="shared" si="169"/>
        <v>0</v>
      </c>
    </row>
    <row r="69" spans="1:175" collapsed="1">
      <c r="B69" s="4" t="s">
        <v>722</v>
      </c>
      <c r="G69" s="37">
        <f>81+15</f>
        <v>96</v>
      </c>
      <c r="H69" s="37">
        <f>105+17</f>
        <v>122</v>
      </c>
      <c r="I69" s="37">
        <f>113+19</f>
        <v>132</v>
      </c>
      <c r="J69" s="37">
        <f>143+21</f>
        <v>164</v>
      </c>
      <c r="K69" s="37">
        <f>152+24</f>
        <v>176</v>
      </c>
      <c r="L69" s="37">
        <f>178+28</f>
        <v>206</v>
      </c>
      <c r="M69" s="37">
        <f>207+30</f>
        <v>237</v>
      </c>
      <c r="N69" s="37">
        <f>259+35</f>
        <v>294</v>
      </c>
      <c r="O69" s="37">
        <f>264+36</f>
        <v>300</v>
      </c>
      <c r="P69" s="37">
        <f>286+42</f>
        <v>328</v>
      </c>
      <c r="Q69" s="37">
        <f>295+40</f>
        <v>335</v>
      </c>
      <c r="R69" s="37">
        <f>330+41</f>
        <v>371</v>
      </c>
      <c r="S69" s="37">
        <f>331+48</f>
        <v>379</v>
      </c>
      <c r="T69" s="44">
        <f>374+58</f>
        <v>432</v>
      </c>
      <c r="U69" s="44">
        <f>379+63</f>
        <v>442</v>
      </c>
      <c r="V69" s="44">
        <f>427+71</f>
        <v>498</v>
      </c>
      <c r="W69" s="44">
        <f>499+69</f>
        <v>568</v>
      </c>
      <c r="X69" s="44">
        <f>381+77</f>
        <v>458</v>
      </c>
      <c r="Y69" s="44">
        <f>480+87</f>
        <v>567</v>
      </c>
      <c r="Z69" s="44">
        <f>575+101</f>
        <v>676</v>
      </c>
      <c r="AA69" s="44">
        <f>522+102</f>
        <v>624</v>
      </c>
      <c r="AB69" s="44">
        <f>473+119</f>
        <v>592</v>
      </c>
      <c r="AC69" s="44">
        <f>567+131</f>
        <v>698</v>
      </c>
      <c r="AD69" s="44">
        <f>642+146</f>
        <v>788</v>
      </c>
      <c r="AE69" s="44">
        <f>570+126</f>
        <v>696</v>
      </c>
      <c r="AF69" s="44">
        <f>644+138</f>
        <v>782</v>
      </c>
      <c r="AG69" s="44">
        <f>632+132</f>
        <v>764</v>
      </c>
      <c r="AH69" s="44">
        <f>352+129</f>
        <v>481</v>
      </c>
      <c r="AI69" s="68">
        <f>56+126</f>
        <v>182</v>
      </c>
      <c r="AJ69" s="44">
        <f>35+126</f>
        <v>161</v>
      </c>
      <c r="AK69" s="44">
        <f>41+114</f>
        <v>155</v>
      </c>
      <c r="AL69" s="65">
        <v>141</v>
      </c>
      <c r="AM69" s="65">
        <v>127</v>
      </c>
      <c r="AN69" s="69">
        <v>123</v>
      </c>
      <c r="AO69" s="70">
        <v>126</v>
      </c>
      <c r="AP69" s="70">
        <v>120</v>
      </c>
      <c r="AQ69" s="65">
        <v>110</v>
      </c>
      <c r="AR69" s="65">
        <v>105</v>
      </c>
      <c r="AS69" s="65">
        <v>106</v>
      </c>
      <c r="AT69" s="65">
        <v>110</v>
      </c>
      <c r="AU69" s="44">
        <f>13+76</f>
        <v>89</v>
      </c>
      <c r="AV69" s="65">
        <v>104</v>
      </c>
      <c r="AW69" s="44">
        <v>102</v>
      </c>
      <c r="AX69" s="65">
        <v>92</v>
      </c>
      <c r="AY69" s="65">
        <v>78</v>
      </c>
      <c r="AZ69" s="44">
        <v>82</v>
      </c>
      <c r="BA69" s="44">
        <v>82</v>
      </c>
      <c r="BB69" s="44"/>
      <c r="BC69" s="65"/>
      <c r="BD69" s="44"/>
      <c r="BE69" s="44">
        <v>80</v>
      </c>
      <c r="BF69" s="65">
        <v>84</v>
      </c>
      <c r="BG69" s="44"/>
      <c r="BH69" s="65">
        <v>84</v>
      </c>
      <c r="BI69" s="44">
        <v>67</v>
      </c>
      <c r="BJ69" s="65">
        <v>67</v>
      </c>
      <c r="BK69" s="65">
        <v>58</v>
      </c>
      <c r="BL69" s="44">
        <v>62</v>
      </c>
      <c r="BM69" s="44">
        <v>52</v>
      </c>
      <c r="BN69" s="44">
        <v>63</v>
      </c>
      <c r="BO69" s="44">
        <v>52</v>
      </c>
      <c r="BP69" s="44">
        <v>56</v>
      </c>
      <c r="BQ69" s="44">
        <v>50</v>
      </c>
      <c r="BR69" s="44">
        <v>58</v>
      </c>
      <c r="BS69" s="44" t="s">
        <v>605</v>
      </c>
      <c r="BT69" s="44">
        <v>58</v>
      </c>
      <c r="BU69" s="44">
        <f t="shared" si="155"/>
        <v>50</v>
      </c>
      <c r="BV69" s="44">
        <f t="shared" si="156"/>
        <v>58</v>
      </c>
      <c r="BW69" s="44"/>
      <c r="BX69" s="44"/>
      <c r="BY69" s="44"/>
      <c r="BZ69" s="44"/>
      <c r="CA69" s="44"/>
      <c r="CB69" s="44"/>
      <c r="CC69" s="44"/>
      <c r="CD69" s="44"/>
      <c r="CE69" s="44"/>
      <c r="CF69" s="44"/>
      <c r="CG69" s="44"/>
      <c r="CH69" s="44"/>
      <c r="CI69" s="44"/>
      <c r="CJ69" s="44"/>
      <c r="CK69" s="44"/>
      <c r="CL69" s="44"/>
      <c r="CM69" s="44"/>
      <c r="CN69" s="115"/>
      <c r="CO69" s="115"/>
      <c r="CP69" s="115"/>
      <c r="CQ69" s="115"/>
      <c r="CR69" s="115"/>
      <c r="CS69" s="115"/>
      <c r="CT69" s="115"/>
      <c r="CU69" s="115"/>
      <c r="CV69" s="115"/>
      <c r="CW69" s="115"/>
      <c r="CX69" s="115"/>
      <c r="CY69" s="115"/>
      <c r="CZ69" s="115"/>
      <c r="DA69" s="115"/>
      <c r="DB69" s="115"/>
      <c r="DC69" s="115"/>
      <c r="DD69" s="115"/>
      <c r="DE69" s="115"/>
      <c r="DF69" s="115"/>
      <c r="DG69" s="44"/>
      <c r="DH69" s="44"/>
      <c r="DL69" s="68"/>
      <c r="DM69" s="68" t="s">
        <v>605</v>
      </c>
      <c r="DN69" s="68" t="s">
        <v>605</v>
      </c>
      <c r="DO69" s="68" t="s">
        <v>605</v>
      </c>
      <c r="DP69" s="68" t="s">
        <v>605</v>
      </c>
      <c r="DQ69" s="68">
        <f>SUM(G69:J69)</f>
        <v>514</v>
      </c>
      <c r="DR69" s="68">
        <f>SUM(K69:N69)</f>
        <v>913</v>
      </c>
      <c r="DS69" s="68">
        <f>SUM(O69:R69)</f>
        <v>1334</v>
      </c>
      <c r="DT69" s="68">
        <f>SUM(S69:V69)</f>
        <v>1751</v>
      </c>
      <c r="DU69" s="68">
        <f>SUM(W69:Z69)</f>
        <v>2269</v>
      </c>
      <c r="DV69" s="68">
        <f>SUM(AA69:AD69)</f>
        <v>2702</v>
      </c>
      <c r="DW69" s="68">
        <f>SUM(AE69:AH69)</f>
        <v>2723</v>
      </c>
      <c r="DX69" s="44">
        <v>639</v>
      </c>
      <c r="DY69" s="44">
        <v>496</v>
      </c>
      <c r="DZ69" s="44">
        <f>SUM(AQ69:AT69)</f>
        <v>431</v>
      </c>
      <c r="EA69" s="44">
        <f>SUM(AU69:AX69)</f>
        <v>387</v>
      </c>
      <c r="EB69" s="65">
        <f>SUM(AY69:BB69)</f>
        <v>242</v>
      </c>
      <c r="EE69" s="44">
        <f t="shared" si="170"/>
        <v>235</v>
      </c>
      <c r="EF69" s="44">
        <f t="shared" si="171"/>
        <v>216</v>
      </c>
      <c r="EG69" s="44">
        <f t="shared" si="60"/>
        <v>166</v>
      </c>
      <c r="EH69" s="44">
        <f t="shared" ref="EH69:EK69" si="173">+EG69*0.9</f>
        <v>149.4</v>
      </c>
      <c r="EI69" s="44">
        <f t="shared" si="173"/>
        <v>134.46</v>
      </c>
      <c r="EJ69" s="44">
        <f t="shared" si="173"/>
        <v>121.01400000000001</v>
      </c>
      <c r="EK69" s="44">
        <f t="shared" si="173"/>
        <v>108.91260000000001</v>
      </c>
      <c r="EL69" s="44">
        <f t="shared" si="14"/>
        <v>0</v>
      </c>
      <c r="EM69" s="44">
        <f t="shared" si="4"/>
        <v>0</v>
      </c>
      <c r="EN69" s="44">
        <f t="shared" si="5"/>
        <v>0</v>
      </c>
      <c r="EO69" s="44">
        <f t="shared" si="107"/>
        <v>0</v>
      </c>
      <c r="EP69" s="44">
        <f t="shared" si="7"/>
        <v>0</v>
      </c>
      <c r="FH69" s="44"/>
      <c r="FJ69" s="82">
        <f t="shared" si="169"/>
        <v>0</v>
      </c>
    </row>
    <row r="70" spans="1:175" collapsed="1">
      <c r="B70" s="4" t="s">
        <v>723</v>
      </c>
      <c r="C70" s="37">
        <v>218</v>
      </c>
      <c r="D70" s="37">
        <v>216</v>
      </c>
      <c r="E70" s="37">
        <v>220</v>
      </c>
      <c r="F70" s="44">
        <f>DP70-E70-D70-C70</f>
        <v>227</v>
      </c>
      <c r="G70" s="37">
        <f>116+110</f>
        <v>226</v>
      </c>
      <c r="H70" s="37">
        <f>89+119</f>
        <v>208</v>
      </c>
      <c r="I70" s="37">
        <f>111+114</f>
        <v>225</v>
      </c>
      <c r="J70" s="37">
        <f>116+129</f>
        <v>245</v>
      </c>
      <c r="K70" s="37">
        <f>122+120</f>
        <v>242</v>
      </c>
      <c r="L70" s="37">
        <f>99+126</f>
        <v>225</v>
      </c>
      <c r="M70" s="37">
        <f>115+131</f>
        <v>246</v>
      </c>
      <c r="N70" s="37">
        <f>134+142</f>
        <v>276</v>
      </c>
      <c r="O70" s="37">
        <f>121+123</f>
        <v>244</v>
      </c>
      <c r="P70" s="37">
        <f>105+132</f>
        <v>237</v>
      </c>
      <c r="Q70" s="37">
        <f>132+122</f>
        <v>254</v>
      </c>
      <c r="R70" s="37">
        <f>148+131</f>
        <v>279</v>
      </c>
      <c r="S70" s="37">
        <f>147+117</f>
        <v>264</v>
      </c>
      <c r="T70" s="37">
        <f>120+128</f>
        <v>248</v>
      </c>
      <c r="U70" s="37">
        <f>144+119</f>
        <v>263</v>
      </c>
      <c r="V70" s="37">
        <f>165+127</f>
        <v>292</v>
      </c>
      <c r="W70" s="44">
        <f>154+114</f>
        <v>268</v>
      </c>
      <c r="X70" s="44">
        <f>124+121</f>
        <v>245</v>
      </c>
      <c r="Y70" s="44">
        <f>149+132</f>
        <v>281</v>
      </c>
      <c r="Z70" s="44">
        <f>183+135</f>
        <v>318</v>
      </c>
      <c r="AA70" s="44">
        <f>163+122</f>
        <v>285</v>
      </c>
      <c r="AB70" s="44">
        <f>135+127</f>
        <v>262</v>
      </c>
      <c r="AC70" s="44">
        <f>176+133</f>
        <v>309</v>
      </c>
      <c r="AD70" s="44">
        <f>188+131</f>
        <v>319</v>
      </c>
      <c r="AE70" s="44">
        <f>176+128</f>
        <v>304</v>
      </c>
      <c r="AF70" s="44">
        <f>152+133</f>
        <v>285</v>
      </c>
      <c r="AG70" s="44">
        <f>87+130</f>
        <v>217</v>
      </c>
      <c r="AH70" s="44">
        <f>1+138</f>
        <v>139</v>
      </c>
      <c r="AI70" s="68">
        <f>6+132</f>
        <v>138</v>
      </c>
      <c r="AJ70" s="44">
        <f>-2+131</f>
        <v>129</v>
      </c>
      <c r="AK70" s="44">
        <f>-20+123</f>
        <v>103</v>
      </c>
      <c r="AL70" s="65">
        <v>128</v>
      </c>
      <c r="AM70" s="65">
        <v>107</v>
      </c>
      <c r="AN70" s="69">
        <v>110</v>
      </c>
      <c r="AO70" s="70">
        <v>109</v>
      </c>
      <c r="AP70" s="70">
        <v>109</v>
      </c>
      <c r="AQ70" s="65">
        <v>111</v>
      </c>
      <c r="AR70" s="65">
        <v>104</v>
      </c>
      <c r="AS70" s="65">
        <v>96</v>
      </c>
      <c r="AT70" s="65">
        <v>104</v>
      </c>
      <c r="AU70" s="44">
        <f>3+86</f>
        <v>89</v>
      </c>
      <c r="AV70" s="65">
        <v>98</v>
      </c>
      <c r="AW70" s="44">
        <v>93</v>
      </c>
      <c r="AX70" s="65">
        <v>93</v>
      </c>
      <c r="AY70" s="65">
        <v>78</v>
      </c>
      <c r="AZ70" s="44">
        <v>74</v>
      </c>
      <c r="BA70" s="44">
        <v>93</v>
      </c>
      <c r="BB70" s="44"/>
      <c r="BC70" s="65"/>
      <c r="BD70" s="44"/>
      <c r="BE70" s="44">
        <v>74</v>
      </c>
      <c r="BF70" s="65">
        <v>73</v>
      </c>
      <c r="BG70" s="44">
        <v>65</v>
      </c>
      <c r="BH70" s="65">
        <v>64</v>
      </c>
      <c r="BI70" s="44">
        <v>72</v>
      </c>
      <c r="BJ70" s="65">
        <v>64</v>
      </c>
      <c r="BK70" s="65">
        <v>57</v>
      </c>
      <c r="BL70" s="44">
        <v>67</v>
      </c>
      <c r="BM70" s="44">
        <v>61</v>
      </c>
      <c r="BN70" s="44">
        <v>74</v>
      </c>
      <c r="BO70" s="68" t="s">
        <v>605</v>
      </c>
      <c r="BP70" s="68">
        <v>60</v>
      </c>
      <c r="BQ70" s="68">
        <v>59</v>
      </c>
      <c r="BR70" s="44">
        <v>78</v>
      </c>
      <c r="BS70" s="44">
        <v>52</v>
      </c>
      <c r="BT70" s="44">
        <v>46</v>
      </c>
      <c r="BU70" s="44">
        <f t="shared" si="155"/>
        <v>59</v>
      </c>
      <c r="BV70" s="44">
        <f t="shared" si="156"/>
        <v>78</v>
      </c>
      <c r="BW70" s="44"/>
      <c r="BX70" s="44"/>
      <c r="BY70" s="44"/>
      <c r="BZ70" s="44"/>
      <c r="CA70" s="44"/>
      <c r="CB70" s="44"/>
      <c r="CC70" s="44"/>
      <c r="CD70" s="44"/>
      <c r="CE70" s="44"/>
      <c r="CF70" s="44"/>
      <c r="CG70" s="44"/>
      <c r="CH70" s="44"/>
      <c r="CI70" s="44"/>
      <c r="CJ70" s="44"/>
      <c r="CK70" s="44"/>
      <c r="CL70" s="44"/>
      <c r="CM70" s="44"/>
      <c r="CN70" s="115"/>
      <c r="CO70" s="115"/>
      <c r="CP70" s="115"/>
      <c r="CQ70" s="115"/>
      <c r="CR70" s="115"/>
      <c r="CS70" s="115"/>
      <c r="CT70" s="115"/>
      <c r="CU70" s="115"/>
      <c r="CV70" s="115"/>
      <c r="CW70" s="115"/>
      <c r="CX70" s="115"/>
      <c r="CY70" s="115"/>
      <c r="CZ70" s="115"/>
      <c r="DA70" s="115"/>
      <c r="DB70" s="115"/>
      <c r="DC70" s="115"/>
      <c r="DD70" s="115"/>
      <c r="DE70" s="115"/>
      <c r="DF70" s="115"/>
      <c r="DG70" s="44"/>
      <c r="DH70" s="44"/>
      <c r="DL70" s="68"/>
      <c r="DM70" s="68">
        <v>721</v>
      </c>
      <c r="DN70" s="44">
        <v>878</v>
      </c>
      <c r="DO70" s="44">
        <v>910</v>
      </c>
      <c r="DP70" s="44">
        <f>397+484</f>
        <v>881</v>
      </c>
      <c r="DQ70" s="68">
        <f>SUM(G70:J70)</f>
        <v>904</v>
      </c>
      <c r="DR70" s="68">
        <f>SUM(K70:N70)</f>
        <v>989</v>
      </c>
      <c r="DS70" s="68">
        <f>SUM(O70:R70)</f>
        <v>1014</v>
      </c>
      <c r="DT70" s="68">
        <f>SUM(S70:V70)</f>
        <v>1067</v>
      </c>
      <c r="DU70" s="68">
        <f>SUM(W70:Z70)</f>
        <v>1112</v>
      </c>
      <c r="DV70" s="68">
        <f>SUM(AA70:AD70)</f>
        <v>1175</v>
      </c>
      <c r="DW70" s="68">
        <f>SUM(AE70:AH70)</f>
        <v>945</v>
      </c>
      <c r="DX70" s="44">
        <v>498</v>
      </c>
      <c r="DY70" s="44">
        <v>435</v>
      </c>
      <c r="DZ70" s="44">
        <f>SUM(AQ70:AT70)</f>
        <v>415</v>
      </c>
      <c r="EA70" s="44">
        <f>SUM(AU70:AX70)</f>
        <v>373</v>
      </c>
      <c r="EB70" s="65">
        <f>SUM(AY70:BB70)</f>
        <v>245</v>
      </c>
      <c r="EE70" s="44">
        <f t="shared" si="170"/>
        <v>259</v>
      </c>
      <c r="EF70" s="44">
        <f t="shared" si="171"/>
        <v>197</v>
      </c>
      <c r="EG70" s="44">
        <f t="shared" si="60"/>
        <v>235</v>
      </c>
      <c r="EH70" s="44">
        <f t="shared" ref="EH70:EK70" si="174">+EG70*0.9</f>
        <v>211.5</v>
      </c>
      <c r="EI70" s="44">
        <f t="shared" si="174"/>
        <v>190.35</v>
      </c>
      <c r="EJ70" s="44">
        <f t="shared" si="174"/>
        <v>171.315</v>
      </c>
      <c r="EK70" s="44">
        <f t="shared" si="174"/>
        <v>154.18350000000001</v>
      </c>
      <c r="EL70" s="44">
        <f t="shared" si="14"/>
        <v>0</v>
      </c>
      <c r="EM70" s="44">
        <f t="shared" ref="EM70:EM101" si="175">SUM(CQ70:CT70)</f>
        <v>0</v>
      </c>
      <c r="EN70" s="44">
        <f t="shared" si="5"/>
        <v>0</v>
      </c>
      <c r="EO70" s="44">
        <f t="shared" si="107"/>
        <v>0</v>
      </c>
      <c r="EP70" s="44">
        <f t="shared" ref="EP70:EP102" si="176">SUM(DC70:DF70)</f>
        <v>0</v>
      </c>
      <c r="FJ70" s="82">
        <f t="shared" si="169"/>
        <v>0</v>
      </c>
    </row>
    <row r="71" spans="1:175" s="136" customFormat="1">
      <c r="A71" s="111"/>
      <c r="B71" s="111" t="s">
        <v>604</v>
      </c>
      <c r="C71" s="68" t="s">
        <v>605</v>
      </c>
      <c r="D71" s="68" t="s">
        <v>605</v>
      </c>
      <c r="E71" s="68" t="s">
        <v>605</v>
      </c>
      <c r="F71" s="68" t="s">
        <v>605</v>
      </c>
      <c r="G71" s="68" t="s">
        <v>605</v>
      </c>
      <c r="H71" s="68" t="s">
        <v>605</v>
      </c>
      <c r="I71" s="68" t="s">
        <v>605</v>
      </c>
      <c r="J71" s="68" t="s">
        <v>605</v>
      </c>
      <c r="K71" s="68" t="s">
        <v>605</v>
      </c>
      <c r="L71" s="68" t="s">
        <v>605</v>
      </c>
      <c r="M71" s="68" t="s">
        <v>605</v>
      </c>
      <c r="N71" s="68" t="s">
        <v>605</v>
      </c>
      <c r="O71" s="68" t="s">
        <v>605</v>
      </c>
      <c r="P71" s="68" t="s">
        <v>605</v>
      </c>
      <c r="Q71" s="68" t="s">
        <v>605</v>
      </c>
      <c r="R71" s="68" t="s">
        <v>605</v>
      </c>
      <c r="S71" s="68" t="s">
        <v>605</v>
      </c>
      <c r="T71" s="68" t="s">
        <v>605</v>
      </c>
      <c r="U71" s="68" t="s">
        <v>605</v>
      </c>
      <c r="V71" s="68" t="s">
        <v>605</v>
      </c>
      <c r="W71" s="68" t="s">
        <v>605</v>
      </c>
      <c r="X71" s="68" t="s">
        <v>605</v>
      </c>
      <c r="Y71" s="68" t="s">
        <v>605</v>
      </c>
      <c r="Z71" s="68" t="s">
        <v>605</v>
      </c>
      <c r="AA71" s="68" t="s">
        <v>605</v>
      </c>
      <c r="AB71" s="68" t="s">
        <v>605</v>
      </c>
      <c r="AC71" s="68" t="s">
        <v>605</v>
      </c>
      <c r="AD71" s="68" t="s">
        <v>605</v>
      </c>
      <c r="AE71" s="68">
        <v>0</v>
      </c>
      <c r="AF71" s="68">
        <v>0</v>
      </c>
      <c r="AG71" s="68">
        <v>0</v>
      </c>
      <c r="AH71" s="68">
        <v>13</v>
      </c>
      <c r="AI71" s="68">
        <v>20</v>
      </c>
      <c r="AJ71" s="68">
        <v>38</v>
      </c>
      <c r="AK71" s="68">
        <f>29+51</f>
        <v>80</v>
      </c>
      <c r="AL71" s="70">
        <v>153</v>
      </c>
      <c r="AM71" s="70">
        <v>192</v>
      </c>
      <c r="AN71" s="70">
        <v>271</v>
      </c>
      <c r="AO71" s="70">
        <v>340</v>
      </c>
      <c r="AP71" s="70">
        <v>353</v>
      </c>
      <c r="AQ71" s="70">
        <v>395</v>
      </c>
      <c r="AR71" s="70">
        <v>405</v>
      </c>
      <c r="AS71" s="70">
        <f>269+196</f>
        <v>465</v>
      </c>
      <c r="AT71" s="70">
        <v>564</v>
      </c>
      <c r="AU71" s="68">
        <f>351+231</f>
        <v>582</v>
      </c>
      <c r="AV71" s="70">
        <f>336+278</f>
        <v>614</v>
      </c>
      <c r="AW71" s="68">
        <v>675</v>
      </c>
      <c r="AX71" s="70">
        <v>702</v>
      </c>
      <c r="AY71" s="70">
        <v>684</v>
      </c>
      <c r="AZ71" s="68">
        <v>629</v>
      </c>
      <c r="BA71" s="68">
        <v>708</v>
      </c>
      <c r="BB71" s="68">
        <f>410+410</f>
        <v>820</v>
      </c>
      <c r="BC71" s="70">
        <f>352+371</f>
        <v>723</v>
      </c>
      <c r="BD71" s="68">
        <v>762</v>
      </c>
      <c r="BE71" s="68">
        <v>757</v>
      </c>
      <c r="BF71" s="70">
        <v>821</v>
      </c>
      <c r="BG71" s="68">
        <v>826</v>
      </c>
      <c r="BH71" s="70">
        <v>908</v>
      </c>
      <c r="BI71" s="68">
        <v>961</v>
      </c>
      <c r="BJ71" s="70">
        <v>998</v>
      </c>
      <c r="BK71" s="70">
        <v>955</v>
      </c>
      <c r="BL71" s="68">
        <v>1035</v>
      </c>
      <c r="BM71" s="68">
        <v>1036</v>
      </c>
      <c r="BN71" s="68">
        <v>1132</v>
      </c>
      <c r="BO71" s="68">
        <v>1066</v>
      </c>
      <c r="BP71" s="68">
        <v>1134</v>
      </c>
      <c r="BQ71" s="68">
        <v>1135</v>
      </c>
      <c r="BR71" s="68">
        <v>1260</v>
      </c>
      <c r="BS71" s="68">
        <v>1150</v>
      </c>
      <c r="BT71" s="68">
        <v>1315</v>
      </c>
      <c r="BU71" s="68">
        <f>+BQ71*1.1</f>
        <v>1248.5</v>
      </c>
      <c r="BV71" s="68">
        <f>+BR71*1.1</f>
        <v>1386</v>
      </c>
      <c r="BW71" s="68"/>
      <c r="BX71" s="68"/>
      <c r="BY71" s="68"/>
      <c r="BZ71" s="68"/>
      <c r="CA71" s="68"/>
      <c r="CB71" s="68"/>
      <c r="CC71" s="68"/>
      <c r="CD71" s="68"/>
      <c r="CE71" s="68"/>
      <c r="CF71" s="68"/>
      <c r="CG71" s="68"/>
      <c r="CH71" s="68"/>
      <c r="CI71" s="68"/>
      <c r="CJ71" s="68"/>
      <c r="CK71" s="68">
        <v>1213</v>
      </c>
      <c r="CL71" s="68">
        <v>1320</v>
      </c>
      <c r="CM71" s="68">
        <v>1186</v>
      </c>
      <c r="CN71" s="122">
        <v>1175</v>
      </c>
      <c r="CO71" s="122">
        <v>527</v>
      </c>
      <c r="CP71" s="122">
        <v>433</v>
      </c>
      <c r="CQ71" s="122">
        <v>357</v>
      </c>
      <c r="CR71" s="122">
        <v>349</v>
      </c>
      <c r="CS71" s="122"/>
      <c r="CT71" s="122"/>
      <c r="CU71" s="122"/>
      <c r="CV71" s="122"/>
      <c r="CW71" s="122"/>
      <c r="CX71" s="122"/>
      <c r="CY71" s="122"/>
      <c r="CZ71" s="122"/>
      <c r="DA71" s="122"/>
      <c r="DB71" s="122"/>
      <c r="DC71" s="122"/>
      <c r="DD71" s="122"/>
      <c r="DE71" s="122"/>
      <c r="DF71" s="122"/>
      <c r="DG71" s="68"/>
      <c r="DH71" s="68"/>
      <c r="DI71" s="111"/>
      <c r="DJ71" s="111"/>
      <c r="DK71" s="111"/>
      <c r="DL71" s="68"/>
      <c r="DM71" s="68" t="s">
        <v>605</v>
      </c>
      <c r="DN71" s="68" t="s">
        <v>605</v>
      </c>
      <c r="DO71" s="68" t="s">
        <v>605</v>
      </c>
      <c r="DP71" s="68" t="s">
        <v>605</v>
      </c>
      <c r="DQ71" s="68" t="s">
        <v>605</v>
      </c>
      <c r="DR71" s="68" t="s">
        <v>605</v>
      </c>
      <c r="DS71" s="68" t="s">
        <v>605</v>
      </c>
      <c r="DT71" s="68" t="s">
        <v>605</v>
      </c>
      <c r="DU71" s="68" t="s">
        <v>605</v>
      </c>
      <c r="DV71" s="68" t="s">
        <v>605</v>
      </c>
      <c r="DW71" s="68">
        <v>13</v>
      </c>
      <c r="DX71" s="68">
        <v>291</v>
      </c>
      <c r="DY71" s="68">
        <f>SUM(AM71:AP71)</f>
        <v>1156</v>
      </c>
      <c r="DZ71" s="68">
        <f>SUM(AQ71:AT71)</f>
        <v>1829</v>
      </c>
      <c r="EA71" s="68">
        <f>SUM(AU71:AX71)</f>
        <v>2573</v>
      </c>
      <c r="EB71" s="70">
        <f>SUM(AY71:BB71)</f>
        <v>2841</v>
      </c>
      <c r="EC71" s="68">
        <f>SUM(BC71:BF71)</f>
        <v>3063</v>
      </c>
      <c r="ED71" s="68">
        <f>SUM(BG71:BJ71)</f>
        <v>3693</v>
      </c>
      <c r="EE71" s="44">
        <f>SUM(BK71:BN71)</f>
        <v>4158</v>
      </c>
      <c r="EF71" s="44">
        <f>SUM(BO71:BR71)</f>
        <v>4595</v>
      </c>
      <c r="EG71" s="44">
        <f>SUM(BS71:BV71)</f>
        <v>5099.5</v>
      </c>
      <c r="EH71" s="68">
        <f>EG71*1.05</f>
        <v>5354.4750000000004</v>
      </c>
      <c r="EI71" s="68">
        <f>EH71*1.05</f>
        <v>5622.1987500000005</v>
      </c>
      <c r="EJ71" s="68">
        <f>EI71*1.02</f>
        <v>5734.6427250000006</v>
      </c>
      <c r="EK71" s="68">
        <f>EJ71*0.5</f>
        <v>2867.3213625000003</v>
      </c>
      <c r="EL71" s="44">
        <f t="shared" si="14"/>
        <v>3321</v>
      </c>
      <c r="EM71" s="44">
        <f t="shared" si="175"/>
        <v>706</v>
      </c>
      <c r="EN71" s="44">
        <f t="shared" ref="EN71:EN102" si="177">SUM(CU71:CX71)</f>
        <v>0</v>
      </c>
      <c r="EO71" s="44">
        <f t="shared" ref="EO71:EO102" si="178">SUM(CY71:DB71)</f>
        <v>0</v>
      </c>
      <c r="EP71" s="44">
        <f t="shared" si="176"/>
        <v>0</v>
      </c>
      <c r="EQ71" s="68"/>
      <c r="ER71" s="68"/>
      <c r="ES71" s="68"/>
      <c r="ET71" s="68"/>
      <c r="EU71" s="68"/>
      <c r="EV71" s="68"/>
      <c r="EW71" s="68"/>
      <c r="EX71" s="68"/>
      <c r="EY71" s="68"/>
      <c r="EZ71" s="68"/>
      <c r="FA71" s="68"/>
      <c r="FB71" s="68"/>
      <c r="FC71" s="68"/>
      <c r="FD71" s="68"/>
      <c r="FE71" s="68"/>
      <c r="FF71" s="68"/>
      <c r="FG71" s="68"/>
      <c r="FH71" s="83">
        <f>EC71*0.6</f>
        <v>1837.8</v>
      </c>
      <c r="FI71" s="68">
        <f>EH71*0.7</f>
        <v>3748.1325000000002</v>
      </c>
      <c r="FJ71" s="84">
        <f>EM71*0.2</f>
        <v>141.20000000000002</v>
      </c>
      <c r="FK71" s="68"/>
      <c r="FL71" s="111" t="s">
        <v>606</v>
      </c>
      <c r="FM71" s="111"/>
      <c r="FN71" s="111"/>
      <c r="FO71" s="111"/>
      <c r="FP71" s="111"/>
      <c r="FQ71" s="111"/>
      <c r="FR71" s="111"/>
      <c r="FS71" s="111"/>
    </row>
    <row r="72" spans="1:175" collapsed="1">
      <c r="B72" s="4" t="s">
        <v>724</v>
      </c>
      <c r="C72" s="68"/>
      <c r="D72" s="68"/>
      <c r="E72" s="68"/>
      <c r="F72" s="68"/>
      <c r="G72" s="68" t="s">
        <v>605</v>
      </c>
      <c r="H72" s="68" t="s">
        <v>605</v>
      </c>
      <c r="I72" s="68" t="s">
        <v>605</v>
      </c>
      <c r="J72" s="68" t="s">
        <v>605</v>
      </c>
      <c r="K72" s="68" t="s">
        <v>605</v>
      </c>
      <c r="L72" s="68" t="s">
        <v>605</v>
      </c>
      <c r="M72" s="68" t="s">
        <v>605</v>
      </c>
      <c r="N72" s="68" t="s">
        <v>605</v>
      </c>
      <c r="O72" s="68" t="s">
        <v>605</v>
      </c>
      <c r="P72" s="68" t="s">
        <v>605</v>
      </c>
      <c r="Q72" s="68" t="s">
        <v>605</v>
      </c>
      <c r="R72" s="68" t="s">
        <v>605</v>
      </c>
      <c r="S72" s="68" t="s">
        <v>605</v>
      </c>
      <c r="T72" s="68" t="s">
        <v>605</v>
      </c>
      <c r="U72" s="68" t="s">
        <v>605</v>
      </c>
      <c r="V72" s="68" t="s">
        <v>605</v>
      </c>
      <c r="W72" s="44">
        <v>86</v>
      </c>
      <c r="X72" s="44">
        <v>87</v>
      </c>
      <c r="Y72" s="44">
        <v>60</v>
      </c>
      <c r="Z72" s="44">
        <v>81</v>
      </c>
      <c r="AA72" s="44">
        <v>82</v>
      </c>
      <c r="AB72" s="44">
        <f>41+23</f>
        <v>64</v>
      </c>
      <c r="AC72" s="44">
        <f>18+59</f>
        <v>77</v>
      </c>
      <c r="AD72" s="44">
        <f>35+61</f>
        <v>96</v>
      </c>
      <c r="AE72" s="44">
        <f>25+61</f>
        <v>86</v>
      </c>
      <c r="AF72" s="44">
        <f>23+63</f>
        <v>86</v>
      </c>
      <c r="AG72" s="44">
        <f>38+62</f>
        <v>100</v>
      </c>
      <c r="AH72" s="44">
        <f>37+69</f>
        <v>106</v>
      </c>
      <c r="AI72" s="68">
        <f>34+68</f>
        <v>102</v>
      </c>
      <c r="AJ72" s="44">
        <f>35+69</f>
        <v>104</v>
      </c>
      <c r="AK72" s="37">
        <f>36+65</f>
        <v>101</v>
      </c>
      <c r="AL72" s="65">
        <v>102</v>
      </c>
      <c r="AM72" s="65">
        <v>82</v>
      </c>
      <c r="AN72" s="69">
        <v>79</v>
      </c>
      <c r="AO72" s="69">
        <v>74</v>
      </c>
      <c r="AP72" s="103">
        <v>81</v>
      </c>
      <c r="AQ72" s="65">
        <v>75</v>
      </c>
      <c r="AR72" s="65">
        <v>79</v>
      </c>
      <c r="AS72" s="65">
        <v>85</v>
      </c>
      <c r="AT72" s="65">
        <v>86</v>
      </c>
      <c r="AU72" s="44">
        <f>17+69</f>
        <v>86</v>
      </c>
      <c r="AV72" s="65">
        <v>90</v>
      </c>
      <c r="AW72" s="44">
        <v>91</v>
      </c>
      <c r="AX72" s="65">
        <v>83</v>
      </c>
      <c r="AY72" s="65">
        <v>75</v>
      </c>
      <c r="AZ72" s="44">
        <v>74</v>
      </c>
      <c r="BA72" s="44">
        <v>81</v>
      </c>
      <c r="BB72" s="44"/>
      <c r="BC72" s="65"/>
      <c r="BD72" s="44"/>
      <c r="BE72" s="44">
        <v>72</v>
      </c>
      <c r="BF72" s="65">
        <v>83</v>
      </c>
      <c r="BG72" s="44"/>
      <c r="BH72" s="65">
        <v>79</v>
      </c>
      <c r="BI72" s="44">
        <v>77</v>
      </c>
      <c r="BJ72" s="65">
        <v>74</v>
      </c>
      <c r="BK72" s="65">
        <v>68</v>
      </c>
      <c r="BL72" s="44">
        <v>69</v>
      </c>
      <c r="BM72" s="44">
        <v>66</v>
      </c>
      <c r="BN72" s="44">
        <v>71</v>
      </c>
      <c r="BO72" s="44">
        <v>70</v>
      </c>
      <c r="BP72" s="44">
        <v>65</v>
      </c>
      <c r="BQ72" s="44">
        <v>69</v>
      </c>
      <c r="BR72" s="44">
        <v>72</v>
      </c>
      <c r="BS72" s="44">
        <v>59</v>
      </c>
      <c r="BT72" s="44">
        <v>68</v>
      </c>
      <c r="BU72" s="44">
        <f t="shared" si="155"/>
        <v>69</v>
      </c>
      <c r="BV72" s="44">
        <f t="shared" si="156"/>
        <v>72</v>
      </c>
      <c r="BW72" s="44"/>
      <c r="BX72" s="44"/>
      <c r="BY72" s="44"/>
      <c r="BZ72" s="44"/>
      <c r="CA72" s="44"/>
      <c r="CB72" s="44"/>
      <c r="CC72" s="44"/>
      <c r="CD72" s="44"/>
      <c r="CE72" s="44"/>
      <c r="CF72" s="44"/>
      <c r="CG72" s="44"/>
      <c r="CH72" s="44"/>
      <c r="CI72" s="44"/>
      <c r="CJ72" s="44"/>
      <c r="CK72" s="44">
        <v>52</v>
      </c>
      <c r="CL72" s="44"/>
      <c r="CM72" s="44"/>
      <c r="CN72" s="115"/>
      <c r="CO72" s="115">
        <v>50</v>
      </c>
      <c r="CP72" s="115"/>
      <c r="CQ72" s="115"/>
      <c r="CR72" s="115"/>
      <c r="CS72" s="115"/>
      <c r="CT72" s="115"/>
      <c r="CU72" s="115"/>
      <c r="CV72" s="115"/>
      <c r="CW72" s="115"/>
      <c r="CX72" s="115"/>
      <c r="CY72" s="115"/>
      <c r="CZ72" s="115"/>
      <c r="DA72" s="115"/>
      <c r="DB72" s="115"/>
      <c r="DC72" s="115"/>
      <c r="DD72" s="115"/>
      <c r="DE72" s="115"/>
      <c r="DF72" s="115"/>
      <c r="DG72" s="44"/>
      <c r="DH72" s="44"/>
      <c r="DL72" s="68"/>
      <c r="DM72" s="68" t="s">
        <v>605</v>
      </c>
      <c r="DN72" s="68" t="s">
        <v>605</v>
      </c>
      <c r="DO72" s="68" t="s">
        <v>605</v>
      </c>
      <c r="DP72" s="68" t="s">
        <v>605</v>
      </c>
      <c r="DQ72" s="68" t="s">
        <v>605</v>
      </c>
      <c r="DR72" s="68" t="s">
        <v>605</v>
      </c>
      <c r="DS72" s="68" t="s">
        <v>605</v>
      </c>
      <c r="DT72" s="68" t="s">
        <v>605</v>
      </c>
      <c r="DU72" s="44">
        <v>314</v>
      </c>
      <c r="DV72" s="44">
        <v>237</v>
      </c>
      <c r="DW72" s="44">
        <v>378</v>
      </c>
      <c r="DX72" s="44">
        <v>409</v>
      </c>
      <c r="DY72" s="44">
        <v>316</v>
      </c>
      <c r="DZ72" s="44">
        <f>SUM(AQ72:AT72)</f>
        <v>325</v>
      </c>
      <c r="EA72" s="44">
        <f>SUM(AU72:AX72)</f>
        <v>350</v>
      </c>
      <c r="EB72" s="65">
        <f>SUM(AY72:BB72)</f>
        <v>230</v>
      </c>
      <c r="EE72" s="44">
        <f t="shared" si="170"/>
        <v>274</v>
      </c>
      <c r="EF72" s="44">
        <f t="shared" si="171"/>
        <v>276</v>
      </c>
      <c r="EG72" s="44">
        <f t="shared" si="60"/>
        <v>268</v>
      </c>
      <c r="EH72" s="44">
        <f t="shared" ref="EH72:EK72" si="179">+EG72*0.9</f>
        <v>241.20000000000002</v>
      </c>
      <c r="EI72" s="44">
        <f t="shared" si="179"/>
        <v>217.08</v>
      </c>
      <c r="EJ72" s="44">
        <f t="shared" si="179"/>
        <v>195.37200000000001</v>
      </c>
      <c r="EK72" s="44">
        <f t="shared" si="179"/>
        <v>175.83480000000003</v>
      </c>
      <c r="EL72" s="44">
        <f t="shared" si="14"/>
        <v>50</v>
      </c>
      <c r="EM72" s="44">
        <f t="shared" si="175"/>
        <v>0</v>
      </c>
      <c r="EN72" s="44">
        <f t="shared" si="177"/>
        <v>0</v>
      </c>
      <c r="EO72" s="44">
        <f t="shared" si="178"/>
        <v>0</v>
      </c>
      <c r="EP72" s="44">
        <f t="shared" si="176"/>
        <v>0</v>
      </c>
      <c r="FJ72" s="82">
        <f t="shared" si="169"/>
        <v>0</v>
      </c>
      <c r="FL72" s="19"/>
    </row>
    <row r="73" spans="1:175">
      <c r="B73" s="14" t="s">
        <v>725</v>
      </c>
      <c r="W73" s="44"/>
      <c r="X73" s="44"/>
      <c r="Y73" s="44"/>
      <c r="Z73" s="44"/>
      <c r="AA73" s="44"/>
      <c r="AB73" s="44"/>
      <c r="AC73" s="44"/>
      <c r="AD73" s="44"/>
      <c r="AE73" s="44"/>
      <c r="AF73" s="44"/>
      <c r="AG73" s="44"/>
      <c r="AH73" s="44"/>
      <c r="AI73" s="68"/>
      <c r="AJ73" s="44"/>
      <c r="AK73" s="44"/>
      <c r="AL73" s="65"/>
      <c r="AM73" s="65"/>
      <c r="AN73" s="65"/>
      <c r="AO73" s="65"/>
      <c r="AP73" s="70"/>
      <c r="AQ73" s="65"/>
      <c r="AR73" s="65"/>
      <c r="AS73" s="65"/>
      <c r="AT73" s="65"/>
      <c r="AU73" s="44"/>
      <c r="AV73" s="65"/>
      <c r="AW73" s="44"/>
      <c r="AX73" s="65"/>
      <c r="AY73" s="65"/>
      <c r="AZ73" s="44"/>
      <c r="BA73" s="44"/>
      <c r="BB73" s="44"/>
      <c r="BC73" s="65"/>
      <c r="BD73" s="44"/>
      <c r="BE73" s="44">
        <v>61</v>
      </c>
      <c r="BF73" s="65">
        <v>62</v>
      </c>
      <c r="BG73" s="44"/>
      <c r="BH73" s="65">
        <v>61</v>
      </c>
      <c r="BI73" s="44">
        <v>58</v>
      </c>
      <c r="BJ73" s="65">
        <v>59</v>
      </c>
      <c r="BK73" s="65">
        <v>54</v>
      </c>
      <c r="BL73" s="44">
        <v>57</v>
      </c>
      <c r="BM73" s="44">
        <v>54</v>
      </c>
      <c r="BN73" s="44">
        <v>63</v>
      </c>
      <c r="BO73" s="44">
        <v>56</v>
      </c>
      <c r="BP73" s="44">
        <v>53</v>
      </c>
      <c r="BQ73" s="68" t="s">
        <v>605</v>
      </c>
      <c r="BR73" s="44">
        <v>54</v>
      </c>
      <c r="BS73" s="44" t="s">
        <v>605</v>
      </c>
      <c r="BT73" s="44">
        <v>54</v>
      </c>
      <c r="BU73" s="44" t="str">
        <f t="shared" si="155"/>
        <v>-</v>
      </c>
      <c r="BV73" s="44">
        <f t="shared" si="156"/>
        <v>54</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44"/>
      <c r="DH73" s="44"/>
      <c r="DL73" s="68"/>
      <c r="DM73" s="68">
        <v>290</v>
      </c>
      <c r="DN73" s="44">
        <v>333</v>
      </c>
      <c r="DO73" s="44">
        <v>326</v>
      </c>
      <c r="DP73" s="44"/>
      <c r="DQ73" s="68"/>
      <c r="DR73" s="68"/>
      <c r="DS73" s="68"/>
      <c r="DT73" s="68"/>
      <c r="DU73" s="68"/>
      <c r="DV73" s="68"/>
      <c r="DW73" s="68"/>
      <c r="DX73" s="44"/>
      <c r="DY73" s="44"/>
      <c r="DZ73" s="44"/>
      <c r="EA73" s="44"/>
      <c r="EB73" s="65"/>
      <c r="EE73" s="44">
        <f t="shared" si="170"/>
        <v>228</v>
      </c>
      <c r="EF73" s="44">
        <f t="shared" si="171"/>
        <v>163</v>
      </c>
      <c r="EG73" s="44">
        <f t="shared" si="60"/>
        <v>108</v>
      </c>
      <c r="EH73" s="44">
        <f t="shared" ref="EH73:EK73" si="180">+EG73*0.9</f>
        <v>97.2</v>
      </c>
      <c r="EI73" s="44">
        <f t="shared" si="180"/>
        <v>87.48</v>
      </c>
      <c r="EJ73" s="44">
        <f t="shared" si="180"/>
        <v>78.731999999999999</v>
      </c>
      <c r="EK73" s="44">
        <f t="shared" si="180"/>
        <v>70.858800000000002</v>
      </c>
      <c r="EL73" s="44">
        <f t="shared" si="14"/>
        <v>0</v>
      </c>
      <c r="EM73" s="44">
        <f t="shared" si="175"/>
        <v>0</v>
      </c>
      <c r="EN73" s="44">
        <f t="shared" si="177"/>
        <v>0</v>
      </c>
      <c r="EO73" s="44">
        <f t="shared" si="178"/>
        <v>0</v>
      </c>
      <c r="EP73" s="44">
        <f t="shared" si="176"/>
        <v>0</v>
      </c>
      <c r="FH73" s="44"/>
      <c r="FJ73" s="82">
        <f t="shared" si="169"/>
        <v>0</v>
      </c>
    </row>
    <row r="74" spans="1:175">
      <c r="B74" s="14" t="s">
        <v>728</v>
      </c>
      <c r="W74" s="44"/>
      <c r="X74" s="44"/>
      <c r="Y74" s="44"/>
      <c r="Z74" s="44"/>
      <c r="AA74" s="44"/>
      <c r="AB74" s="44"/>
      <c r="AC74" s="44"/>
      <c r="AD74" s="44"/>
      <c r="AE74" s="44"/>
      <c r="AF74" s="44"/>
      <c r="AG74" s="44"/>
      <c r="AH74" s="44"/>
      <c r="AI74" s="68"/>
      <c r="AJ74" s="44"/>
      <c r="AK74" s="44"/>
      <c r="AL74" s="65"/>
      <c r="AM74" s="65"/>
      <c r="AN74" s="65"/>
      <c r="AO74" s="65"/>
      <c r="AP74" s="70"/>
      <c r="AQ74" s="65"/>
      <c r="AR74" s="65"/>
      <c r="AS74" s="65"/>
      <c r="AT74" s="65"/>
      <c r="AU74" s="44"/>
      <c r="AV74" s="65"/>
      <c r="AW74" s="44"/>
      <c r="AX74" s="65"/>
      <c r="AY74" s="65"/>
      <c r="AZ74" s="44"/>
      <c r="BA74" s="44"/>
      <c r="BB74" s="44"/>
      <c r="BC74" s="65"/>
      <c r="BD74" s="44"/>
      <c r="BE74" s="44">
        <v>0</v>
      </c>
      <c r="BF74" s="65">
        <v>0</v>
      </c>
      <c r="BG74" s="44"/>
      <c r="BH74" s="65">
        <v>79</v>
      </c>
      <c r="BI74" s="44">
        <v>58</v>
      </c>
      <c r="BJ74" s="65">
        <v>58</v>
      </c>
      <c r="BK74" s="70" t="s">
        <v>605</v>
      </c>
      <c r="BL74" s="68">
        <v>61</v>
      </c>
      <c r="BM74" s="68">
        <v>55</v>
      </c>
      <c r="BN74" s="68">
        <v>74</v>
      </c>
      <c r="BO74" s="68" t="s">
        <v>605</v>
      </c>
      <c r="BP74" s="68">
        <v>66</v>
      </c>
      <c r="BQ74" s="68" t="s">
        <v>605</v>
      </c>
      <c r="BR74" s="68" t="s">
        <v>605</v>
      </c>
      <c r="BS74" s="44" t="s">
        <v>605</v>
      </c>
      <c r="BT74" s="44" t="s">
        <v>605</v>
      </c>
      <c r="BU74" s="44" t="str">
        <f t="shared" ref="BU74:BU78" si="181">+BQ74</f>
        <v>-</v>
      </c>
      <c r="BV74" s="44" t="str">
        <f t="shared" ref="BV74:BV78" si="182">+BR74</f>
        <v>-</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44"/>
      <c r="DH74" s="44"/>
      <c r="DL74" s="68"/>
      <c r="DM74" s="68"/>
      <c r="DN74" s="44"/>
      <c r="DO74" s="44"/>
      <c r="DP74" s="44"/>
      <c r="DQ74" s="68"/>
      <c r="DR74" s="68"/>
      <c r="DS74" s="68"/>
      <c r="DT74" s="68"/>
      <c r="DU74" s="68"/>
      <c r="DV74" s="68"/>
      <c r="DW74" s="68"/>
      <c r="DX74" s="44"/>
      <c r="DY74" s="44"/>
      <c r="DZ74" s="44"/>
      <c r="EA74" s="44"/>
      <c r="EB74" s="65"/>
      <c r="EG74" s="44">
        <f t="shared" si="60"/>
        <v>0</v>
      </c>
      <c r="EL74" s="44">
        <f t="shared" si="14"/>
        <v>0</v>
      </c>
      <c r="EM74" s="44">
        <f t="shared" si="175"/>
        <v>0</v>
      </c>
      <c r="EN74" s="44">
        <f t="shared" si="177"/>
        <v>0</v>
      </c>
      <c r="EO74" s="44">
        <f t="shared" si="178"/>
        <v>0</v>
      </c>
      <c r="EP74" s="44">
        <f t="shared" si="176"/>
        <v>0</v>
      </c>
      <c r="FH74" s="44"/>
      <c r="FJ74" s="44"/>
    </row>
    <row r="75" spans="1:175">
      <c r="B75" s="14" t="s">
        <v>729</v>
      </c>
      <c r="C75" s="68"/>
      <c r="D75" s="68"/>
      <c r="E75" s="68"/>
      <c r="F75" s="68"/>
      <c r="G75" s="68" t="s">
        <v>605</v>
      </c>
      <c r="H75" s="68" t="s">
        <v>605</v>
      </c>
      <c r="I75" s="68" t="s">
        <v>605</v>
      </c>
      <c r="J75" s="68" t="s">
        <v>605</v>
      </c>
      <c r="K75" s="68" t="s">
        <v>605</v>
      </c>
      <c r="L75" s="68" t="s">
        <v>605</v>
      </c>
      <c r="M75" s="68" t="s">
        <v>605</v>
      </c>
      <c r="N75" s="68" t="s">
        <v>605</v>
      </c>
      <c r="O75" s="68" t="s">
        <v>605</v>
      </c>
      <c r="P75" s="68" t="s">
        <v>605</v>
      </c>
      <c r="Q75" s="68" t="s">
        <v>605</v>
      </c>
      <c r="R75" s="68" t="s">
        <v>605</v>
      </c>
      <c r="S75" s="68" t="s">
        <v>605</v>
      </c>
      <c r="T75" s="68" t="s">
        <v>605</v>
      </c>
      <c r="U75" s="68" t="s">
        <v>605</v>
      </c>
      <c r="V75" s="68" t="s">
        <v>605</v>
      </c>
      <c r="W75" s="68" t="s">
        <v>605</v>
      </c>
      <c r="X75" s="68" t="s">
        <v>605</v>
      </c>
      <c r="Y75" s="68" t="s">
        <v>605</v>
      </c>
      <c r="Z75" s="68" t="s">
        <v>605</v>
      </c>
      <c r="AA75" s="68" t="s">
        <v>605</v>
      </c>
      <c r="AB75" s="68" t="s">
        <v>605</v>
      </c>
      <c r="AC75" s="68" t="s">
        <v>605</v>
      </c>
      <c r="AD75" s="68" t="s">
        <v>605</v>
      </c>
      <c r="AE75" s="68" t="s">
        <v>605</v>
      </c>
      <c r="AF75" s="68" t="s">
        <v>605</v>
      </c>
      <c r="AG75" s="68" t="s">
        <v>605</v>
      </c>
      <c r="AH75" s="68" t="s">
        <v>605</v>
      </c>
      <c r="AI75" s="68" t="s">
        <v>605</v>
      </c>
      <c r="AJ75" s="68" t="s">
        <v>605</v>
      </c>
      <c r="AK75" s="68" t="s">
        <v>605</v>
      </c>
      <c r="AL75" s="70" t="s">
        <v>605</v>
      </c>
      <c r="AM75" s="70" t="s">
        <v>605</v>
      </c>
      <c r="AN75" s="65"/>
      <c r="AO75" s="70" t="s">
        <v>605</v>
      </c>
      <c r="AP75" s="103" t="s">
        <v>605</v>
      </c>
      <c r="AQ75" s="75" t="s">
        <v>730</v>
      </c>
      <c r="AR75" s="75" t="s">
        <v>731</v>
      </c>
      <c r="AS75" s="75" t="s">
        <v>732</v>
      </c>
      <c r="AT75" s="75" t="s">
        <v>733</v>
      </c>
      <c r="AU75" s="73" t="s">
        <v>734</v>
      </c>
      <c r="AV75" s="75" t="s">
        <v>735</v>
      </c>
      <c r="AW75" s="73" t="s">
        <v>736</v>
      </c>
      <c r="AX75" s="75" t="s">
        <v>737</v>
      </c>
      <c r="AY75" s="75" t="s">
        <v>738</v>
      </c>
      <c r="AZ75" s="73" t="s">
        <v>739</v>
      </c>
      <c r="BA75" s="73" t="s">
        <v>740</v>
      </c>
      <c r="BB75" s="73" t="s">
        <v>741</v>
      </c>
      <c r="BC75" s="70" t="s">
        <v>605</v>
      </c>
      <c r="BD75" s="68" t="s">
        <v>605</v>
      </c>
      <c r="BE75" s="68">
        <v>203</v>
      </c>
      <c r="BF75" s="70">
        <v>155</v>
      </c>
      <c r="BG75" s="68">
        <v>59</v>
      </c>
      <c r="BH75" s="70">
        <v>44</v>
      </c>
      <c r="BI75" s="68">
        <v>65</v>
      </c>
      <c r="BJ75" s="70">
        <v>0</v>
      </c>
      <c r="BK75" s="70" t="s">
        <v>605</v>
      </c>
      <c r="BL75" s="68" t="s">
        <v>605</v>
      </c>
      <c r="BM75" s="68">
        <v>50</v>
      </c>
      <c r="BN75" s="68" t="s">
        <v>605</v>
      </c>
      <c r="BO75" s="68" t="s">
        <v>605</v>
      </c>
      <c r="BP75" s="68" t="s">
        <v>605</v>
      </c>
      <c r="BQ75" s="68" t="s">
        <v>605</v>
      </c>
      <c r="BR75" s="68" t="s">
        <v>605</v>
      </c>
      <c r="BS75" s="44" t="s">
        <v>605</v>
      </c>
      <c r="BT75" s="44">
        <v>50</v>
      </c>
      <c r="BU75" s="44" t="str">
        <f t="shared" si="181"/>
        <v>-</v>
      </c>
      <c r="BV75" s="44" t="str">
        <f t="shared" si="182"/>
        <v>-</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44"/>
      <c r="DH75" s="44"/>
      <c r="DL75" s="68"/>
      <c r="DM75" s="68" t="s">
        <v>605</v>
      </c>
      <c r="DN75" s="68" t="s">
        <v>605</v>
      </c>
      <c r="DO75" s="68" t="s">
        <v>605</v>
      </c>
      <c r="DP75" s="68" t="s">
        <v>605</v>
      </c>
      <c r="DQ75" s="68" t="s">
        <v>605</v>
      </c>
      <c r="DR75" s="68" t="s">
        <v>605</v>
      </c>
      <c r="DS75" s="68" t="s">
        <v>605</v>
      </c>
      <c r="DT75" s="68" t="s">
        <v>605</v>
      </c>
      <c r="DU75" s="68" t="s">
        <v>605</v>
      </c>
      <c r="DV75" s="68" t="s">
        <v>605</v>
      </c>
      <c r="DW75" s="68" t="s">
        <v>605</v>
      </c>
      <c r="DX75" s="68" t="s">
        <v>605</v>
      </c>
      <c r="DY75" s="73" t="s">
        <v>742</v>
      </c>
      <c r="DZ75" s="73" t="s">
        <v>743</v>
      </c>
      <c r="EA75" s="73" t="s">
        <v>744</v>
      </c>
      <c r="EB75" s="75">
        <f>SUM(AY75:BB75)</f>
        <v>0</v>
      </c>
      <c r="EC75" s="68">
        <f>SUM(BC75:BF75)</f>
        <v>358</v>
      </c>
      <c r="ED75" s="44">
        <f>SUM(BG75:BJ75)</f>
        <v>168</v>
      </c>
      <c r="EE75" s="68">
        <f>+ED75*0.9</f>
        <v>151.20000000000002</v>
      </c>
      <c r="EF75" s="68" t="s">
        <v>605</v>
      </c>
      <c r="EG75" s="44">
        <f t="shared" si="60"/>
        <v>50</v>
      </c>
      <c r="EH75" s="68" t="s">
        <v>605</v>
      </c>
      <c r="EI75" s="68" t="s">
        <v>605</v>
      </c>
      <c r="EJ75" s="68" t="s">
        <v>605</v>
      </c>
      <c r="EK75" s="68" t="s">
        <v>605</v>
      </c>
      <c r="EL75" s="44">
        <f t="shared" si="14"/>
        <v>0</v>
      </c>
      <c r="EM75" s="44">
        <f t="shared" si="175"/>
        <v>0</v>
      </c>
      <c r="EN75" s="44">
        <f t="shared" si="177"/>
        <v>0</v>
      </c>
      <c r="EO75" s="44">
        <f t="shared" si="178"/>
        <v>0</v>
      </c>
      <c r="EP75" s="44">
        <f t="shared" si="176"/>
        <v>0</v>
      </c>
      <c r="EQ75" s="68"/>
      <c r="ER75" s="68"/>
      <c r="ES75" s="68"/>
      <c r="ET75" s="68"/>
      <c r="EU75" s="68"/>
      <c r="EV75" s="68"/>
      <c r="EW75" s="68"/>
      <c r="EX75" s="68"/>
      <c r="EY75" s="68"/>
      <c r="EZ75" s="68"/>
      <c r="FA75" s="68"/>
      <c r="FB75" s="68"/>
      <c r="FC75" s="68"/>
      <c r="FD75" s="68"/>
      <c r="FE75" s="68"/>
      <c r="FF75" s="68"/>
      <c r="FG75" s="68"/>
      <c r="FH75" s="83">
        <v>0</v>
      </c>
      <c r="FI75" s="68">
        <v>0</v>
      </c>
      <c r="FJ75" s="84">
        <v>0</v>
      </c>
      <c r="FK75" s="68"/>
      <c r="FL75" s="14" t="s">
        <v>745</v>
      </c>
    </row>
    <row r="76" spans="1:175">
      <c r="B76" s="14" t="s">
        <v>746</v>
      </c>
      <c r="W76" s="44"/>
      <c r="X76" s="44"/>
      <c r="Y76" s="44"/>
      <c r="Z76" s="44"/>
      <c r="AA76" s="44"/>
      <c r="AB76" s="44"/>
      <c r="AC76" s="44"/>
      <c r="AD76" s="44"/>
      <c r="AE76" s="44"/>
      <c r="AF76" s="44"/>
      <c r="AG76" s="44"/>
      <c r="AH76" s="44"/>
      <c r="AI76" s="68"/>
      <c r="AJ76" s="44"/>
      <c r="AK76" s="44"/>
      <c r="AL76" s="65"/>
      <c r="AM76" s="65"/>
      <c r="AN76" s="65"/>
      <c r="AO76" s="65"/>
      <c r="AP76" s="70"/>
      <c r="AQ76" s="65"/>
      <c r="AR76" s="65"/>
      <c r="AS76" s="65"/>
      <c r="AT76" s="65"/>
      <c r="AU76" s="44"/>
      <c r="AV76" s="65"/>
      <c r="AW76" s="44"/>
      <c r="AX76" s="65"/>
      <c r="AY76" s="65"/>
      <c r="AZ76" s="44"/>
      <c r="BA76" s="44"/>
      <c r="BB76" s="44"/>
      <c r="BC76" s="65"/>
      <c r="BD76" s="44"/>
      <c r="BE76" s="44">
        <v>37</v>
      </c>
      <c r="BF76" s="65">
        <v>44</v>
      </c>
      <c r="BG76" s="44"/>
      <c r="BH76" s="65">
        <v>49</v>
      </c>
      <c r="BI76" s="44">
        <v>51</v>
      </c>
      <c r="BJ76" s="65">
        <v>53</v>
      </c>
      <c r="BK76" s="70" t="s">
        <v>605</v>
      </c>
      <c r="BL76" s="68">
        <v>58</v>
      </c>
      <c r="BM76" s="68">
        <v>51</v>
      </c>
      <c r="BN76" s="68">
        <v>58</v>
      </c>
      <c r="BO76" s="68">
        <v>52</v>
      </c>
      <c r="BP76" s="68">
        <v>59</v>
      </c>
      <c r="BQ76" s="68">
        <v>53</v>
      </c>
      <c r="BR76" s="68">
        <v>69</v>
      </c>
      <c r="BS76" s="44">
        <v>61</v>
      </c>
      <c r="BT76" s="44">
        <v>62</v>
      </c>
      <c r="BU76" s="44">
        <f t="shared" si="181"/>
        <v>53</v>
      </c>
      <c r="BV76" s="44">
        <f t="shared" si="182"/>
        <v>69</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44"/>
      <c r="DH76" s="44"/>
      <c r="DL76" s="68"/>
      <c r="DM76" s="68"/>
      <c r="DN76" s="44"/>
      <c r="DO76" s="44"/>
      <c r="DP76" s="44"/>
      <c r="DQ76" s="68"/>
      <c r="DR76" s="68"/>
      <c r="DS76" s="68"/>
      <c r="DT76" s="68"/>
      <c r="DU76" s="68"/>
      <c r="DV76" s="68"/>
      <c r="DW76" s="68"/>
      <c r="DX76" s="44"/>
      <c r="DY76" s="44"/>
      <c r="DZ76" s="44"/>
      <c r="EA76" s="44"/>
      <c r="EB76" s="65"/>
      <c r="EG76" s="44">
        <f t="shared" ref="EG76:EG86" si="183">SUM(BS76:BV76)</f>
        <v>245</v>
      </c>
      <c r="EL76" s="44">
        <f t="shared" ref="EL76:EL102" si="184">SUM(CM76:CP76)</f>
        <v>0</v>
      </c>
      <c r="EM76" s="44">
        <f t="shared" si="175"/>
        <v>0</v>
      </c>
      <c r="EN76" s="44">
        <f t="shared" si="177"/>
        <v>0</v>
      </c>
      <c r="EO76" s="44">
        <f t="shared" si="178"/>
        <v>0</v>
      </c>
      <c r="EP76" s="44">
        <f t="shared" si="176"/>
        <v>0</v>
      </c>
      <c r="FH76" s="44"/>
      <c r="FJ76" s="44"/>
    </row>
    <row r="77" spans="1:175">
      <c r="B77" s="14" t="s">
        <v>747</v>
      </c>
      <c r="W77" s="44"/>
      <c r="X77" s="44"/>
      <c r="Y77" s="44"/>
      <c r="Z77" s="44"/>
      <c r="AA77" s="44"/>
      <c r="AB77" s="44"/>
      <c r="AC77" s="44"/>
      <c r="AD77" s="44"/>
      <c r="AE77" s="44"/>
      <c r="AF77" s="44"/>
      <c r="AG77" s="44"/>
      <c r="AH77" s="44"/>
      <c r="AI77" s="68"/>
      <c r="AJ77" s="44"/>
      <c r="AK77" s="44"/>
      <c r="AL77" s="65"/>
      <c r="AM77" s="65"/>
      <c r="AN77" s="65"/>
      <c r="AO77" s="65"/>
      <c r="AP77" s="70"/>
      <c r="AQ77" s="65"/>
      <c r="AR77" s="65"/>
      <c r="AS77" s="65"/>
      <c r="AT77" s="65"/>
      <c r="AU77" s="44"/>
      <c r="AV77" s="65"/>
      <c r="AW77" s="44"/>
      <c r="AX77" s="65"/>
      <c r="AY77" s="65"/>
      <c r="AZ77" s="44"/>
      <c r="BA77" s="44"/>
      <c r="BB77" s="44"/>
      <c r="BC77" s="65"/>
      <c r="BD77" s="44"/>
      <c r="BE77" s="44">
        <v>54</v>
      </c>
      <c r="BF77" s="65">
        <v>46</v>
      </c>
      <c r="BG77" s="44"/>
      <c r="BH77" s="65">
        <v>52</v>
      </c>
      <c r="BI77" s="44">
        <v>51</v>
      </c>
      <c r="BJ77" s="65">
        <v>53</v>
      </c>
      <c r="BK77" s="70" t="s">
        <v>605</v>
      </c>
      <c r="BL77" s="68">
        <v>53</v>
      </c>
      <c r="BM77" s="68">
        <v>74</v>
      </c>
      <c r="BN77" s="68">
        <v>56</v>
      </c>
      <c r="BO77" s="68">
        <v>50</v>
      </c>
      <c r="BP77" s="68" t="s">
        <v>605</v>
      </c>
      <c r="BQ77" s="68">
        <v>50</v>
      </c>
      <c r="BR77" s="68" t="s">
        <v>605</v>
      </c>
      <c r="BS77" s="44" t="s">
        <v>605</v>
      </c>
      <c r="BT77" s="44" t="s">
        <v>605</v>
      </c>
      <c r="BU77" s="44">
        <f t="shared" si="181"/>
        <v>50</v>
      </c>
      <c r="BV77" s="44" t="str">
        <f t="shared" si="182"/>
        <v>-</v>
      </c>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44"/>
      <c r="DH77" s="44"/>
      <c r="DL77" s="68"/>
      <c r="DM77" s="68"/>
      <c r="DN77" s="44"/>
      <c r="DO77" s="44"/>
      <c r="DP77" s="44"/>
      <c r="DQ77" s="68"/>
      <c r="DR77" s="68"/>
      <c r="DS77" s="68"/>
      <c r="DT77" s="68"/>
      <c r="DU77" s="68"/>
      <c r="DV77" s="68"/>
      <c r="DW77" s="68"/>
      <c r="DX77" s="44"/>
      <c r="DY77" s="44"/>
      <c r="DZ77" s="44"/>
      <c r="EA77" s="44"/>
      <c r="EB77" s="65"/>
      <c r="EG77" s="44">
        <f t="shared" si="183"/>
        <v>50</v>
      </c>
      <c r="EL77" s="44">
        <f t="shared" si="184"/>
        <v>0</v>
      </c>
      <c r="EM77" s="44">
        <f t="shared" si="175"/>
        <v>0</v>
      </c>
      <c r="EN77" s="44">
        <f t="shared" si="177"/>
        <v>0</v>
      </c>
      <c r="EO77" s="44">
        <f t="shared" si="178"/>
        <v>0</v>
      </c>
      <c r="EP77" s="44">
        <f t="shared" si="176"/>
        <v>0</v>
      </c>
      <c r="FH77" s="44"/>
      <c r="FJ77" s="44"/>
    </row>
    <row r="78" spans="1:175">
      <c r="B78" s="14" t="s">
        <v>748</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c r="BF78" s="65"/>
      <c r="BG78" s="44"/>
      <c r="BH78" s="65"/>
      <c r="BI78" s="44"/>
      <c r="BJ78" s="65"/>
      <c r="BK78" s="70"/>
      <c r="BL78" s="68"/>
      <c r="BM78" s="68"/>
      <c r="BN78" s="68" t="s">
        <v>605</v>
      </c>
      <c r="BO78" s="68" t="s">
        <v>605</v>
      </c>
      <c r="BP78" s="68">
        <v>54</v>
      </c>
      <c r="BQ78" s="68" t="s">
        <v>605</v>
      </c>
      <c r="BR78" s="68">
        <v>52</v>
      </c>
      <c r="BS78" s="44">
        <v>53</v>
      </c>
      <c r="BT78" s="44">
        <v>40</v>
      </c>
      <c r="BU78" s="44" t="str">
        <f t="shared" si="181"/>
        <v>-</v>
      </c>
      <c r="BV78" s="44">
        <f t="shared" si="182"/>
        <v>52</v>
      </c>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44"/>
      <c r="DH78" s="44"/>
      <c r="DL78" s="68"/>
      <c r="DM78" s="68"/>
      <c r="DN78" s="44"/>
      <c r="DO78" s="44"/>
      <c r="DP78" s="44"/>
      <c r="DQ78" s="68"/>
      <c r="DR78" s="68"/>
      <c r="DS78" s="68"/>
      <c r="DT78" s="68"/>
      <c r="DU78" s="68"/>
      <c r="DV78" s="68"/>
      <c r="DW78" s="68"/>
      <c r="DX78" s="44"/>
      <c r="DY78" s="44"/>
      <c r="DZ78" s="44"/>
      <c r="EA78" s="44"/>
      <c r="EB78" s="65"/>
      <c r="EG78" s="44">
        <f t="shared" si="183"/>
        <v>145</v>
      </c>
      <c r="EL78" s="44">
        <f t="shared" si="184"/>
        <v>0</v>
      </c>
      <c r="EM78" s="44">
        <f t="shared" si="175"/>
        <v>0</v>
      </c>
      <c r="EN78" s="44">
        <f t="shared" si="177"/>
        <v>0</v>
      </c>
      <c r="EO78" s="44">
        <f t="shared" si="178"/>
        <v>0</v>
      </c>
      <c r="EP78" s="44">
        <f t="shared" si="176"/>
        <v>0</v>
      </c>
      <c r="FH78" s="44"/>
      <c r="FJ78" s="44"/>
    </row>
    <row r="79" spans="1:175">
      <c r="B79" s="14" t="s">
        <v>750</v>
      </c>
      <c r="C79" s="62"/>
      <c r="D79" s="62"/>
      <c r="E79" s="62"/>
      <c r="F79" s="62"/>
      <c r="G79" s="62"/>
      <c r="H79" s="62"/>
      <c r="I79" s="62"/>
      <c r="J79" s="62"/>
      <c r="K79" s="62"/>
      <c r="L79" s="62"/>
      <c r="M79" s="62"/>
      <c r="N79" s="62"/>
      <c r="O79" s="62"/>
      <c r="P79" s="62"/>
      <c r="Q79" s="62"/>
      <c r="R79" s="62"/>
      <c r="S79" s="62"/>
      <c r="T79" s="62"/>
      <c r="U79" s="62"/>
      <c r="V79" s="62"/>
      <c r="W79" s="68"/>
      <c r="X79" s="68"/>
      <c r="Y79" s="68"/>
      <c r="Z79" s="68"/>
      <c r="AA79" s="44"/>
      <c r="AB79" s="44"/>
      <c r="AC79" s="44"/>
      <c r="AD79" s="44"/>
      <c r="AE79" s="44"/>
      <c r="AF79" s="44"/>
      <c r="AG79" s="44"/>
      <c r="AH79" s="44"/>
      <c r="AI79" s="68"/>
      <c r="AM79" s="69"/>
      <c r="AN79" s="69"/>
      <c r="AO79" s="69"/>
      <c r="AP79" s="103"/>
      <c r="AQ79" s="65"/>
      <c r="AR79" s="65"/>
      <c r="AS79" s="65"/>
      <c r="AT79" s="65"/>
      <c r="AU79" s="44"/>
      <c r="AV79" s="65"/>
      <c r="AW79" s="44"/>
      <c r="AX79" s="44"/>
      <c r="AY79" s="44"/>
      <c r="AZ79" s="44"/>
      <c r="BA79" s="44"/>
      <c r="BB79" s="44"/>
      <c r="BC79" s="65"/>
      <c r="BD79" s="44"/>
      <c r="BE79" s="44"/>
      <c r="BF79" s="65">
        <v>43</v>
      </c>
      <c r="BG79" s="44"/>
      <c r="BH79" s="65"/>
      <c r="BI79" s="44"/>
      <c r="BJ79" s="65">
        <v>57</v>
      </c>
      <c r="BK79" s="70" t="s">
        <v>605</v>
      </c>
      <c r="BL79" s="68" t="s">
        <v>605</v>
      </c>
      <c r="BM79" s="68">
        <v>50</v>
      </c>
      <c r="BN79" s="68" t="s">
        <v>605</v>
      </c>
      <c r="BO79" s="68" t="s">
        <v>605</v>
      </c>
      <c r="BP79" s="68" t="s">
        <v>605</v>
      </c>
      <c r="BQ79" s="68" t="s">
        <v>605</v>
      </c>
      <c r="BR79" s="68" t="s">
        <v>605</v>
      </c>
      <c r="BS79" s="68"/>
      <c r="BT79" s="68" t="s">
        <v>605</v>
      </c>
      <c r="BU79" s="68" t="s">
        <v>605</v>
      </c>
      <c r="BV79" s="68" t="s">
        <v>605</v>
      </c>
      <c r="BW79" s="68"/>
      <c r="BX79" s="68"/>
      <c r="BY79" s="68"/>
      <c r="BZ79" s="68"/>
      <c r="CA79" s="68"/>
      <c r="CB79" s="68"/>
      <c r="CC79" s="68"/>
      <c r="CD79" s="68"/>
      <c r="CE79" s="68"/>
      <c r="CF79" s="68"/>
      <c r="CG79" s="68"/>
      <c r="CH79" s="68"/>
      <c r="CI79" s="68"/>
      <c r="CJ79" s="68"/>
      <c r="CK79" s="68"/>
      <c r="CL79" s="68"/>
      <c r="CM79" s="68"/>
      <c r="CN79" s="122"/>
      <c r="CO79" s="122"/>
      <c r="CP79" s="122"/>
      <c r="CQ79" s="122"/>
      <c r="CR79" s="122"/>
      <c r="CS79" s="122"/>
      <c r="CT79" s="122"/>
      <c r="CU79" s="122"/>
      <c r="CV79" s="122"/>
      <c r="CW79" s="122"/>
      <c r="CX79" s="122"/>
      <c r="CY79" s="122"/>
      <c r="CZ79" s="122"/>
      <c r="DA79" s="122"/>
      <c r="DB79" s="122"/>
      <c r="DC79" s="122"/>
      <c r="DD79" s="122"/>
      <c r="DE79" s="122"/>
      <c r="DF79" s="122"/>
      <c r="DG79" s="68"/>
      <c r="DH79" s="68"/>
      <c r="DL79" s="68"/>
      <c r="DM79" s="68"/>
      <c r="DN79" s="68"/>
      <c r="DO79" s="68"/>
      <c r="DP79" s="68"/>
      <c r="DQ79" s="68"/>
      <c r="DR79" s="68"/>
      <c r="DS79" s="68"/>
      <c r="DT79" s="68"/>
      <c r="DU79" s="44"/>
      <c r="DV79" s="44"/>
      <c r="DW79" s="44"/>
      <c r="DX79" s="44"/>
      <c r="DY79" s="44"/>
      <c r="DZ79" s="44"/>
      <c r="EA79" s="44"/>
      <c r="EB79" s="65"/>
      <c r="EG79" s="44">
        <f t="shared" si="183"/>
        <v>0</v>
      </c>
      <c r="EL79" s="44">
        <f t="shared" si="184"/>
        <v>0</v>
      </c>
      <c r="EM79" s="44">
        <f t="shared" si="175"/>
        <v>0</v>
      </c>
      <c r="EN79" s="44">
        <f t="shared" si="177"/>
        <v>0</v>
      </c>
      <c r="EO79" s="44">
        <f t="shared" si="178"/>
        <v>0</v>
      </c>
      <c r="EP79" s="44">
        <f t="shared" si="176"/>
        <v>0</v>
      </c>
    </row>
    <row r="80" spans="1:175">
      <c r="B80" s="14" t="s">
        <v>751</v>
      </c>
      <c r="AE80" s="44"/>
      <c r="AF80" s="44"/>
      <c r="AG80" s="44"/>
      <c r="AH80" s="44"/>
      <c r="AI80" s="68"/>
      <c r="AJ80" s="44"/>
      <c r="AK80" s="68" t="s">
        <v>605</v>
      </c>
      <c r="AL80" s="68" t="s">
        <v>605</v>
      </c>
      <c r="AM80" s="68">
        <v>136</v>
      </c>
      <c r="AN80" s="68">
        <v>159</v>
      </c>
      <c r="AO80" s="68" t="s">
        <v>605</v>
      </c>
      <c r="AP80" s="68" t="s">
        <v>605</v>
      </c>
      <c r="AQ80" s="68" t="s">
        <v>605</v>
      </c>
      <c r="AR80" s="68" t="s">
        <v>605</v>
      </c>
      <c r="AS80" s="68" t="s">
        <v>605</v>
      </c>
      <c r="AT80" s="68" t="s">
        <v>605</v>
      </c>
      <c r="AU80" s="68" t="s">
        <v>605</v>
      </c>
      <c r="AV80" s="70" t="s">
        <v>605</v>
      </c>
      <c r="AW80" s="68" t="s">
        <v>605</v>
      </c>
      <c r="AX80" s="73">
        <v>203</v>
      </c>
      <c r="AY80" s="75" t="s">
        <v>752</v>
      </c>
      <c r="AZ80" s="73"/>
      <c r="BA80" s="73"/>
      <c r="BB80" s="44">
        <v>223</v>
      </c>
      <c r="BC80" s="65">
        <v>174</v>
      </c>
      <c r="BD80" s="44">
        <v>195</v>
      </c>
      <c r="BE80" s="44">
        <v>176</v>
      </c>
      <c r="BF80" s="65">
        <v>207</v>
      </c>
      <c r="BG80" s="70" t="s">
        <v>605</v>
      </c>
      <c r="BH80" s="70" t="s">
        <v>605</v>
      </c>
      <c r="BI80" s="70" t="s">
        <v>605</v>
      </c>
      <c r="BJ80" s="70" t="s">
        <v>605</v>
      </c>
      <c r="BK80" s="70" t="s">
        <v>605</v>
      </c>
      <c r="BL80" s="70" t="s">
        <v>605</v>
      </c>
      <c r="BM80" s="70" t="s">
        <v>605</v>
      </c>
      <c r="BN80" s="70" t="s">
        <v>605</v>
      </c>
      <c r="BO80" s="70" t="s">
        <v>605</v>
      </c>
      <c r="BP80" s="70" t="s">
        <v>605</v>
      </c>
      <c r="BQ80" s="70" t="s">
        <v>605</v>
      </c>
      <c r="BR80" s="70" t="s">
        <v>605</v>
      </c>
      <c r="BS80" s="70"/>
      <c r="BT80" s="70" t="s">
        <v>605</v>
      </c>
      <c r="BU80" s="70" t="s">
        <v>605</v>
      </c>
      <c r="BV80" s="70" t="s">
        <v>605</v>
      </c>
      <c r="BW80" s="70"/>
      <c r="BX80" s="70"/>
      <c r="BY80" s="70"/>
      <c r="BZ80" s="70"/>
      <c r="CA80" s="70"/>
      <c r="CB80" s="70"/>
      <c r="CC80" s="70"/>
      <c r="CD80" s="70"/>
      <c r="CE80" s="70"/>
      <c r="CF80" s="70"/>
      <c r="CG80" s="70"/>
      <c r="CH80" s="70"/>
      <c r="CI80" s="70"/>
      <c r="CJ80" s="70"/>
      <c r="CK80" s="70"/>
      <c r="CL80" s="70"/>
      <c r="CM80" s="70"/>
      <c r="CN80" s="122"/>
      <c r="CO80" s="122"/>
      <c r="CP80" s="122"/>
      <c r="CQ80" s="122"/>
      <c r="CR80" s="122"/>
      <c r="CS80" s="122"/>
      <c r="CT80" s="122"/>
      <c r="CU80" s="122"/>
      <c r="CV80" s="122"/>
      <c r="CW80" s="122"/>
      <c r="CX80" s="122"/>
      <c r="CY80" s="122"/>
      <c r="CZ80" s="122"/>
      <c r="DA80" s="122"/>
      <c r="DB80" s="122"/>
      <c r="DC80" s="122"/>
      <c r="DD80" s="122"/>
      <c r="DE80" s="122"/>
      <c r="DF80" s="122"/>
      <c r="DG80" s="70"/>
      <c r="DH80" s="70"/>
      <c r="DL80" s="44"/>
      <c r="DM80" s="44"/>
      <c r="DN80" s="44"/>
      <c r="DO80" s="44"/>
      <c r="DP80" s="44"/>
      <c r="DQ80" s="44"/>
      <c r="DR80" s="44"/>
      <c r="DS80" s="44"/>
      <c r="DT80" s="44"/>
      <c r="DU80" s="44"/>
      <c r="DV80" s="44"/>
      <c r="DW80" s="44"/>
      <c r="DX80" s="44"/>
      <c r="DY80" s="73"/>
      <c r="DZ80" s="73"/>
      <c r="EA80" s="44"/>
      <c r="EB80" s="65">
        <f>SUM(AY80:BB80)</f>
        <v>223</v>
      </c>
      <c r="EC80" s="44">
        <f>SUM(BC80:BF80)</f>
        <v>752</v>
      </c>
      <c r="ED80" s="68" t="s">
        <v>753</v>
      </c>
      <c r="EG80" s="44">
        <f t="shared" si="183"/>
        <v>0</v>
      </c>
      <c r="EL80" s="44">
        <f t="shared" si="184"/>
        <v>0</v>
      </c>
      <c r="EM80" s="44">
        <f t="shared" si="175"/>
        <v>0</v>
      </c>
      <c r="EN80" s="44">
        <f t="shared" si="177"/>
        <v>0</v>
      </c>
      <c r="EO80" s="44">
        <f t="shared" si="178"/>
        <v>0</v>
      </c>
      <c r="EP80" s="44">
        <f t="shared" si="176"/>
        <v>0</v>
      </c>
      <c r="FH80" s="81">
        <f>EC80*0.3</f>
        <v>225.6</v>
      </c>
      <c r="FI80" s="44">
        <f>EH80*0.3</f>
        <v>0</v>
      </c>
      <c r="FJ80" s="82">
        <f>EI80*0.3</f>
        <v>0</v>
      </c>
    </row>
    <row r="81" spans="2:168" collapsed="1">
      <c r="B81" s="4" t="s">
        <v>754</v>
      </c>
      <c r="G81" s="37">
        <f>47+51</f>
        <v>98</v>
      </c>
      <c r="H81" s="37">
        <f>64+55</f>
        <v>119</v>
      </c>
      <c r="I81" s="37">
        <f>63+57</f>
        <v>120</v>
      </c>
      <c r="J81" s="37">
        <f>58+58</f>
        <v>116</v>
      </c>
      <c r="K81" s="37">
        <f>52+64</f>
        <v>116</v>
      </c>
      <c r="L81" s="37">
        <f>61+66</f>
        <v>127</v>
      </c>
      <c r="M81" s="37">
        <f>73+62</f>
        <v>135</v>
      </c>
      <c r="N81" s="37">
        <f>74+62</f>
        <v>136</v>
      </c>
      <c r="O81" s="37">
        <f>71+58</f>
        <v>129</v>
      </c>
      <c r="P81" s="37">
        <f>74+68</f>
        <v>142</v>
      </c>
      <c r="Q81" s="37">
        <f>75+56</f>
        <v>131</v>
      </c>
      <c r="R81" s="37">
        <f>96+55</f>
        <v>151</v>
      </c>
      <c r="S81" s="37">
        <f>90+54</f>
        <v>144</v>
      </c>
      <c r="T81" s="37">
        <f>84+57</f>
        <v>141</v>
      </c>
      <c r="U81" s="37">
        <f>94+59</f>
        <v>153</v>
      </c>
      <c r="V81" s="37">
        <f>108+58</f>
        <v>166</v>
      </c>
      <c r="W81" s="44">
        <f>121+55</f>
        <v>176</v>
      </c>
      <c r="X81" s="44">
        <f>81+59</f>
        <v>140</v>
      </c>
      <c r="Y81" s="44">
        <f>104+58</f>
        <v>162</v>
      </c>
      <c r="Z81" s="44">
        <f>124+67</f>
        <v>191</v>
      </c>
      <c r="AA81" s="44">
        <f>113+57</f>
        <v>170</v>
      </c>
      <c r="AB81" s="44">
        <f>87+63</f>
        <v>150</v>
      </c>
      <c r="AC81" s="44">
        <f>111+68</f>
        <v>179</v>
      </c>
      <c r="AD81" s="44">
        <f>133+75</f>
        <v>208</v>
      </c>
      <c r="AE81" s="44">
        <f>125+66</f>
        <v>191</v>
      </c>
      <c r="AF81" s="44">
        <f>86+72</f>
        <v>158</v>
      </c>
      <c r="AG81" s="44">
        <f>91+66</f>
        <v>157</v>
      </c>
      <c r="AH81" s="44">
        <f>90+75</f>
        <v>165</v>
      </c>
      <c r="AI81" s="68">
        <f>29+71</f>
        <v>100</v>
      </c>
      <c r="AJ81" s="44">
        <f>3+70</f>
        <v>73</v>
      </c>
      <c r="AK81" s="44">
        <f>15+62</f>
        <v>77</v>
      </c>
      <c r="AL81" s="65">
        <v>44</v>
      </c>
      <c r="AM81" s="65">
        <v>68</v>
      </c>
      <c r="AN81" s="65">
        <v>69</v>
      </c>
      <c r="AO81" s="70">
        <v>61</v>
      </c>
      <c r="AP81" s="70">
        <v>68</v>
      </c>
      <c r="AQ81" s="65"/>
      <c r="AR81" s="65"/>
      <c r="AS81" s="65"/>
      <c r="AT81" s="65"/>
      <c r="AV81" s="69"/>
      <c r="BC81" s="69"/>
      <c r="BF81" s="69"/>
      <c r="BG81" s="70" t="s">
        <v>605</v>
      </c>
      <c r="BH81" s="70" t="s">
        <v>605</v>
      </c>
      <c r="BI81" s="70" t="s">
        <v>605</v>
      </c>
      <c r="BJ81" s="70" t="s">
        <v>605</v>
      </c>
      <c r="BK81" s="70" t="s">
        <v>605</v>
      </c>
      <c r="BL81" s="70" t="s">
        <v>605</v>
      </c>
      <c r="BM81" s="70" t="s">
        <v>605</v>
      </c>
      <c r="BN81" s="70" t="s">
        <v>605</v>
      </c>
      <c r="BO81" s="70" t="s">
        <v>605</v>
      </c>
      <c r="BP81" s="70" t="s">
        <v>605</v>
      </c>
      <c r="BQ81" s="70" t="s">
        <v>605</v>
      </c>
      <c r="BR81" s="70" t="s">
        <v>605</v>
      </c>
      <c r="BS81" s="70"/>
      <c r="BT81" s="70" t="s">
        <v>605</v>
      </c>
      <c r="BU81" s="70" t="s">
        <v>605</v>
      </c>
      <c r="BV81" s="70" t="s">
        <v>605</v>
      </c>
      <c r="BW81" s="70"/>
      <c r="BX81" s="70"/>
      <c r="BY81" s="70"/>
      <c r="BZ81" s="70"/>
      <c r="CA81" s="70"/>
      <c r="CB81" s="70"/>
      <c r="CC81" s="70"/>
      <c r="CD81" s="70"/>
      <c r="CE81" s="70"/>
      <c r="CF81" s="70"/>
      <c r="CG81" s="70"/>
      <c r="CH81" s="70"/>
      <c r="CI81" s="70"/>
      <c r="CJ81" s="70"/>
      <c r="CK81" s="70"/>
      <c r="CL81" s="70"/>
      <c r="CM81" s="70"/>
      <c r="CN81" s="122"/>
      <c r="CO81" s="122"/>
      <c r="CP81" s="122"/>
      <c r="CQ81" s="122"/>
      <c r="CR81" s="122"/>
      <c r="CS81" s="122"/>
      <c r="CT81" s="122"/>
      <c r="CU81" s="122"/>
      <c r="CV81" s="122"/>
      <c r="CW81" s="122"/>
      <c r="CX81" s="122"/>
      <c r="CY81" s="122"/>
      <c r="CZ81" s="122"/>
      <c r="DA81" s="122"/>
      <c r="DB81" s="122"/>
      <c r="DC81" s="122"/>
      <c r="DD81" s="122"/>
      <c r="DE81" s="122"/>
      <c r="DF81" s="122"/>
      <c r="DG81" s="70"/>
      <c r="DH81" s="70"/>
      <c r="DL81" s="68"/>
      <c r="DM81" s="68" t="s">
        <v>605</v>
      </c>
      <c r="DN81" s="68" t="s">
        <v>605</v>
      </c>
      <c r="DO81" s="68" t="s">
        <v>605</v>
      </c>
      <c r="DP81" s="68" t="s">
        <v>605</v>
      </c>
      <c r="DQ81" s="68">
        <f>SUM(G81:J81)</f>
        <v>453</v>
      </c>
      <c r="DR81" s="68">
        <f>SUM(K81:N81)</f>
        <v>514</v>
      </c>
      <c r="DS81" s="68">
        <f>SUM(O81:R81)</f>
        <v>553</v>
      </c>
      <c r="DT81" s="68">
        <f>SUM(S81:V81)</f>
        <v>604</v>
      </c>
      <c r="DU81" s="68">
        <f>SUM(W81:Z81)</f>
        <v>669</v>
      </c>
      <c r="DV81" s="68">
        <f>SUM(AA81:AD81)</f>
        <v>707</v>
      </c>
      <c r="DW81" s="44">
        <f>SUM(AE81:AH81)</f>
        <v>671</v>
      </c>
      <c r="DX81" s="44">
        <v>294</v>
      </c>
      <c r="DY81" s="44">
        <v>266</v>
      </c>
      <c r="DZ81" s="44"/>
      <c r="EA81" s="44"/>
      <c r="EB81" s="65">
        <f>SUM(AY81:BB81)</f>
        <v>0</v>
      </c>
      <c r="EG81" s="44">
        <f t="shared" si="183"/>
        <v>0</v>
      </c>
      <c r="EL81" s="44">
        <f t="shared" si="184"/>
        <v>0</v>
      </c>
      <c r="EM81" s="44">
        <f t="shared" si="175"/>
        <v>0</v>
      </c>
      <c r="EN81" s="44">
        <f t="shared" si="177"/>
        <v>0</v>
      </c>
      <c r="EO81" s="44">
        <f t="shared" si="178"/>
        <v>0</v>
      </c>
      <c r="EP81" s="44">
        <f t="shared" si="176"/>
        <v>0</v>
      </c>
    </row>
    <row r="82" spans="2:168">
      <c r="B82" s="4" t="s">
        <v>755</v>
      </c>
      <c r="C82" s="37">
        <v>239</v>
      </c>
      <c r="D82" s="37">
        <v>168</v>
      </c>
      <c r="E82" s="37">
        <v>223</v>
      </c>
      <c r="F82" s="44">
        <f>DP82-E82-D82-C82</f>
        <v>192</v>
      </c>
      <c r="G82" s="37">
        <v>193</v>
      </c>
      <c r="W82" s="44"/>
      <c r="X82" s="44"/>
      <c r="Y82" s="44"/>
      <c r="Z82" s="44"/>
      <c r="AA82" s="44"/>
      <c r="AB82" s="44"/>
      <c r="AC82" s="44"/>
      <c r="AD82" s="44"/>
      <c r="AE82" s="44"/>
      <c r="AF82" s="44"/>
      <c r="AG82" s="44"/>
      <c r="AH82" s="44"/>
      <c r="AI82" s="68"/>
      <c r="AJ82" s="44"/>
      <c r="AK82" s="44"/>
      <c r="AL82" s="65"/>
      <c r="AM82" s="65"/>
      <c r="AN82" s="65"/>
      <c r="AO82" s="70"/>
      <c r="AP82" s="70"/>
      <c r="AQ82" s="65"/>
      <c r="AR82" s="65"/>
      <c r="AS82" s="65"/>
      <c r="AT82" s="65"/>
      <c r="AV82" s="69"/>
      <c r="BC82" s="69"/>
      <c r="BF82" s="69"/>
      <c r="BG82" s="70" t="s">
        <v>605</v>
      </c>
      <c r="BH82" s="70" t="s">
        <v>605</v>
      </c>
      <c r="BI82" s="70" t="s">
        <v>605</v>
      </c>
      <c r="BJ82" s="70" t="s">
        <v>605</v>
      </c>
      <c r="BK82" s="70" t="s">
        <v>605</v>
      </c>
      <c r="BL82" s="70" t="s">
        <v>605</v>
      </c>
      <c r="BM82" s="70" t="s">
        <v>605</v>
      </c>
      <c r="BN82" s="70" t="s">
        <v>605</v>
      </c>
      <c r="BO82" s="70" t="s">
        <v>605</v>
      </c>
      <c r="BP82" s="70" t="s">
        <v>605</v>
      </c>
      <c r="BQ82" s="70" t="s">
        <v>605</v>
      </c>
      <c r="BR82" s="70" t="s">
        <v>605</v>
      </c>
      <c r="BS82" s="70"/>
      <c r="BT82" s="70" t="s">
        <v>605</v>
      </c>
      <c r="BU82" s="70" t="s">
        <v>605</v>
      </c>
      <c r="BV82" s="70" t="s">
        <v>605</v>
      </c>
      <c r="BW82" s="70"/>
      <c r="BX82" s="70"/>
      <c r="BY82" s="70"/>
      <c r="BZ82" s="70"/>
      <c r="CA82" s="70"/>
      <c r="CB82" s="70"/>
      <c r="CC82" s="70"/>
      <c r="CD82" s="70"/>
      <c r="CE82" s="70"/>
      <c r="CF82" s="70"/>
      <c r="CG82" s="70"/>
      <c r="CH82" s="70"/>
      <c r="CI82" s="70"/>
      <c r="CJ82" s="70"/>
      <c r="CK82" s="70"/>
      <c r="CL82" s="70"/>
      <c r="CM82" s="70"/>
      <c r="CN82" s="122"/>
      <c r="CO82" s="122"/>
      <c r="CP82" s="122"/>
      <c r="CQ82" s="122"/>
      <c r="CR82" s="122"/>
      <c r="CS82" s="122"/>
      <c r="CT82" s="122"/>
      <c r="CU82" s="122"/>
      <c r="CV82" s="122"/>
      <c r="CW82" s="122"/>
      <c r="CX82" s="122"/>
      <c r="CY82" s="122"/>
      <c r="CZ82" s="122"/>
      <c r="DA82" s="122"/>
      <c r="DB82" s="122"/>
      <c r="DC82" s="122"/>
      <c r="DD82" s="122"/>
      <c r="DE82" s="122"/>
      <c r="DF82" s="122"/>
      <c r="DG82" s="70"/>
      <c r="DH82" s="70"/>
      <c r="DL82" s="68"/>
      <c r="DM82" s="68">
        <v>1177</v>
      </c>
      <c r="DN82" s="68">
        <v>1133</v>
      </c>
      <c r="DO82" s="68">
        <v>1005</v>
      </c>
      <c r="DP82" s="68">
        <v>822</v>
      </c>
      <c r="DQ82" s="68"/>
      <c r="DR82" s="68"/>
      <c r="DS82" s="68"/>
      <c r="DT82" s="68"/>
      <c r="DU82" s="68"/>
      <c r="DV82" s="68"/>
      <c r="DW82" s="44"/>
      <c r="DX82" s="44"/>
      <c r="DY82" s="44"/>
      <c r="DZ82" s="44"/>
      <c r="EA82" s="44"/>
      <c r="EB82" s="65"/>
      <c r="EG82" s="44">
        <f t="shared" si="183"/>
        <v>0</v>
      </c>
      <c r="EL82" s="44">
        <f t="shared" si="184"/>
        <v>0</v>
      </c>
      <c r="EM82" s="44">
        <f t="shared" si="175"/>
        <v>0</v>
      </c>
      <c r="EN82" s="44">
        <f t="shared" si="177"/>
        <v>0</v>
      </c>
      <c r="EO82" s="44">
        <f t="shared" si="178"/>
        <v>0</v>
      </c>
      <c r="EP82" s="44">
        <f t="shared" si="176"/>
        <v>0</v>
      </c>
    </row>
    <row r="83" spans="2:168">
      <c r="B83" s="4" t="s">
        <v>81</v>
      </c>
      <c r="C83" s="37">
        <v>0</v>
      </c>
      <c r="G83" s="37">
        <v>41</v>
      </c>
      <c r="W83" s="44"/>
      <c r="X83" s="44"/>
      <c r="Y83" s="44"/>
      <c r="Z83" s="44"/>
      <c r="AA83" s="44"/>
      <c r="AB83" s="44"/>
      <c r="AC83" s="44"/>
      <c r="AD83" s="44"/>
      <c r="AE83" s="44"/>
      <c r="AF83" s="44"/>
      <c r="AG83" s="44"/>
      <c r="AH83" s="44"/>
      <c r="AI83" s="68"/>
      <c r="AJ83" s="44"/>
      <c r="AK83" s="44"/>
      <c r="AL83" s="65"/>
      <c r="AM83" s="65"/>
      <c r="AN83" s="65"/>
      <c r="AO83" s="70"/>
      <c r="AP83" s="70"/>
      <c r="AQ83" s="65"/>
      <c r="AR83" s="65"/>
      <c r="AS83" s="65"/>
      <c r="AT83" s="65"/>
      <c r="AV83" s="69"/>
      <c r="BC83" s="69"/>
      <c r="BF83" s="69"/>
      <c r="BG83" s="70" t="s">
        <v>605</v>
      </c>
      <c r="BH83" s="70" t="s">
        <v>605</v>
      </c>
      <c r="BI83" s="70" t="s">
        <v>605</v>
      </c>
      <c r="BJ83" s="70" t="s">
        <v>605</v>
      </c>
      <c r="BK83" s="70" t="s">
        <v>605</v>
      </c>
      <c r="BL83" s="70" t="s">
        <v>605</v>
      </c>
      <c r="BM83" s="70" t="s">
        <v>605</v>
      </c>
      <c r="BN83" s="70" t="s">
        <v>605</v>
      </c>
      <c r="BO83" s="70" t="s">
        <v>605</v>
      </c>
      <c r="BP83" s="70" t="s">
        <v>605</v>
      </c>
      <c r="BQ83" s="70" t="s">
        <v>605</v>
      </c>
      <c r="BR83" s="70" t="s">
        <v>605</v>
      </c>
      <c r="BS83" s="70"/>
      <c r="BT83" s="70" t="s">
        <v>605</v>
      </c>
      <c r="BU83" s="70" t="s">
        <v>605</v>
      </c>
      <c r="BV83" s="70" t="s">
        <v>605</v>
      </c>
      <c r="BW83" s="70"/>
      <c r="BX83" s="70"/>
      <c r="BY83" s="70"/>
      <c r="BZ83" s="70"/>
      <c r="CA83" s="70"/>
      <c r="CB83" s="70"/>
      <c r="CC83" s="70"/>
      <c r="CD83" s="70"/>
      <c r="CE83" s="70"/>
      <c r="CF83" s="70"/>
      <c r="CG83" s="70"/>
      <c r="CH83" s="70"/>
      <c r="CI83" s="70"/>
      <c r="CJ83" s="70"/>
      <c r="CK83" s="70"/>
      <c r="CL83" s="70"/>
      <c r="CM83" s="70"/>
      <c r="CN83" s="122"/>
      <c r="CO83" s="122"/>
      <c r="CP83" s="122"/>
      <c r="CQ83" s="122"/>
      <c r="CR83" s="122"/>
      <c r="CS83" s="122"/>
      <c r="CT83" s="122"/>
      <c r="CU83" s="122"/>
      <c r="CV83" s="122"/>
      <c r="CW83" s="122"/>
      <c r="CX83" s="122"/>
      <c r="CY83" s="122"/>
      <c r="CZ83" s="122"/>
      <c r="DA83" s="122"/>
      <c r="DB83" s="122"/>
      <c r="DC83" s="122"/>
      <c r="DD83" s="122"/>
      <c r="DE83" s="122"/>
      <c r="DF83" s="122"/>
      <c r="DG83" s="70"/>
      <c r="DH83" s="70"/>
      <c r="DL83" s="68"/>
      <c r="DM83" s="68"/>
      <c r="DN83" s="68"/>
      <c r="DO83" s="68"/>
      <c r="DP83" s="68"/>
      <c r="DQ83" s="68"/>
      <c r="DR83" s="68"/>
      <c r="DS83" s="68"/>
      <c r="DT83" s="68"/>
      <c r="DU83" s="68"/>
      <c r="DV83" s="68"/>
      <c r="DW83" s="44"/>
      <c r="DX83" s="44"/>
      <c r="DY83" s="44"/>
      <c r="DZ83" s="44"/>
      <c r="EA83" s="44"/>
      <c r="EB83" s="65"/>
      <c r="EG83" s="44">
        <f t="shared" si="183"/>
        <v>0</v>
      </c>
      <c r="EL83" s="44">
        <f t="shared" si="184"/>
        <v>0</v>
      </c>
      <c r="EM83" s="44">
        <f t="shared" si="175"/>
        <v>0</v>
      </c>
      <c r="EN83" s="44">
        <f t="shared" si="177"/>
        <v>0</v>
      </c>
      <c r="EO83" s="44">
        <f t="shared" si="178"/>
        <v>0</v>
      </c>
      <c r="EP83" s="44">
        <f t="shared" si="176"/>
        <v>0</v>
      </c>
    </row>
    <row r="84" spans="2:168" collapsed="1">
      <c r="B84" s="4" t="s">
        <v>756</v>
      </c>
      <c r="C84" s="68"/>
      <c r="D84" s="68"/>
      <c r="E84" s="68"/>
      <c r="F84" s="68"/>
      <c r="G84" s="68" t="s">
        <v>605</v>
      </c>
      <c r="H84" s="68" t="s">
        <v>605</v>
      </c>
      <c r="I84" s="68" t="s">
        <v>605</v>
      </c>
      <c r="J84" s="68" t="s">
        <v>605</v>
      </c>
      <c r="K84" s="68" t="s">
        <v>605</v>
      </c>
      <c r="L84" s="68" t="s">
        <v>605</v>
      </c>
      <c r="M84" s="68" t="s">
        <v>605</v>
      </c>
      <c r="N84" s="68" t="s">
        <v>605</v>
      </c>
      <c r="O84" s="68" t="s">
        <v>605</v>
      </c>
      <c r="P84" s="68" t="s">
        <v>605</v>
      </c>
      <c r="Q84" s="68" t="s">
        <v>605</v>
      </c>
      <c r="R84" s="68" t="s">
        <v>605</v>
      </c>
      <c r="S84" s="68" t="s">
        <v>605</v>
      </c>
      <c r="T84" s="68" t="s">
        <v>605</v>
      </c>
      <c r="U84" s="68" t="s">
        <v>605</v>
      </c>
      <c r="V84" s="68" t="s">
        <v>605</v>
      </c>
      <c r="W84" s="44">
        <v>91</v>
      </c>
      <c r="X84" s="44">
        <v>193</v>
      </c>
      <c r="Y84" s="44">
        <v>153</v>
      </c>
      <c r="Z84" s="44">
        <v>137</v>
      </c>
      <c r="AA84" s="44">
        <v>117</v>
      </c>
      <c r="AB84" s="44">
        <f>107+4</f>
        <v>111</v>
      </c>
      <c r="AC84" s="44">
        <f>93+12</f>
        <v>105</v>
      </c>
      <c r="AD84" s="44">
        <f>69+14</f>
        <v>83</v>
      </c>
      <c r="AE84" s="44">
        <f>81+10</f>
        <v>91</v>
      </c>
      <c r="AF84" s="44">
        <f>133+14</f>
        <v>147</v>
      </c>
      <c r="AG84" s="44">
        <f>112+14</f>
        <v>126</v>
      </c>
      <c r="AH84" s="44">
        <f>123+66</f>
        <v>189</v>
      </c>
      <c r="AI84" s="68">
        <f>104+108</f>
        <v>212</v>
      </c>
      <c r="AJ84" s="44">
        <f>123+110</f>
        <v>233</v>
      </c>
      <c r="AK84" s="44">
        <f>119+110</f>
        <v>229</v>
      </c>
      <c r="AL84" s="65">
        <v>237</v>
      </c>
      <c r="AM84" s="65">
        <v>212</v>
      </c>
      <c r="AN84" s="65">
        <v>238</v>
      </c>
      <c r="AO84" s="65">
        <v>218</v>
      </c>
      <c r="AP84" s="103">
        <v>235</v>
      </c>
      <c r="AQ84" s="65">
        <v>229</v>
      </c>
      <c r="AR84" s="65">
        <v>241</v>
      </c>
      <c r="AS84" s="65">
        <v>243</v>
      </c>
      <c r="AT84" s="65">
        <v>256</v>
      </c>
      <c r="AU84" s="44">
        <f>83+109</f>
        <v>192</v>
      </c>
      <c r="AV84" s="65">
        <f>5+132</f>
        <v>137</v>
      </c>
      <c r="AW84" s="44">
        <v>122</v>
      </c>
      <c r="AX84" s="65">
        <v>112</v>
      </c>
      <c r="AY84" s="65">
        <v>109</v>
      </c>
      <c r="AZ84" s="44">
        <v>85</v>
      </c>
      <c r="BA84" s="44">
        <v>82</v>
      </c>
      <c r="BB84" s="68" t="s">
        <v>605</v>
      </c>
      <c r="BC84" s="70" t="s">
        <v>605</v>
      </c>
      <c r="BD84" s="68" t="s">
        <v>605</v>
      </c>
      <c r="BE84" s="68" t="s">
        <v>605</v>
      </c>
      <c r="BF84" s="70" t="s">
        <v>605</v>
      </c>
      <c r="BG84" s="70" t="s">
        <v>605</v>
      </c>
      <c r="BH84" s="70" t="s">
        <v>605</v>
      </c>
      <c r="BI84" s="70" t="s">
        <v>605</v>
      </c>
      <c r="BJ84" s="70" t="s">
        <v>605</v>
      </c>
      <c r="BK84" s="70" t="s">
        <v>605</v>
      </c>
      <c r="BL84" s="70" t="s">
        <v>605</v>
      </c>
      <c r="BM84" s="70" t="s">
        <v>605</v>
      </c>
      <c r="BN84" s="70" t="s">
        <v>605</v>
      </c>
      <c r="BO84" s="70" t="s">
        <v>605</v>
      </c>
      <c r="BP84" s="68" t="s">
        <v>605</v>
      </c>
      <c r="BQ84" s="68" t="s">
        <v>605</v>
      </c>
      <c r="BR84" s="68" t="s">
        <v>605</v>
      </c>
      <c r="BS84" s="68"/>
      <c r="BT84" s="68" t="s">
        <v>605</v>
      </c>
      <c r="BU84" s="68" t="s">
        <v>605</v>
      </c>
      <c r="BV84" s="68" t="s">
        <v>605</v>
      </c>
      <c r="BW84" s="68"/>
      <c r="BX84" s="68"/>
      <c r="BY84" s="68"/>
      <c r="BZ84" s="68"/>
      <c r="CA84" s="68"/>
      <c r="CB84" s="68"/>
      <c r="CC84" s="68"/>
      <c r="CD84" s="68"/>
      <c r="CE84" s="68"/>
      <c r="CF84" s="68"/>
      <c r="CG84" s="68"/>
      <c r="CH84" s="68"/>
      <c r="CI84" s="68"/>
      <c r="CJ84" s="68"/>
      <c r="CK84" s="68"/>
      <c r="CL84" s="68"/>
      <c r="CM84" s="68"/>
      <c r="CN84" s="122"/>
      <c r="CO84" s="122"/>
      <c r="CP84" s="122"/>
      <c r="CQ84" s="122"/>
      <c r="CR84" s="122"/>
      <c r="CS84" s="122"/>
      <c r="CT84" s="122"/>
      <c r="CU84" s="122"/>
      <c r="CV84" s="122"/>
      <c r="CW84" s="122"/>
      <c r="CX84" s="122"/>
      <c r="CY84" s="122"/>
      <c r="CZ84" s="122"/>
      <c r="DA84" s="122"/>
      <c r="DB84" s="122"/>
      <c r="DC84" s="122"/>
      <c r="DD84" s="122"/>
      <c r="DE84" s="122"/>
      <c r="DF84" s="122"/>
      <c r="DG84" s="68"/>
      <c r="DH84" s="68"/>
      <c r="DL84" s="68"/>
      <c r="DM84" s="68" t="s">
        <v>605</v>
      </c>
      <c r="DN84" s="68" t="s">
        <v>605</v>
      </c>
      <c r="DO84" s="68" t="s">
        <v>605</v>
      </c>
      <c r="DP84" s="68" t="s">
        <v>605</v>
      </c>
      <c r="DQ84" s="68" t="s">
        <v>605</v>
      </c>
      <c r="DR84" s="68" t="s">
        <v>605</v>
      </c>
      <c r="DS84" s="68" t="s">
        <v>605</v>
      </c>
      <c r="DT84" s="68" t="s">
        <v>605</v>
      </c>
      <c r="DU84" s="68">
        <f>SUM(W84:Z84)</f>
        <v>574</v>
      </c>
      <c r="DV84" s="44">
        <f>SUM(AA84:AD84)</f>
        <v>416</v>
      </c>
      <c r="DW84" s="44">
        <f>SUM(AE84:AH84)</f>
        <v>553</v>
      </c>
      <c r="DX84" s="44">
        <v>910</v>
      </c>
      <c r="DY84" s="44">
        <v>903</v>
      </c>
      <c r="DZ84" s="44">
        <f>SUM(AQ84:AT84)</f>
        <v>969</v>
      </c>
      <c r="EA84" s="44">
        <f>SUM(AU84:AX84)</f>
        <v>563</v>
      </c>
      <c r="EB84" s="65">
        <f>SUM(AY84:BB84)</f>
        <v>276</v>
      </c>
      <c r="EG84" s="44">
        <f t="shared" si="183"/>
        <v>0</v>
      </c>
      <c r="EL84" s="44">
        <f t="shared" si="184"/>
        <v>0</v>
      </c>
      <c r="EM84" s="44">
        <f t="shared" si="175"/>
        <v>0</v>
      </c>
      <c r="EN84" s="44">
        <f t="shared" si="177"/>
        <v>0</v>
      </c>
      <c r="EO84" s="44">
        <f t="shared" si="178"/>
        <v>0</v>
      </c>
      <c r="EP84" s="44">
        <f t="shared" si="176"/>
        <v>0</v>
      </c>
      <c r="FJ84" s="82">
        <v>0</v>
      </c>
      <c r="FL84" s="19"/>
    </row>
    <row r="85" spans="2:168">
      <c r="B85" s="4" t="s">
        <v>757</v>
      </c>
      <c r="C85" s="37">
        <v>0</v>
      </c>
      <c r="G85" s="37">
        <v>82</v>
      </c>
      <c r="W85" s="44"/>
      <c r="X85" s="44"/>
      <c r="Y85" s="44"/>
      <c r="Z85" s="44"/>
      <c r="AA85" s="44"/>
      <c r="AB85" s="44"/>
      <c r="AC85" s="44"/>
      <c r="AD85" s="44"/>
      <c r="AE85" s="44"/>
      <c r="AF85" s="44"/>
      <c r="AG85" s="44"/>
      <c r="AH85" s="44"/>
      <c r="AI85" s="68">
        <v>342</v>
      </c>
      <c r="AJ85" s="44"/>
      <c r="AK85" s="44"/>
      <c r="AL85" s="65"/>
      <c r="AM85" s="65"/>
      <c r="AN85" s="65"/>
      <c r="AO85" s="70"/>
      <c r="AP85" s="70"/>
      <c r="AQ85" s="65"/>
      <c r="AR85" s="65"/>
      <c r="AS85" s="65"/>
      <c r="AT85" s="65"/>
      <c r="AV85" s="69"/>
      <c r="BC85" s="69"/>
      <c r="BF85" s="69"/>
      <c r="BG85" s="70" t="s">
        <v>605</v>
      </c>
      <c r="BH85" s="70" t="s">
        <v>605</v>
      </c>
      <c r="BI85" s="70" t="s">
        <v>605</v>
      </c>
      <c r="BJ85" s="70" t="s">
        <v>605</v>
      </c>
      <c r="BK85" s="70" t="s">
        <v>605</v>
      </c>
      <c r="BL85" s="70" t="s">
        <v>605</v>
      </c>
      <c r="BM85" s="70" t="s">
        <v>605</v>
      </c>
      <c r="BN85" s="70" t="s">
        <v>605</v>
      </c>
      <c r="BO85" s="70" t="s">
        <v>605</v>
      </c>
      <c r="BP85" s="70" t="s">
        <v>605</v>
      </c>
      <c r="BQ85" s="70" t="s">
        <v>605</v>
      </c>
      <c r="BR85" s="70" t="s">
        <v>605</v>
      </c>
      <c r="BS85" s="70"/>
      <c r="BT85" s="70" t="s">
        <v>605</v>
      </c>
      <c r="BU85" s="70" t="s">
        <v>605</v>
      </c>
      <c r="BV85" s="70" t="s">
        <v>605</v>
      </c>
      <c r="BW85" s="70"/>
      <c r="BX85" s="70"/>
      <c r="BY85" s="70"/>
      <c r="BZ85" s="70"/>
      <c r="CA85" s="70"/>
      <c r="CB85" s="70"/>
      <c r="CC85" s="70"/>
      <c r="CD85" s="70"/>
      <c r="CE85" s="70"/>
      <c r="CF85" s="70"/>
      <c r="CG85" s="70"/>
      <c r="CH85" s="70"/>
      <c r="CI85" s="70"/>
      <c r="CJ85" s="70"/>
      <c r="CK85" s="70"/>
      <c r="CL85" s="70"/>
      <c r="CM85" s="70"/>
      <c r="CN85" s="122"/>
      <c r="CO85" s="122"/>
      <c r="CP85" s="122"/>
      <c r="CQ85" s="122"/>
      <c r="CR85" s="122"/>
      <c r="CS85" s="122"/>
      <c r="CT85" s="122"/>
      <c r="CU85" s="122"/>
      <c r="CV85" s="122"/>
      <c r="CW85" s="122"/>
      <c r="CX85" s="122"/>
      <c r="CY85" s="122"/>
      <c r="CZ85" s="122"/>
      <c r="DA85" s="122"/>
      <c r="DB85" s="122"/>
      <c r="DC85" s="122"/>
      <c r="DD85" s="122"/>
      <c r="DE85" s="122"/>
      <c r="DF85" s="122"/>
      <c r="DG85" s="70"/>
      <c r="DH85" s="70"/>
      <c r="DL85" s="68"/>
      <c r="DM85" s="68">
        <v>11</v>
      </c>
      <c r="DN85" s="68">
        <v>10</v>
      </c>
      <c r="DO85" s="68">
        <v>146</v>
      </c>
      <c r="DP85" s="68">
        <v>265</v>
      </c>
      <c r="DQ85" s="68"/>
      <c r="DR85" s="68"/>
      <c r="DS85" s="68"/>
      <c r="DT85" s="68"/>
      <c r="DU85" s="68"/>
      <c r="DV85" s="68"/>
      <c r="DW85" s="44"/>
      <c r="DX85" s="44"/>
      <c r="DY85" s="44"/>
      <c r="DZ85" s="44"/>
      <c r="EA85" s="44"/>
      <c r="EB85" s="65"/>
      <c r="EG85" s="44">
        <f t="shared" si="183"/>
        <v>0</v>
      </c>
      <c r="EL85" s="44">
        <f t="shared" si="184"/>
        <v>0</v>
      </c>
      <c r="EM85" s="44">
        <f t="shared" si="175"/>
        <v>0</v>
      </c>
      <c r="EN85" s="44">
        <f t="shared" si="177"/>
        <v>0</v>
      </c>
      <c r="EO85" s="44">
        <f t="shared" si="178"/>
        <v>0</v>
      </c>
      <c r="EP85" s="44">
        <f t="shared" si="176"/>
        <v>0</v>
      </c>
    </row>
    <row r="86" spans="2:168" collapsed="1">
      <c r="B86" s="4" t="s">
        <v>758</v>
      </c>
      <c r="C86" s="62"/>
      <c r="D86" s="62"/>
      <c r="E86" s="62"/>
      <c r="F86" s="62"/>
      <c r="G86" s="62" t="s">
        <v>605</v>
      </c>
      <c r="H86" s="62" t="s">
        <v>605</v>
      </c>
      <c r="I86" s="62" t="s">
        <v>605</v>
      </c>
      <c r="J86" s="62" t="s">
        <v>605</v>
      </c>
      <c r="K86" s="62" t="s">
        <v>605</v>
      </c>
      <c r="L86" s="62" t="s">
        <v>605</v>
      </c>
      <c r="M86" s="62" t="s">
        <v>605</v>
      </c>
      <c r="N86" s="62" t="s">
        <v>605</v>
      </c>
      <c r="O86" s="62" t="s">
        <v>605</v>
      </c>
      <c r="P86" s="62" t="s">
        <v>605</v>
      </c>
      <c r="Q86" s="62" t="s">
        <v>605</v>
      </c>
      <c r="R86" s="62" t="s">
        <v>605</v>
      </c>
      <c r="S86" s="62" t="s">
        <v>605</v>
      </c>
      <c r="T86" s="62" t="s">
        <v>605</v>
      </c>
      <c r="U86" s="62" t="s">
        <v>605</v>
      </c>
      <c r="V86" s="62" t="s">
        <v>605</v>
      </c>
      <c r="W86" s="62" t="s">
        <v>605</v>
      </c>
      <c r="X86" s="62" t="s">
        <v>605</v>
      </c>
      <c r="Y86" s="62" t="s">
        <v>605</v>
      </c>
      <c r="Z86" s="62" t="s">
        <v>605</v>
      </c>
      <c r="AA86" s="62" t="s">
        <v>605</v>
      </c>
      <c r="AB86" s="37">
        <f>13+27</f>
        <v>40</v>
      </c>
      <c r="AC86" s="37">
        <f>17+64</f>
        <v>81</v>
      </c>
      <c r="AD86" s="37">
        <f>26+68</f>
        <v>94</v>
      </c>
      <c r="AE86" s="44">
        <f>17+63</f>
        <v>80</v>
      </c>
      <c r="AF86" s="44">
        <f>17+71</f>
        <v>88</v>
      </c>
      <c r="AG86" s="44">
        <f>15+71</f>
        <v>86</v>
      </c>
      <c r="AH86" s="44">
        <f>18+72</f>
        <v>90</v>
      </c>
      <c r="AI86" s="68">
        <f>18+72</f>
        <v>90</v>
      </c>
      <c r="AJ86" s="37">
        <f>20+76</f>
        <v>96</v>
      </c>
      <c r="AK86" s="37">
        <f>18+68</f>
        <v>86</v>
      </c>
      <c r="AL86" s="65">
        <v>94</v>
      </c>
      <c r="AM86" s="65">
        <v>73</v>
      </c>
      <c r="AN86" s="69">
        <v>86</v>
      </c>
      <c r="AO86" s="69">
        <v>77</v>
      </c>
      <c r="AP86" s="103">
        <v>76</v>
      </c>
      <c r="AQ86" s="65"/>
      <c r="AR86" s="65"/>
      <c r="AS86" s="65"/>
      <c r="AT86" s="65"/>
      <c r="AU86" s="44"/>
      <c r="AV86" s="65"/>
      <c r="AW86" s="44"/>
      <c r="AX86" s="44"/>
      <c r="AY86" s="44"/>
      <c r="AZ86" s="44"/>
      <c r="BA86" s="44"/>
      <c r="BB86" s="44"/>
      <c r="BC86" s="65"/>
      <c r="BD86" s="44"/>
      <c r="BE86" s="44"/>
      <c r="BF86" s="65"/>
      <c r="BG86" s="70" t="s">
        <v>605</v>
      </c>
      <c r="BH86" s="70" t="s">
        <v>605</v>
      </c>
      <c r="BI86" s="70" t="s">
        <v>605</v>
      </c>
      <c r="BJ86" s="70" t="s">
        <v>605</v>
      </c>
      <c r="BK86" s="70" t="s">
        <v>605</v>
      </c>
      <c r="BL86" s="70" t="s">
        <v>605</v>
      </c>
      <c r="BM86" s="70" t="s">
        <v>605</v>
      </c>
      <c r="BN86" s="70" t="s">
        <v>605</v>
      </c>
      <c r="BO86" s="70" t="s">
        <v>605</v>
      </c>
      <c r="BP86" s="70" t="s">
        <v>605</v>
      </c>
      <c r="BQ86" s="70" t="s">
        <v>605</v>
      </c>
      <c r="BR86" s="70" t="s">
        <v>605</v>
      </c>
      <c r="BS86" s="70"/>
      <c r="BT86" s="70" t="s">
        <v>605</v>
      </c>
      <c r="BU86" s="70" t="s">
        <v>605</v>
      </c>
      <c r="BV86" s="70" t="s">
        <v>605</v>
      </c>
      <c r="BW86" s="70"/>
      <c r="BX86" s="70"/>
      <c r="BY86" s="70"/>
      <c r="BZ86" s="70"/>
      <c r="CA86" s="70"/>
      <c r="CB86" s="70"/>
      <c r="CC86" s="70"/>
      <c r="CD86" s="70"/>
      <c r="CE86" s="70"/>
      <c r="CF86" s="70"/>
      <c r="CG86" s="70"/>
      <c r="CH86" s="70"/>
      <c r="CI86" s="70"/>
      <c r="CJ86" s="70"/>
      <c r="CK86" s="70"/>
      <c r="CL86" s="70"/>
      <c r="CM86" s="70"/>
      <c r="CN86" s="122"/>
      <c r="CO86" s="122"/>
      <c r="CP86" s="122"/>
      <c r="CQ86" s="122"/>
      <c r="CR86" s="122"/>
      <c r="CS86" s="122"/>
      <c r="CT86" s="122"/>
      <c r="CU86" s="122"/>
      <c r="CV86" s="122"/>
      <c r="CW86" s="122"/>
      <c r="CX86" s="122"/>
      <c r="CY86" s="122"/>
      <c r="CZ86" s="122"/>
      <c r="DA86" s="122"/>
      <c r="DB86" s="122"/>
      <c r="DC86" s="122"/>
      <c r="DD86" s="122"/>
      <c r="DE86" s="122"/>
      <c r="DF86" s="122"/>
      <c r="DG86" s="70"/>
      <c r="DH86" s="70"/>
      <c r="DL86" s="68"/>
      <c r="DM86" s="68" t="s">
        <v>605</v>
      </c>
      <c r="DN86" s="68" t="s">
        <v>605</v>
      </c>
      <c r="DO86" s="68" t="s">
        <v>605</v>
      </c>
      <c r="DP86" s="68" t="s">
        <v>605</v>
      </c>
      <c r="DQ86" s="68" t="s">
        <v>605</v>
      </c>
      <c r="DR86" s="68" t="s">
        <v>605</v>
      </c>
      <c r="DS86" s="68" t="s">
        <v>605</v>
      </c>
      <c r="DT86" s="68" t="s">
        <v>605</v>
      </c>
      <c r="DU86" s="68" t="s">
        <v>605</v>
      </c>
      <c r="DV86" s="68">
        <f>SUM(AA86:AD86)</f>
        <v>215</v>
      </c>
      <c r="DW86" s="68">
        <f>SUM(AE86:AH86)</f>
        <v>344</v>
      </c>
      <c r="DX86" s="44">
        <v>367</v>
      </c>
      <c r="DY86" s="44">
        <v>312</v>
      </c>
      <c r="DZ86" s="44"/>
      <c r="EA86" s="44"/>
      <c r="EB86" s="65">
        <f>SUM(AY86:BB86)</f>
        <v>0</v>
      </c>
      <c r="EG86" s="44">
        <f t="shared" si="183"/>
        <v>0</v>
      </c>
      <c r="EL86" s="44">
        <f t="shared" si="184"/>
        <v>0</v>
      </c>
      <c r="EM86" s="44">
        <f t="shared" si="175"/>
        <v>0</v>
      </c>
      <c r="EN86" s="44">
        <f t="shared" si="177"/>
        <v>0</v>
      </c>
      <c r="EO86" s="44">
        <f t="shared" si="178"/>
        <v>0</v>
      </c>
      <c r="EP86" s="44">
        <f t="shared" si="176"/>
        <v>0</v>
      </c>
    </row>
    <row r="87" spans="2:168" s="9" customFormat="1">
      <c r="B87" s="14" t="s">
        <v>759</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8">
        <v>50</v>
      </c>
      <c r="AF87" s="68">
        <v>50</v>
      </c>
      <c r="AG87" s="68">
        <v>50</v>
      </c>
      <c r="AH87" s="68">
        <f>5077-3264-1253-168-15-165</f>
        <v>212</v>
      </c>
      <c r="AI87" s="74">
        <f>4726-3075-1175-153-31-100</f>
        <v>192</v>
      </c>
      <c r="AJ87" s="47"/>
      <c r="AK87" s="47"/>
      <c r="AL87" s="47"/>
      <c r="AM87" s="66"/>
      <c r="AN87" s="62"/>
      <c r="AO87" s="68"/>
      <c r="AP87" s="62"/>
      <c r="AQ87" s="68"/>
      <c r="AR87" s="68"/>
      <c r="AS87" s="68"/>
      <c r="AT87" s="68"/>
      <c r="AU87" s="68"/>
      <c r="AV87" s="70"/>
      <c r="AW87" s="68"/>
      <c r="AX87" s="68"/>
      <c r="AY87" s="68"/>
      <c r="AZ87" s="68"/>
      <c r="BA87" s="68"/>
      <c r="BB87" s="44"/>
      <c r="BC87" s="65"/>
      <c r="BD87" s="44"/>
      <c r="BE87" s="44"/>
      <c r="BF87" s="65"/>
      <c r="BG87" s="44"/>
      <c r="BH87" s="65"/>
      <c r="BI87" s="44"/>
      <c r="BJ87" s="65"/>
      <c r="BK87" s="65"/>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44"/>
      <c r="DH87" s="44"/>
      <c r="DI87" s="14"/>
      <c r="DJ87" s="14"/>
      <c r="DK87" s="14"/>
      <c r="DL87" s="68"/>
      <c r="DM87" s="68"/>
      <c r="DN87" s="68"/>
      <c r="DO87" s="68"/>
      <c r="DP87" s="68"/>
      <c r="DQ87" s="68"/>
      <c r="DR87" s="68"/>
      <c r="DS87" s="68"/>
      <c r="DT87" s="68"/>
      <c r="DU87" s="68"/>
      <c r="DV87" s="68">
        <v>979</v>
      </c>
      <c r="DW87" s="68">
        <v>744</v>
      </c>
      <c r="DX87" s="68">
        <v>774</v>
      </c>
      <c r="DY87" s="68">
        <v>844</v>
      </c>
      <c r="DZ87" s="68">
        <f>DY87*0.9</f>
        <v>759.6</v>
      </c>
      <c r="EA87" s="44">
        <f>SUM(AR87:AU87)</f>
        <v>0</v>
      </c>
      <c r="EB87" s="70"/>
      <c r="EC87" s="68"/>
      <c r="ED87" s="68"/>
      <c r="EE87" s="68"/>
      <c r="EF87" s="68"/>
      <c r="EG87" s="68"/>
      <c r="EH87" s="68"/>
      <c r="EI87" s="68"/>
      <c r="EJ87" s="68"/>
      <c r="EK87" s="68"/>
      <c r="EL87" s="44">
        <f t="shared" si="184"/>
        <v>0</v>
      </c>
      <c r="EM87" s="44">
        <f t="shared" si="175"/>
        <v>0</v>
      </c>
      <c r="EN87" s="44">
        <f t="shared" si="177"/>
        <v>0</v>
      </c>
      <c r="EO87" s="44">
        <f t="shared" si="178"/>
        <v>0</v>
      </c>
      <c r="EP87" s="44">
        <f t="shared" si="176"/>
        <v>0</v>
      </c>
      <c r="EQ87" s="68"/>
      <c r="ER87" s="68"/>
      <c r="ES87" s="68"/>
      <c r="ET87" s="68"/>
      <c r="EU87" s="68"/>
      <c r="EV87" s="68"/>
      <c r="EW87" s="68"/>
      <c r="EX87" s="68"/>
      <c r="EY87" s="68"/>
      <c r="EZ87" s="68"/>
      <c r="FA87" s="68"/>
      <c r="FB87" s="68"/>
      <c r="FC87" s="68"/>
      <c r="FD87" s="68"/>
      <c r="FE87" s="68"/>
      <c r="FF87" s="68"/>
      <c r="FG87" s="68"/>
      <c r="FH87" s="83"/>
      <c r="FI87" s="68"/>
      <c r="FJ87" s="84"/>
      <c r="FK87" s="68"/>
      <c r="FL87" s="14"/>
    </row>
    <row r="88" spans="2:168" s="9" customFormat="1">
      <c r="B88" s="14" t="s">
        <v>1375</v>
      </c>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8"/>
      <c r="AF88" s="68"/>
      <c r="AG88" s="68"/>
      <c r="AH88" s="68"/>
      <c r="AI88" s="74"/>
      <c r="AJ88" s="47"/>
      <c r="AK88" s="47"/>
      <c r="AL88" s="47"/>
      <c r="AM88" s="66"/>
      <c r="AN88" s="62"/>
      <c r="AO88" s="68"/>
      <c r="AP88" s="62"/>
      <c r="AQ88" s="68"/>
      <c r="AR88" s="68"/>
      <c r="AS88" s="68"/>
      <c r="AT88" s="68"/>
      <c r="AU88" s="68"/>
      <c r="AV88" s="70"/>
      <c r="AW88" s="68"/>
      <c r="AX88" s="68"/>
      <c r="AY88" s="68"/>
      <c r="AZ88" s="68"/>
      <c r="BA88" s="68"/>
      <c r="BB88" s="44"/>
      <c r="BC88" s="65"/>
      <c r="BD88" s="44"/>
      <c r="BE88" s="44"/>
      <c r="BF88" s="65"/>
      <c r="BG88" s="44"/>
      <c r="BH88" s="65"/>
      <c r="BI88" s="44"/>
      <c r="BJ88" s="65"/>
      <c r="BK88" s="65"/>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v>38</v>
      </c>
      <c r="CL88" s="44">
        <v>47</v>
      </c>
      <c r="CM88" s="44">
        <v>31</v>
      </c>
      <c r="CN88" s="115">
        <v>35</v>
      </c>
      <c r="CO88" s="115">
        <v>28</v>
      </c>
      <c r="CP88" s="115">
        <v>35</v>
      </c>
      <c r="CQ88" s="115">
        <v>31</v>
      </c>
      <c r="CR88" s="115">
        <v>31</v>
      </c>
      <c r="CS88" s="115">
        <v>27</v>
      </c>
      <c r="CT88" s="115">
        <v>31</v>
      </c>
      <c r="CU88" s="115">
        <v>26</v>
      </c>
      <c r="CV88" s="115">
        <v>29</v>
      </c>
      <c r="CW88" s="115">
        <v>30</v>
      </c>
      <c r="CX88" s="115">
        <v>31</v>
      </c>
      <c r="CY88" s="115">
        <v>25</v>
      </c>
      <c r="CZ88" s="115">
        <v>25</v>
      </c>
      <c r="DA88" s="115"/>
      <c r="DB88" s="115"/>
      <c r="DC88" s="115"/>
      <c r="DD88" s="115"/>
      <c r="DE88" s="115"/>
      <c r="DF88" s="115"/>
      <c r="DG88" s="44"/>
      <c r="DH88" s="44"/>
      <c r="DI88" s="14"/>
      <c r="DJ88" s="14"/>
      <c r="DK88" s="14"/>
      <c r="DL88" s="68"/>
      <c r="DM88" s="68"/>
      <c r="DN88" s="68"/>
      <c r="DO88" s="68"/>
      <c r="DP88" s="68"/>
      <c r="DQ88" s="68"/>
      <c r="DR88" s="68"/>
      <c r="DS88" s="68"/>
      <c r="DT88" s="68"/>
      <c r="DU88" s="68"/>
      <c r="DV88" s="68"/>
      <c r="DW88" s="68"/>
      <c r="DX88" s="68"/>
      <c r="DY88" s="68"/>
      <c r="DZ88" s="68"/>
      <c r="EA88" s="44"/>
      <c r="EB88" s="70"/>
      <c r="EC88" s="68"/>
      <c r="ED88" s="68"/>
      <c r="EE88" s="68"/>
      <c r="EF88" s="68"/>
      <c r="EG88" s="68"/>
      <c r="EH88" s="68"/>
      <c r="EI88" s="68"/>
      <c r="EJ88" s="68"/>
      <c r="EK88" s="68"/>
      <c r="EL88" s="44">
        <f t="shared" si="184"/>
        <v>129</v>
      </c>
      <c r="EM88" s="44">
        <f t="shared" si="175"/>
        <v>120</v>
      </c>
      <c r="EN88" s="44">
        <f t="shared" si="177"/>
        <v>116</v>
      </c>
      <c r="EO88" s="44">
        <f t="shared" si="178"/>
        <v>50</v>
      </c>
      <c r="EP88" s="44">
        <f t="shared" si="176"/>
        <v>0</v>
      </c>
      <c r="EQ88" s="68"/>
      <c r="ER88" s="68"/>
      <c r="ES88" s="68"/>
      <c r="ET88" s="68"/>
      <c r="EU88" s="68"/>
      <c r="EV88" s="68"/>
      <c r="EW88" s="68"/>
      <c r="EX88" s="68"/>
      <c r="EY88" s="68"/>
      <c r="EZ88" s="68"/>
      <c r="FA88" s="68"/>
      <c r="FB88" s="68"/>
      <c r="FC88" s="68"/>
      <c r="FD88" s="68"/>
      <c r="FE88" s="68"/>
      <c r="FF88" s="68"/>
      <c r="FG88" s="68"/>
      <c r="FH88" s="83"/>
      <c r="FI88" s="68"/>
      <c r="FJ88" s="84"/>
      <c r="FK88" s="68"/>
      <c r="FL88" s="14"/>
    </row>
    <row r="89" spans="2:168" s="9" customFormat="1">
      <c r="B89" s="14" t="s">
        <v>1360</v>
      </c>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8"/>
      <c r="AF89" s="68"/>
      <c r="AG89" s="68"/>
      <c r="AH89" s="68"/>
      <c r="AI89" s="74"/>
      <c r="AJ89" s="47"/>
      <c r="AK89" s="47"/>
      <c r="AL89" s="47"/>
      <c r="AM89" s="66"/>
      <c r="AN89" s="62"/>
      <c r="AO89" s="68"/>
      <c r="AP89" s="62"/>
      <c r="AQ89" s="68"/>
      <c r="AR89" s="68"/>
      <c r="AS89" s="68"/>
      <c r="AT89" s="68"/>
      <c r="AU89" s="68"/>
      <c r="AV89" s="70"/>
      <c r="AW89" s="68"/>
      <c r="AX89" s="68"/>
      <c r="AY89" s="68"/>
      <c r="AZ89" s="68"/>
      <c r="BA89" s="68"/>
      <c r="BB89" s="44"/>
      <c r="BC89" s="65"/>
      <c r="BD89" s="44"/>
      <c r="BE89" s="44"/>
      <c r="BF89" s="65"/>
      <c r="BG89" s="44"/>
      <c r="BH89" s="65"/>
      <c r="BI89" s="44"/>
      <c r="BJ89" s="65"/>
      <c r="BK89" s="65"/>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v>21</v>
      </c>
      <c r="CL89" s="44">
        <v>25</v>
      </c>
      <c r="CM89" s="44">
        <v>77</v>
      </c>
      <c r="CN89" s="115">
        <v>138</v>
      </c>
      <c r="CO89" s="115">
        <v>16</v>
      </c>
      <c r="CP89" s="115">
        <v>19</v>
      </c>
      <c r="CQ89" s="115">
        <v>86</v>
      </c>
      <c r="CR89" s="115">
        <v>75</v>
      </c>
      <c r="CS89" s="115">
        <v>8</v>
      </c>
      <c r="CT89" s="115">
        <v>3</v>
      </c>
      <c r="CU89" s="115">
        <v>49</v>
      </c>
      <c r="CV89" s="115">
        <v>46</v>
      </c>
      <c r="CW89" s="115">
        <v>10</v>
      </c>
      <c r="CX89" s="115">
        <v>19</v>
      </c>
      <c r="CY89" s="115">
        <v>29</v>
      </c>
      <c r="CZ89" s="115">
        <v>49.4</v>
      </c>
      <c r="DA89" s="115"/>
      <c r="DB89" s="115"/>
      <c r="DC89" s="115"/>
      <c r="DD89" s="115"/>
      <c r="DE89" s="115"/>
      <c r="DF89" s="115"/>
      <c r="DG89" s="44"/>
      <c r="DH89" s="44"/>
      <c r="DI89" s="14"/>
      <c r="DJ89" s="14"/>
      <c r="DK89" s="14"/>
      <c r="DL89" s="68"/>
      <c r="DM89" s="68"/>
      <c r="DN89" s="68"/>
      <c r="DO89" s="68"/>
      <c r="DP89" s="68"/>
      <c r="DQ89" s="68"/>
      <c r="DR89" s="68"/>
      <c r="DS89" s="68"/>
      <c r="DT89" s="68"/>
      <c r="DU89" s="68"/>
      <c r="DV89" s="68"/>
      <c r="DW89" s="68"/>
      <c r="DX89" s="68"/>
      <c r="DY89" s="68"/>
      <c r="DZ89" s="68"/>
      <c r="EA89" s="44"/>
      <c r="EB89" s="70"/>
      <c r="EC89" s="68"/>
      <c r="ED89" s="68"/>
      <c r="EE89" s="68"/>
      <c r="EF89" s="68"/>
      <c r="EG89" s="68"/>
      <c r="EH89" s="68"/>
      <c r="EI89" s="68"/>
      <c r="EJ89" s="68"/>
      <c r="EK89" s="68"/>
      <c r="EL89" s="44">
        <f t="shared" si="184"/>
        <v>250</v>
      </c>
      <c r="EM89" s="44">
        <f t="shared" si="175"/>
        <v>172</v>
      </c>
      <c r="EN89" s="44">
        <f t="shared" si="177"/>
        <v>124</v>
      </c>
      <c r="EO89" s="44">
        <f t="shared" si="178"/>
        <v>78.400000000000006</v>
      </c>
      <c r="EP89" s="44">
        <f t="shared" si="176"/>
        <v>0</v>
      </c>
      <c r="EQ89" s="68"/>
      <c r="ER89" s="68"/>
      <c r="ES89" s="68"/>
      <c r="ET89" s="68"/>
      <c r="EU89" s="68"/>
      <c r="EV89" s="68"/>
      <c r="EW89" s="68"/>
      <c r="EX89" s="68"/>
      <c r="EY89" s="68"/>
      <c r="EZ89" s="68"/>
      <c r="FA89" s="68"/>
      <c r="FB89" s="68"/>
      <c r="FC89" s="68"/>
      <c r="FD89" s="68"/>
      <c r="FE89" s="68"/>
      <c r="FF89" s="68"/>
      <c r="FG89" s="68"/>
      <c r="FH89" s="83"/>
      <c r="FI89" s="68"/>
      <c r="FJ89" s="84"/>
      <c r="FK89" s="68"/>
      <c r="FL89" s="14"/>
    </row>
    <row r="90" spans="2:168" s="9" customFormat="1">
      <c r="B90" s="14" t="s">
        <v>1377</v>
      </c>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8"/>
      <c r="AF90" s="68"/>
      <c r="AG90" s="68"/>
      <c r="AH90" s="68"/>
      <c r="AI90" s="74"/>
      <c r="AJ90" s="47"/>
      <c r="AK90" s="47"/>
      <c r="AL90" s="47"/>
      <c r="AM90" s="66"/>
      <c r="AN90" s="62"/>
      <c r="AO90" s="68"/>
      <c r="AP90" s="62"/>
      <c r="AQ90" s="68"/>
      <c r="AR90" s="68"/>
      <c r="AS90" s="68"/>
      <c r="AT90" s="68"/>
      <c r="AU90" s="68"/>
      <c r="AV90" s="70"/>
      <c r="AW90" s="68"/>
      <c r="AX90" s="68"/>
      <c r="AY90" s="68"/>
      <c r="AZ90" s="68"/>
      <c r="BA90" s="68"/>
      <c r="BB90" s="44"/>
      <c r="BC90" s="65"/>
      <c r="BD90" s="44"/>
      <c r="BE90" s="44"/>
      <c r="BF90" s="65"/>
      <c r="BG90" s="44"/>
      <c r="BH90" s="65"/>
      <c r="BI90" s="44"/>
      <c r="BJ90" s="65"/>
      <c r="BK90" s="65"/>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v>14</v>
      </c>
      <c r="CL90" s="44">
        <v>9</v>
      </c>
      <c r="CM90" s="44">
        <v>25</v>
      </c>
      <c r="CN90" s="115">
        <v>34</v>
      </c>
      <c r="CO90" s="115">
        <v>15</v>
      </c>
      <c r="CP90" s="115">
        <v>5</v>
      </c>
      <c r="CQ90" s="115">
        <v>22</v>
      </c>
      <c r="CR90" s="115">
        <v>26</v>
      </c>
      <c r="CS90" s="115">
        <v>35</v>
      </c>
      <c r="CT90" s="115">
        <v>38</v>
      </c>
      <c r="CU90" s="115">
        <v>31</v>
      </c>
      <c r="CV90" s="115">
        <v>33</v>
      </c>
      <c r="CW90" s="115">
        <v>28</v>
      </c>
      <c r="CX90" s="115">
        <v>41</v>
      </c>
      <c r="CY90" s="115">
        <v>35</v>
      </c>
      <c r="CZ90" s="115">
        <v>25.4</v>
      </c>
      <c r="DA90" s="115"/>
      <c r="DB90" s="115"/>
      <c r="DC90" s="115"/>
      <c r="DD90" s="115"/>
      <c r="DE90" s="115"/>
      <c r="DF90" s="115"/>
      <c r="DG90" s="44"/>
      <c r="DH90" s="44"/>
      <c r="DI90" s="14"/>
      <c r="DJ90" s="14"/>
      <c r="DK90" s="14"/>
      <c r="DL90" s="68"/>
      <c r="DM90" s="68"/>
      <c r="DN90" s="68"/>
      <c r="DO90" s="68"/>
      <c r="DP90" s="68"/>
      <c r="DQ90" s="68"/>
      <c r="DR90" s="68"/>
      <c r="DS90" s="68"/>
      <c r="DT90" s="68"/>
      <c r="DU90" s="68"/>
      <c r="DV90" s="68"/>
      <c r="DW90" s="68"/>
      <c r="DX90" s="68"/>
      <c r="DY90" s="68"/>
      <c r="DZ90" s="68"/>
      <c r="EA90" s="44"/>
      <c r="EB90" s="70"/>
      <c r="EC90" s="68"/>
      <c r="ED90" s="68"/>
      <c r="EE90" s="68"/>
      <c r="EF90" s="68"/>
      <c r="EG90" s="68"/>
      <c r="EH90" s="68"/>
      <c r="EI90" s="68"/>
      <c r="EJ90" s="68"/>
      <c r="EK90" s="68"/>
      <c r="EL90" s="44">
        <f t="shared" si="184"/>
        <v>79</v>
      </c>
      <c r="EM90" s="44">
        <f t="shared" si="175"/>
        <v>121</v>
      </c>
      <c r="EN90" s="44">
        <f t="shared" si="177"/>
        <v>133</v>
      </c>
      <c r="EO90" s="44">
        <f t="shared" si="178"/>
        <v>60.4</v>
      </c>
      <c r="EP90" s="44">
        <f t="shared" si="176"/>
        <v>0</v>
      </c>
      <c r="EQ90" s="68"/>
      <c r="ER90" s="68"/>
      <c r="ES90" s="68"/>
      <c r="ET90" s="68"/>
      <c r="EU90" s="68"/>
      <c r="EV90" s="68"/>
      <c r="EW90" s="68"/>
      <c r="EX90" s="68"/>
      <c r="EY90" s="68"/>
      <c r="EZ90" s="68"/>
      <c r="FA90" s="68"/>
      <c r="FB90" s="68"/>
      <c r="FC90" s="68"/>
      <c r="FD90" s="68"/>
      <c r="FE90" s="68"/>
      <c r="FF90" s="68"/>
      <c r="FG90" s="68"/>
      <c r="FH90" s="83"/>
      <c r="FI90" s="68"/>
      <c r="FJ90" s="84"/>
      <c r="FK90" s="68"/>
      <c r="FL90" s="14"/>
    </row>
    <row r="91" spans="2:168">
      <c r="B91" s="4" t="s">
        <v>764</v>
      </c>
      <c r="W91" s="44"/>
      <c r="X91" s="44"/>
      <c r="Y91" s="44"/>
      <c r="Z91" s="44"/>
      <c r="AA91" s="44"/>
      <c r="AB91" s="44"/>
      <c r="AC91" s="44"/>
      <c r="AD91" s="44"/>
      <c r="AE91" s="44"/>
      <c r="AF91" s="44"/>
      <c r="AG91" s="44"/>
      <c r="AH91" s="44">
        <f>453-189-90-49</f>
        <v>125</v>
      </c>
      <c r="AI91" s="68">
        <f>479-212-90-55</f>
        <v>122</v>
      </c>
      <c r="AJ91" s="44"/>
      <c r="AK91" s="44"/>
      <c r="AL91" s="44"/>
      <c r="AM91" s="65"/>
      <c r="AN91" s="44"/>
      <c r="AO91" s="68"/>
      <c r="AP91" s="68"/>
      <c r="AQ91" s="68"/>
      <c r="AR91" s="68"/>
      <c r="AS91" s="68"/>
      <c r="AT91" s="68"/>
      <c r="AU91" s="68"/>
      <c r="AV91" s="70"/>
      <c r="AW91" s="68"/>
      <c r="AX91" s="68"/>
      <c r="AY91" s="68"/>
      <c r="AZ91" s="68"/>
      <c r="BA91" s="68"/>
      <c r="BB91" s="44"/>
      <c r="BC91" s="65"/>
      <c r="BD91" s="44"/>
      <c r="BE91" s="44"/>
      <c r="BF91" s="65"/>
      <c r="BG91" s="44"/>
      <c r="BH91" s="65"/>
      <c r="BI91" s="44"/>
      <c r="BJ91" s="65"/>
      <c r="BK91" s="65"/>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v>101</v>
      </c>
      <c r="CL91" s="44">
        <v>104</v>
      </c>
      <c r="CM91" s="44">
        <v>122</v>
      </c>
      <c r="CN91" s="115">
        <v>140</v>
      </c>
      <c r="CO91" s="115">
        <v>194</v>
      </c>
      <c r="CP91" s="115">
        <v>166</v>
      </c>
      <c r="CQ91" s="115">
        <v>192</v>
      </c>
      <c r="CR91" s="115">
        <v>221</v>
      </c>
      <c r="CS91" s="115">
        <v>69</v>
      </c>
      <c r="CT91" s="115">
        <v>32</v>
      </c>
      <c r="CU91" s="115">
        <v>41</v>
      </c>
      <c r="CV91" s="115">
        <v>60</v>
      </c>
      <c r="CW91" s="115">
        <v>98</v>
      </c>
      <c r="CX91" s="115">
        <v>83</v>
      </c>
      <c r="CY91" s="115">
        <v>81</v>
      </c>
      <c r="CZ91" s="115">
        <v>82.4</v>
      </c>
      <c r="DA91" s="115">
        <v>80</v>
      </c>
      <c r="DB91" s="115">
        <v>113</v>
      </c>
      <c r="DC91" s="115">
        <f t="shared" ref="DC91:DE91" si="185">+DB91</f>
        <v>113</v>
      </c>
      <c r="DD91" s="115">
        <f t="shared" si="185"/>
        <v>113</v>
      </c>
      <c r="DE91" s="115">
        <f t="shared" si="185"/>
        <v>113</v>
      </c>
      <c r="DF91" s="115">
        <f t="shared" ref="DF91" si="186">+DE91</f>
        <v>113</v>
      </c>
      <c r="DG91" s="44"/>
      <c r="DH91" s="44"/>
      <c r="DL91" s="44"/>
      <c r="DM91" s="44"/>
      <c r="DN91" s="44"/>
      <c r="DO91" s="44"/>
      <c r="DP91" s="44"/>
      <c r="DQ91" s="44"/>
      <c r="DR91" s="44"/>
      <c r="DS91" s="44"/>
      <c r="DT91" s="44"/>
      <c r="DU91" s="44"/>
      <c r="DV91" s="44"/>
      <c r="DW91" s="44">
        <v>460</v>
      </c>
      <c r="DX91" s="44">
        <v>472</v>
      </c>
      <c r="DY91" s="44">
        <v>437</v>
      </c>
      <c r="DZ91" s="44">
        <f>SUM(AQ91:AT91)</f>
        <v>0</v>
      </c>
      <c r="EA91" s="44">
        <f>SUM(AR91:AU91)</f>
        <v>0</v>
      </c>
      <c r="EB91" s="65"/>
      <c r="EL91" s="44">
        <f t="shared" si="184"/>
        <v>622</v>
      </c>
      <c r="EM91" s="44">
        <f t="shared" si="175"/>
        <v>514</v>
      </c>
      <c r="EN91" s="44">
        <f t="shared" si="177"/>
        <v>282</v>
      </c>
      <c r="EO91" s="44">
        <f t="shared" si="178"/>
        <v>356.4</v>
      </c>
      <c r="EP91" s="44">
        <f t="shared" si="176"/>
        <v>452</v>
      </c>
      <c r="EQ91" s="68">
        <f t="shared" ref="EQ91:FB91" si="187">+EP91*0.9</f>
        <v>406.8</v>
      </c>
      <c r="ER91" s="68">
        <f t="shared" si="187"/>
        <v>366.12</v>
      </c>
      <c r="ES91" s="68">
        <f t="shared" si="187"/>
        <v>329.50800000000004</v>
      </c>
      <c r="ET91" s="68">
        <f t="shared" si="187"/>
        <v>296.55720000000002</v>
      </c>
      <c r="EU91" s="68">
        <f t="shared" si="187"/>
        <v>266.90148000000005</v>
      </c>
      <c r="EV91" s="68">
        <f t="shared" si="187"/>
        <v>240.21133200000006</v>
      </c>
      <c r="EW91" s="68">
        <f t="shared" si="187"/>
        <v>216.19019880000005</v>
      </c>
      <c r="EX91" s="68">
        <f t="shared" si="187"/>
        <v>194.57117892000005</v>
      </c>
      <c r="EY91" s="68">
        <f t="shared" si="187"/>
        <v>175.11406102800004</v>
      </c>
      <c r="EZ91" s="68">
        <f t="shared" si="187"/>
        <v>157.60265492520003</v>
      </c>
      <c r="FA91" s="68">
        <f t="shared" si="187"/>
        <v>141.84238943268002</v>
      </c>
      <c r="FB91" s="68">
        <f t="shared" si="187"/>
        <v>127.65815048941202</v>
      </c>
    </row>
    <row r="92" spans="2:168">
      <c r="B92" s="14" t="s">
        <v>1378</v>
      </c>
      <c r="W92" s="44"/>
      <c r="X92" s="44"/>
      <c r="Y92" s="44"/>
      <c r="Z92" s="44"/>
      <c r="AA92" s="44"/>
      <c r="AB92" s="44"/>
      <c r="AC92" s="44"/>
      <c r="AD92" s="44"/>
      <c r="AE92" s="44"/>
      <c r="AF92" s="44"/>
      <c r="AG92" s="44"/>
      <c r="AH92" s="44"/>
      <c r="AI92" s="68"/>
      <c r="AJ92" s="44"/>
      <c r="AK92" s="44"/>
      <c r="AL92" s="44"/>
      <c r="AM92" s="65"/>
      <c r="AN92" s="44"/>
      <c r="AO92" s="68"/>
      <c r="AP92" s="68"/>
      <c r="AQ92" s="68"/>
      <c r="AR92" s="68"/>
      <c r="AS92" s="68"/>
      <c r="AT92" s="68"/>
      <c r="AU92" s="68"/>
      <c r="AV92" s="70"/>
      <c r="AW92" s="68"/>
      <c r="AX92" s="68"/>
      <c r="AY92" s="68"/>
      <c r="AZ92" s="68"/>
      <c r="BA92" s="68"/>
      <c r="BB92" s="44"/>
      <c r="BC92" s="65"/>
      <c r="BD92" s="44"/>
      <c r="BE92" s="44"/>
      <c r="BF92" s="65"/>
      <c r="BG92" s="44"/>
      <c r="BH92" s="65"/>
      <c r="BI92" s="44"/>
      <c r="BJ92" s="65"/>
      <c r="BK92" s="65"/>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v>159</v>
      </c>
      <c r="CL92" s="44">
        <v>215</v>
      </c>
      <c r="CM92" s="44">
        <v>138</v>
      </c>
      <c r="CN92" s="115">
        <v>204</v>
      </c>
      <c r="CO92" s="115">
        <v>176</v>
      </c>
      <c r="CP92" s="115">
        <v>254</v>
      </c>
      <c r="CQ92" s="115">
        <v>158</v>
      </c>
      <c r="CR92" s="115">
        <v>224</v>
      </c>
      <c r="CS92" s="115">
        <v>242</v>
      </c>
      <c r="CT92" s="115">
        <v>308</v>
      </c>
      <c r="CU92" s="115">
        <v>391</v>
      </c>
      <c r="CV92" s="115">
        <v>437</v>
      </c>
      <c r="CW92" s="115">
        <v>521</v>
      </c>
      <c r="CX92" s="115">
        <v>382</v>
      </c>
      <c r="CY92" s="115">
        <v>338</v>
      </c>
      <c r="CZ92" s="115">
        <v>317.39999999999998</v>
      </c>
      <c r="DA92" s="115">
        <v>319</v>
      </c>
      <c r="DB92" s="115">
        <v>368</v>
      </c>
      <c r="DC92" s="115">
        <f t="shared" ref="DC92:DE92" si="188">+DB92</f>
        <v>368</v>
      </c>
      <c r="DD92" s="115">
        <f t="shared" si="188"/>
        <v>368</v>
      </c>
      <c r="DE92" s="115">
        <f t="shared" si="188"/>
        <v>368</v>
      </c>
      <c r="DF92" s="115">
        <f t="shared" ref="DF92" si="189">+DE92</f>
        <v>368</v>
      </c>
      <c r="DG92" s="44"/>
      <c r="DH92" s="44"/>
      <c r="DL92" s="44"/>
      <c r="DM92" s="44"/>
      <c r="DN92" s="44"/>
      <c r="DO92" s="44"/>
      <c r="DP92" s="44"/>
      <c r="DQ92" s="44"/>
      <c r="DR92" s="44"/>
      <c r="DS92" s="44"/>
      <c r="DT92" s="44"/>
      <c r="DU92" s="44"/>
      <c r="DV92" s="44"/>
      <c r="DW92" s="44"/>
      <c r="DX92" s="44"/>
      <c r="DY92" s="44"/>
      <c r="DZ92" s="44"/>
      <c r="EA92" s="44"/>
      <c r="EB92" s="65"/>
      <c r="EL92" s="44">
        <f t="shared" si="184"/>
        <v>772</v>
      </c>
      <c r="EM92" s="44">
        <f t="shared" si="175"/>
        <v>932</v>
      </c>
      <c r="EN92" s="44">
        <f t="shared" si="177"/>
        <v>1731</v>
      </c>
      <c r="EO92" s="44">
        <f t="shared" si="178"/>
        <v>1342.4</v>
      </c>
      <c r="EP92" s="44">
        <f t="shared" si="176"/>
        <v>1472</v>
      </c>
      <c r="EQ92" s="68">
        <f t="shared" ref="EQ92:FB92" si="190">+EP92*0.9</f>
        <v>1324.8</v>
      </c>
      <c r="ER92" s="68">
        <f t="shared" si="190"/>
        <v>1192.32</v>
      </c>
      <c r="ES92" s="68">
        <f t="shared" si="190"/>
        <v>1073.088</v>
      </c>
      <c r="ET92" s="68">
        <f t="shared" si="190"/>
        <v>965.77919999999995</v>
      </c>
      <c r="EU92" s="68">
        <f t="shared" si="190"/>
        <v>869.20128</v>
      </c>
      <c r="EV92" s="68">
        <f t="shared" si="190"/>
        <v>782.28115200000002</v>
      </c>
      <c r="EW92" s="68">
        <f t="shared" si="190"/>
        <v>704.05303680000009</v>
      </c>
      <c r="EX92" s="68">
        <f t="shared" si="190"/>
        <v>633.64773312000011</v>
      </c>
      <c r="EY92" s="68">
        <f t="shared" si="190"/>
        <v>570.2829598080001</v>
      </c>
      <c r="EZ92" s="68">
        <f t="shared" si="190"/>
        <v>513.25466382720015</v>
      </c>
      <c r="FA92" s="68">
        <f t="shared" si="190"/>
        <v>461.92919744448017</v>
      </c>
      <c r="FB92" s="68">
        <f t="shared" si="190"/>
        <v>415.73627770003213</v>
      </c>
    </row>
    <row r="93" spans="2:168">
      <c r="B93" s="4" t="s">
        <v>760</v>
      </c>
      <c r="W93" s="44">
        <v>159</v>
      </c>
      <c r="X93" s="44">
        <v>147</v>
      </c>
      <c r="Y93" s="44">
        <v>158</v>
      </c>
      <c r="Z93" s="44">
        <v>146</v>
      </c>
      <c r="AA93" s="44">
        <v>153</v>
      </c>
      <c r="AB93" s="44">
        <v>179</v>
      </c>
      <c r="AC93" s="44">
        <v>243</v>
      </c>
      <c r="AD93" s="44">
        <v>281</v>
      </c>
      <c r="AE93" s="44">
        <v>303</v>
      </c>
      <c r="AF93" s="44">
        <v>289</v>
      </c>
      <c r="AG93" s="44">
        <v>270</v>
      </c>
      <c r="AH93" s="44">
        <f>1339-675-135-139-83</f>
        <v>307</v>
      </c>
      <c r="AI93" s="68">
        <f>1482-797-143-88-138</f>
        <v>316</v>
      </c>
      <c r="AJ93" s="44">
        <v>304</v>
      </c>
      <c r="AL93" s="44"/>
      <c r="AM93" s="65"/>
      <c r="AO93" s="68"/>
      <c r="AP93" s="62"/>
      <c r="AQ93" s="68"/>
      <c r="AR93" s="68"/>
      <c r="AS93" s="68"/>
      <c r="AT93" s="68"/>
      <c r="AU93" s="68"/>
      <c r="AV93" s="70"/>
      <c r="AW93" s="68"/>
      <c r="AX93" s="68"/>
      <c r="AY93" s="68"/>
      <c r="AZ93" s="68"/>
      <c r="BA93" s="68"/>
      <c r="BB93" s="44"/>
      <c r="BC93" s="65"/>
      <c r="BD93" s="44"/>
      <c r="BE93" s="44"/>
      <c r="BF93" s="65"/>
      <c r="BG93" s="44"/>
      <c r="BH93" s="65"/>
      <c r="BI93" s="44"/>
      <c r="BJ93" s="65"/>
      <c r="BK93" s="65"/>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v>300</v>
      </c>
      <c r="CL93" s="44">
        <v>252</v>
      </c>
      <c r="CM93" s="44">
        <v>405</v>
      </c>
      <c r="CN93" s="115">
        <v>420</v>
      </c>
      <c r="CO93" s="115">
        <v>335</v>
      </c>
      <c r="CP93" s="115">
        <v>292</v>
      </c>
      <c r="CQ93" s="115">
        <v>444</v>
      </c>
      <c r="CR93" s="115">
        <v>367</v>
      </c>
      <c r="CS93" s="115">
        <v>301</v>
      </c>
      <c r="CT93" s="115">
        <v>358</v>
      </c>
      <c r="CU93" s="115">
        <v>455</v>
      </c>
      <c r="CV93" s="115">
        <v>474</v>
      </c>
      <c r="CW93" s="115">
        <v>355</v>
      </c>
      <c r="CX93" s="115">
        <v>372</v>
      </c>
      <c r="CY93" s="115">
        <v>380.8</v>
      </c>
      <c r="CZ93" s="115">
        <v>367.4</v>
      </c>
      <c r="DA93" s="115">
        <v>374</v>
      </c>
      <c r="DB93" s="115">
        <v>348</v>
      </c>
      <c r="DC93" s="115">
        <f t="shared" ref="DC93:DE93" si="191">+DB93</f>
        <v>348</v>
      </c>
      <c r="DD93" s="115">
        <f t="shared" si="191"/>
        <v>348</v>
      </c>
      <c r="DE93" s="115">
        <f t="shared" si="191"/>
        <v>348</v>
      </c>
      <c r="DF93" s="115">
        <f t="shared" ref="DF93" si="192">+DE93</f>
        <v>348</v>
      </c>
      <c r="DG93" s="44"/>
      <c r="DH93" s="44"/>
      <c r="DL93" s="44"/>
      <c r="DM93" s="44"/>
      <c r="DN93" s="44"/>
      <c r="DO93" s="44"/>
      <c r="DP93" s="44"/>
      <c r="DQ93" s="44"/>
      <c r="DR93" s="44"/>
      <c r="DS93" s="44"/>
      <c r="DT93" s="44"/>
      <c r="DU93" s="44">
        <v>609</v>
      </c>
      <c r="DV93" s="44">
        <v>856</v>
      </c>
      <c r="DW93" s="44">
        <v>1172</v>
      </c>
      <c r="DX93" s="44">
        <v>1232</v>
      </c>
      <c r="DY93" s="44">
        <v>1104</v>
      </c>
      <c r="DZ93" s="44">
        <f>DY93*1.02</f>
        <v>1126.08</v>
      </c>
      <c r="EA93" s="44">
        <f t="shared" ref="EA93:EA98" si="193">SUM(AR93:AU93)</f>
        <v>0</v>
      </c>
      <c r="EB93" s="70"/>
      <c r="EC93" s="68"/>
      <c r="ED93" s="68"/>
      <c r="EE93" s="68"/>
      <c r="EF93" s="68"/>
      <c r="EG93" s="68"/>
      <c r="EH93" s="68"/>
      <c r="EI93" s="68"/>
      <c r="EJ93" s="68"/>
      <c r="EK93" s="68"/>
      <c r="EL93" s="44">
        <f t="shared" si="184"/>
        <v>1452</v>
      </c>
      <c r="EM93" s="44">
        <f t="shared" si="175"/>
        <v>1470</v>
      </c>
      <c r="EN93" s="44">
        <f t="shared" si="177"/>
        <v>1656</v>
      </c>
      <c r="EO93" s="44">
        <f t="shared" si="178"/>
        <v>1470.2</v>
      </c>
      <c r="EP93" s="44">
        <f t="shared" si="176"/>
        <v>1392</v>
      </c>
      <c r="EQ93" s="68">
        <f t="shared" ref="EQ93:FB93" si="194">+EP93*0.9</f>
        <v>1252.8</v>
      </c>
      <c r="ER93" s="68">
        <f t="shared" si="194"/>
        <v>1127.52</v>
      </c>
      <c r="ES93" s="68">
        <f t="shared" si="194"/>
        <v>1014.768</v>
      </c>
      <c r="ET93" s="68">
        <f t="shared" si="194"/>
        <v>913.2912</v>
      </c>
      <c r="EU93" s="68">
        <f t="shared" si="194"/>
        <v>821.96208000000001</v>
      </c>
      <c r="EV93" s="68">
        <f t="shared" si="194"/>
        <v>739.76587200000006</v>
      </c>
      <c r="EW93" s="68">
        <f t="shared" si="194"/>
        <v>665.78928480000002</v>
      </c>
      <c r="EX93" s="68">
        <f t="shared" si="194"/>
        <v>599.21035632000007</v>
      </c>
      <c r="EY93" s="68">
        <f t="shared" si="194"/>
        <v>539.28932068800009</v>
      </c>
      <c r="EZ93" s="68">
        <f t="shared" si="194"/>
        <v>485.36038861920008</v>
      </c>
      <c r="FA93" s="68">
        <f t="shared" si="194"/>
        <v>436.82434975728006</v>
      </c>
      <c r="FB93" s="68">
        <f t="shared" si="194"/>
        <v>393.14191478155209</v>
      </c>
      <c r="FC93" s="68"/>
      <c r="FD93" s="68"/>
      <c r="FE93" s="68"/>
      <c r="FF93" s="68"/>
      <c r="FG93" s="68"/>
      <c r="FH93" s="83"/>
      <c r="FI93" s="68"/>
      <c r="FJ93" s="84"/>
      <c r="FK93" s="68"/>
    </row>
    <row r="94" spans="2:168">
      <c r="B94" s="4" t="s">
        <v>765</v>
      </c>
      <c r="AA94" s="37">
        <v>10</v>
      </c>
      <c r="AB94" s="37">
        <v>48</v>
      </c>
      <c r="AC94" s="37">
        <v>80</v>
      </c>
      <c r="AD94" s="37">
        <v>75</v>
      </c>
      <c r="AE94" s="44">
        <v>68</v>
      </c>
      <c r="AF94" s="44">
        <v>78</v>
      </c>
      <c r="AG94" s="44">
        <v>70</v>
      </c>
      <c r="AH94" s="44">
        <f>57+981-349+245+265</f>
        <v>1199</v>
      </c>
      <c r="AI94" s="68">
        <f>242+133+1068-342+257-203</f>
        <v>1155</v>
      </c>
      <c r="AJ94" s="44"/>
      <c r="AK94" s="44">
        <f>213+921+874+262-200+507-229-86-63+629-386-231+1073-402-157-106-103+545-446+73+1590-807-155-148-101-85-80-67+4467-2897-1131-132-77-48-73</f>
        <v>2944</v>
      </c>
      <c r="AL94" s="44">
        <f>1043-2+264+266-204+1+997+212+304+177+157+14+95</f>
        <v>3324</v>
      </c>
      <c r="AM94" s="65">
        <f>900+1104+246-197+187+268+149+134+13+99</f>
        <v>2903</v>
      </c>
      <c r="AN94" s="44">
        <f>1017+232-191+1+540-238-86-75-36+660-394-255+835-167-166-118-110+627-471+1643-706-271-165-123-88-79-67+4769-3123-1158-139-80-69</f>
        <v>1949</v>
      </c>
      <c r="AO94" s="44">
        <f>1102+246-198+376-374+233+257+285+169+138+14+98</f>
        <v>2346</v>
      </c>
      <c r="AP94" s="68">
        <f>396-391+261-209+1127+282+200+277+197+142+14+135</f>
        <v>2431</v>
      </c>
      <c r="AQ94" s="68">
        <f>1164+307+245-201+366-360+286+265+151+135+14+171</f>
        <v>2543</v>
      </c>
      <c r="AR94" s="68">
        <f>347+1025+400-389+253-202+278+278+148+114+12+173</f>
        <v>2437</v>
      </c>
      <c r="AS94" s="68">
        <f>318+962+413-402+271-216-40+301+280+158+108+14+168</f>
        <v>2335</v>
      </c>
      <c r="AT94" s="68">
        <f>383+863+283-224+464-453-75+355+300+167+109+16+177</f>
        <v>2365</v>
      </c>
      <c r="AU94" s="68">
        <f>325+758+413-405+258-206-52+299+292+144+85+11+151</f>
        <v>2073</v>
      </c>
      <c r="AV94" s="70">
        <f>361+619-54+306+92+167+314+12+185+305-238+444-436</f>
        <v>2077</v>
      </c>
      <c r="AW94" s="44">
        <f>289+294-AW27+459-AW53+337+186+283+335+143+81+13+176</f>
        <v>1921</v>
      </c>
      <c r="AX94" s="44">
        <f>2052-AX69-AX70-AX72-AX57-AX84</f>
        <v>1591</v>
      </c>
      <c r="AY94" s="65">
        <f>252-197+531+413-407+228+333+279+124+75+24+131-22</f>
        <v>1764</v>
      </c>
      <c r="AZ94" s="44">
        <f>263-207+404-395+772-18+171+230+75+64+18+136</f>
        <v>1513</v>
      </c>
      <c r="BA94" s="44">
        <f>811+266+293-232+444-436-18+178+232+82+64+24+124</f>
        <v>1832</v>
      </c>
      <c r="BB94" s="44">
        <f>2787+122-17</f>
        <v>2892</v>
      </c>
      <c r="BC94" s="70">
        <f>2523+103</f>
        <v>2626</v>
      </c>
      <c r="BD94" s="44">
        <f>2604+64</f>
        <v>2668</v>
      </c>
      <c r="BE94" s="44">
        <f>76+1978-5</f>
        <v>2049</v>
      </c>
      <c r="BF94" s="65">
        <f>2375+77</f>
        <v>2452</v>
      </c>
      <c r="BG94" s="44">
        <f>2255+81-2</f>
        <v>2334</v>
      </c>
      <c r="BH94" s="65">
        <f>2454+75</f>
        <v>2529</v>
      </c>
      <c r="BI94" s="68">
        <f>1710+54</f>
        <v>1764</v>
      </c>
      <c r="BJ94" s="65">
        <v>1747</v>
      </c>
      <c r="BK94" s="65">
        <f>2037</f>
        <v>2037</v>
      </c>
      <c r="BL94" s="44">
        <f>1869+65</f>
        <v>1934</v>
      </c>
      <c r="BM94" s="44">
        <f>1643+62</f>
        <v>1705</v>
      </c>
      <c r="BN94" s="44">
        <f>2096+68</f>
        <v>2164</v>
      </c>
      <c r="BO94" s="44">
        <f>1878+53</f>
        <v>1931</v>
      </c>
      <c r="BP94" s="44">
        <f>1839+63</f>
        <v>1902</v>
      </c>
      <c r="BQ94" s="44">
        <f>1923+113-67</f>
        <v>1969</v>
      </c>
      <c r="BR94" s="44">
        <f>1855+135-65</f>
        <v>1925</v>
      </c>
      <c r="BS94" s="44">
        <f>1884+113-57</f>
        <v>1940</v>
      </c>
      <c r="BT94" s="44">
        <f>1802+134-71</f>
        <v>1865</v>
      </c>
      <c r="BU94" s="44">
        <f t="shared" ref="BU94:BV94" si="195">+BQ94*0.99</f>
        <v>1949.31</v>
      </c>
      <c r="BV94" s="44">
        <f t="shared" si="195"/>
        <v>1905.75</v>
      </c>
      <c r="BW94" s="44"/>
      <c r="BX94" s="44"/>
      <c r="BY94" s="44"/>
      <c r="BZ94" s="44"/>
      <c r="CA94" s="44"/>
      <c r="CB94" s="44"/>
      <c r="CC94" s="44"/>
      <c r="CD94" s="44"/>
      <c r="CE94" s="44"/>
      <c r="CF94" s="44"/>
      <c r="CG94" s="44"/>
      <c r="CH94" s="44"/>
      <c r="CI94" s="44"/>
      <c r="CJ94" s="44"/>
      <c r="CK94" s="44">
        <f>411+727</f>
        <v>1138</v>
      </c>
      <c r="CL94" s="44">
        <f>673+761</f>
        <v>1434</v>
      </c>
      <c r="CM94" s="44">
        <f>523+559</f>
        <v>1082</v>
      </c>
      <c r="CN94" s="115">
        <f>544+587</f>
        <v>1131</v>
      </c>
      <c r="CO94" s="115">
        <f>379+597</f>
        <v>976</v>
      </c>
      <c r="CP94" s="115">
        <f>634+654</f>
        <v>1288</v>
      </c>
      <c r="CQ94" s="115">
        <f>480+492</f>
        <v>972</v>
      </c>
      <c r="CR94" s="115">
        <f>498+476</f>
        <v>974</v>
      </c>
      <c r="CS94" s="115">
        <v>411</v>
      </c>
      <c r="CT94" s="115">
        <v>453</v>
      </c>
      <c r="CU94" s="115">
        <v>484.3</v>
      </c>
      <c r="CV94" s="115">
        <v>482</v>
      </c>
      <c r="CW94" s="115">
        <v>426</v>
      </c>
      <c r="CX94" s="115">
        <v>416</v>
      </c>
      <c r="CY94" s="115">
        <v>422.8</v>
      </c>
      <c r="CZ94" s="115">
        <v>424.4</v>
      </c>
      <c r="DA94" s="115">
        <v>451.4</v>
      </c>
      <c r="DB94" s="115">
        <v>452</v>
      </c>
      <c r="DC94" s="115">
        <f t="shared" ref="DC94:DE94" si="196">+DB94</f>
        <v>452</v>
      </c>
      <c r="DD94" s="115">
        <f t="shared" si="196"/>
        <v>452</v>
      </c>
      <c r="DE94" s="115">
        <f t="shared" si="196"/>
        <v>452</v>
      </c>
      <c r="DF94" s="115">
        <f t="shared" ref="DF94" si="197">+DE94</f>
        <v>452</v>
      </c>
      <c r="DG94" s="44"/>
      <c r="DH94" s="44"/>
      <c r="DL94" s="44"/>
      <c r="DM94" s="44"/>
      <c r="DN94" s="44"/>
      <c r="DO94" s="44"/>
      <c r="DP94" s="44"/>
      <c r="DQ94" s="44"/>
      <c r="DR94" s="44"/>
      <c r="DS94" s="44"/>
      <c r="DT94" s="44"/>
      <c r="DU94" s="44">
        <v>6</v>
      </c>
      <c r="DV94" s="44">
        <f>1797+213</f>
        <v>2010</v>
      </c>
      <c r="DW94" s="44">
        <f>189+2390</f>
        <v>2579</v>
      </c>
      <c r="DX94" s="44">
        <f>1+241+2461</f>
        <v>2703</v>
      </c>
      <c r="DY94" s="44">
        <f>2600+8+190</f>
        <v>2798</v>
      </c>
      <c r="DZ94" s="44">
        <f>DY94*1.03</f>
        <v>2881.94</v>
      </c>
      <c r="EA94" s="44"/>
      <c r="EB94" s="65">
        <f>SUM(AY94:BB94)</f>
        <v>8001</v>
      </c>
      <c r="EC94" s="44">
        <f>SUM(BC94:BF94)</f>
        <v>9795</v>
      </c>
      <c r="ED94" s="44">
        <f>SUM(BG94:BJ94)</f>
        <v>8374</v>
      </c>
      <c r="EE94" s="44">
        <f>SUM(BK94:BN94)</f>
        <v>7840</v>
      </c>
      <c r="EF94" s="44">
        <f>SUM(BO94:BR94)</f>
        <v>7727</v>
      </c>
      <c r="EG94" s="44">
        <f>SUM(BS94:BV94)</f>
        <v>7660.0599999999995</v>
      </c>
      <c r="EH94" s="44">
        <f t="shared" ref="EH94:EK94" si="198">EG94*0.95</f>
        <v>7277.0569999999989</v>
      </c>
      <c r="EI94" s="44">
        <f t="shared" si="198"/>
        <v>6913.2041499999987</v>
      </c>
      <c r="EJ94" s="44">
        <f t="shared" si="198"/>
        <v>6567.5439424999986</v>
      </c>
      <c r="EK94" s="44">
        <f t="shared" si="198"/>
        <v>6239.1667453749988</v>
      </c>
      <c r="EL94" s="44">
        <f t="shared" si="184"/>
        <v>4477</v>
      </c>
      <c r="EM94" s="44">
        <f t="shared" si="175"/>
        <v>2810</v>
      </c>
      <c r="EN94" s="44">
        <f t="shared" si="177"/>
        <v>1808.3</v>
      </c>
      <c r="EO94" s="44">
        <f t="shared" si="178"/>
        <v>1750.6</v>
      </c>
      <c r="EP94" s="44">
        <f t="shared" si="176"/>
        <v>1808</v>
      </c>
      <c r="EQ94" s="68">
        <f t="shared" ref="EQ94:FB94" si="199">+EP94*0.9</f>
        <v>1627.2</v>
      </c>
      <c r="ER94" s="68">
        <f t="shared" si="199"/>
        <v>1464.48</v>
      </c>
      <c r="ES94" s="68">
        <f t="shared" si="199"/>
        <v>1318.0320000000002</v>
      </c>
      <c r="ET94" s="68">
        <f t="shared" si="199"/>
        <v>1186.2288000000001</v>
      </c>
      <c r="EU94" s="68">
        <f t="shared" si="199"/>
        <v>1067.6059200000002</v>
      </c>
      <c r="EV94" s="68">
        <f t="shared" si="199"/>
        <v>960.84532800000022</v>
      </c>
      <c r="EW94" s="68">
        <f t="shared" si="199"/>
        <v>864.76079520000019</v>
      </c>
      <c r="EX94" s="68">
        <f t="shared" si="199"/>
        <v>778.2847156800002</v>
      </c>
      <c r="EY94" s="68">
        <f t="shared" si="199"/>
        <v>700.45624411200015</v>
      </c>
      <c r="EZ94" s="68">
        <f t="shared" si="199"/>
        <v>630.41061970080011</v>
      </c>
      <c r="FA94" s="68">
        <f t="shared" si="199"/>
        <v>567.36955773072009</v>
      </c>
      <c r="FB94" s="68">
        <f t="shared" si="199"/>
        <v>510.63260195764809</v>
      </c>
      <c r="FH94" s="81">
        <f>EC94*0.4</f>
        <v>3918</v>
      </c>
      <c r="FI94" s="44">
        <f>EH94*0.4</f>
        <v>2910.8227999999999</v>
      </c>
      <c r="FJ94" s="82">
        <f>EI94*0.4</f>
        <v>2765.2816599999996</v>
      </c>
    </row>
    <row r="95" spans="2:168">
      <c r="B95" s="14" t="s">
        <v>1363</v>
      </c>
      <c r="W95" s="44"/>
      <c r="X95" s="44"/>
      <c r="Y95" s="44"/>
      <c r="Z95" s="44"/>
      <c r="AA95" s="44"/>
      <c r="AB95" s="44"/>
      <c r="AC95" s="44"/>
      <c r="AD95" s="44"/>
      <c r="AE95" s="44"/>
      <c r="AF95" s="44"/>
      <c r="AG95" s="44"/>
      <c r="AH95" s="44"/>
      <c r="AI95" s="68"/>
      <c r="AJ95" s="44"/>
      <c r="AL95" s="44"/>
      <c r="AM95" s="65"/>
      <c r="AO95" s="68"/>
      <c r="AP95" s="62"/>
      <c r="AQ95" s="68"/>
      <c r="AR95" s="68"/>
      <c r="AS95" s="68"/>
      <c r="AT95" s="68"/>
      <c r="AU95" s="68"/>
      <c r="AV95" s="70"/>
      <c r="AW95" s="68"/>
      <c r="AX95" s="68"/>
      <c r="AY95" s="68"/>
      <c r="AZ95" s="68"/>
      <c r="BA95" s="68"/>
      <c r="BB95" s="44"/>
      <c r="BC95" s="65"/>
      <c r="BD95" s="44"/>
      <c r="BE95" s="44"/>
      <c r="BF95" s="65"/>
      <c r="BG95" s="44"/>
      <c r="BH95" s="65"/>
      <c r="BI95" s="44"/>
      <c r="BJ95" s="65"/>
      <c r="BK95" s="65"/>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v>669</v>
      </c>
      <c r="CL95" s="44">
        <v>673</v>
      </c>
      <c r="CM95" s="44">
        <v>620</v>
      </c>
      <c r="CN95" s="115">
        <v>544</v>
      </c>
      <c r="CO95" s="115">
        <v>656</v>
      </c>
      <c r="CP95" s="115">
        <v>634</v>
      </c>
      <c r="CQ95" s="115">
        <v>684</v>
      </c>
      <c r="CR95" s="115">
        <v>603</v>
      </c>
      <c r="CS95" s="115">
        <v>529</v>
      </c>
      <c r="CT95" s="115">
        <v>695</v>
      </c>
      <c r="CU95" s="115">
        <v>700.3</v>
      </c>
      <c r="CV95" s="115">
        <v>613</v>
      </c>
      <c r="CW95" s="115">
        <v>577</v>
      </c>
      <c r="CX95" s="115">
        <v>597</v>
      </c>
      <c r="CY95" s="115">
        <v>582.79999999999995</v>
      </c>
      <c r="CZ95" s="115">
        <v>537.4</v>
      </c>
      <c r="DA95" s="115">
        <v>586.4</v>
      </c>
      <c r="DB95" s="115">
        <v>561</v>
      </c>
      <c r="DC95" s="115">
        <f t="shared" ref="DC95:DE95" si="200">+DB95</f>
        <v>561</v>
      </c>
      <c r="DD95" s="115">
        <f t="shared" si="200"/>
        <v>561</v>
      </c>
      <c r="DE95" s="115">
        <f t="shared" si="200"/>
        <v>561</v>
      </c>
      <c r="DF95" s="115">
        <f t="shared" ref="DF95" si="201">+DE95</f>
        <v>561</v>
      </c>
      <c r="DG95" s="44"/>
      <c r="DH95" s="44"/>
      <c r="DL95" s="44"/>
      <c r="DM95" s="44"/>
      <c r="DN95" s="44"/>
      <c r="DO95" s="44"/>
      <c r="DP95" s="44"/>
      <c r="DQ95" s="44"/>
      <c r="DR95" s="44"/>
      <c r="DS95" s="44"/>
      <c r="DT95" s="44"/>
      <c r="DU95" s="44"/>
      <c r="DV95" s="44"/>
      <c r="DW95" s="44"/>
      <c r="DX95" s="44"/>
      <c r="DY95" s="44"/>
      <c r="DZ95" s="44"/>
      <c r="EA95" s="44"/>
      <c r="EB95" s="70"/>
      <c r="EC95" s="68"/>
      <c r="ED95" s="68"/>
      <c r="EE95" s="68"/>
      <c r="EF95" s="68"/>
      <c r="EG95" s="68"/>
      <c r="EH95" s="68"/>
      <c r="EI95" s="68"/>
      <c r="EJ95" s="68"/>
      <c r="EK95" s="68"/>
      <c r="EL95" s="44">
        <f t="shared" si="184"/>
        <v>2454</v>
      </c>
      <c r="EM95" s="44">
        <f t="shared" si="175"/>
        <v>2511</v>
      </c>
      <c r="EN95" s="44">
        <f t="shared" si="177"/>
        <v>2487.3000000000002</v>
      </c>
      <c r="EO95" s="44">
        <f t="shared" si="178"/>
        <v>2267.6</v>
      </c>
      <c r="EP95" s="44">
        <f t="shared" si="176"/>
        <v>2244</v>
      </c>
      <c r="EQ95" s="68">
        <f>+EP95*0.9</f>
        <v>2019.6000000000001</v>
      </c>
      <c r="ER95" s="68">
        <f t="shared" ref="ER95:FB95" si="202">+EQ95*0.9</f>
        <v>1817.64</v>
      </c>
      <c r="ES95" s="68">
        <f t="shared" si="202"/>
        <v>1635.8760000000002</v>
      </c>
      <c r="ET95" s="68">
        <f t="shared" si="202"/>
        <v>1472.2884000000001</v>
      </c>
      <c r="EU95" s="68">
        <f t="shared" si="202"/>
        <v>1325.0595600000001</v>
      </c>
      <c r="EV95" s="68">
        <f t="shared" si="202"/>
        <v>1192.5536040000002</v>
      </c>
      <c r="EW95" s="68">
        <f t="shared" si="202"/>
        <v>1073.2982436000002</v>
      </c>
      <c r="EX95" s="68">
        <f t="shared" si="202"/>
        <v>965.96841924000023</v>
      </c>
      <c r="EY95" s="68">
        <f t="shared" si="202"/>
        <v>869.37157731600018</v>
      </c>
      <c r="EZ95" s="68">
        <f t="shared" si="202"/>
        <v>782.43441958440019</v>
      </c>
      <c r="FA95" s="68">
        <f t="shared" si="202"/>
        <v>704.19097762596016</v>
      </c>
      <c r="FB95" s="68">
        <f t="shared" si="202"/>
        <v>633.77187986336412</v>
      </c>
      <c r="FC95" s="68"/>
      <c r="FD95" s="68"/>
      <c r="FE95" s="68"/>
      <c r="FF95" s="68"/>
      <c r="FG95" s="68"/>
      <c r="FH95" s="83"/>
      <c r="FI95" s="68"/>
      <c r="FJ95" s="84"/>
      <c r="FK95" s="68"/>
    </row>
    <row r="96" spans="2:168">
      <c r="B96" s="4" t="s">
        <v>761</v>
      </c>
      <c r="W96" s="44">
        <v>64</v>
      </c>
      <c r="X96" s="44">
        <v>50</v>
      </c>
      <c r="Y96" s="44">
        <v>72</v>
      </c>
      <c r="Z96" s="44">
        <v>55</v>
      </c>
      <c r="AA96" s="44">
        <v>89</v>
      </c>
      <c r="AB96" s="44">
        <v>119</v>
      </c>
      <c r="AC96" s="44">
        <v>141</v>
      </c>
      <c r="AD96" s="44">
        <v>155</v>
      </c>
      <c r="AE96" s="44">
        <v>137</v>
      </c>
      <c r="AF96" s="44">
        <v>143</v>
      </c>
      <c r="AG96" s="44">
        <v>153</v>
      </c>
      <c r="AH96" s="44">
        <f>1607-1008-417</f>
        <v>182</v>
      </c>
      <c r="AI96" s="68">
        <f>637-411-56</f>
        <v>170</v>
      </c>
      <c r="AJ96" s="44">
        <v>45</v>
      </c>
      <c r="AK96" s="44"/>
      <c r="AL96" s="44"/>
      <c r="AM96" s="65"/>
      <c r="AN96" s="44"/>
      <c r="AO96" s="68"/>
      <c r="AP96" s="68"/>
      <c r="AQ96" s="68"/>
      <c r="AR96" s="68"/>
      <c r="AS96" s="68"/>
      <c r="AT96" s="68"/>
      <c r="AU96" s="68"/>
      <c r="AV96" s="70"/>
      <c r="AW96" s="68"/>
      <c r="AX96" s="68"/>
      <c r="AY96" s="68"/>
      <c r="AZ96" s="68"/>
      <c r="BA96" s="68"/>
      <c r="BB96" s="44"/>
      <c r="BC96" s="65"/>
      <c r="BD96" s="44"/>
      <c r="BE96" s="44"/>
      <c r="BF96" s="65"/>
      <c r="BG96" s="44"/>
      <c r="BH96" s="65"/>
      <c r="BI96" s="44"/>
      <c r="BJ96" s="65"/>
      <c r="BK96" s="65"/>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115"/>
      <c r="CO96" s="115"/>
      <c r="CP96" s="115"/>
      <c r="CQ96" s="115"/>
      <c r="CR96" s="115"/>
      <c r="CS96" s="115"/>
      <c r="CT96" s="115"/>
      <c r="CU96" s="115"/>
      <c r="CV96" s="115"/>
      <c r="CW96" s="115"/>
      <c r="CX96" s="115"/>
      <c r="CY96" s="115"/>
      <c r="CZ96" s="115"/>
      <c r="DA96" s="115"/>
      <c r="DB96" s="115"/>
      <c r="DC96" s="115"/>
      <c r="DD96" s="115"/>
      <c r="DE96" s="115"/>
      <c r="DF96" s="115"/>
      <c r="DG96" s="44"/>
      <c r="DH96" s="44"/>
      <c r="DL96" s="44"/>
      <c r="DM96" s="44"/>
      <c r="DN96" s="44"/>
      <c r="DO96" s="44"/>
      <c r="DP96" s="44"/>
      <c r="DQ96" s="44"/>
      <c r="DR96" s="44"/>
      <c r="DS96" s="44"/>
      <c r="DT96" s="44"/>
      <c r="DU96" s="44">
        <v>241</v>
      </c>
      <c r="DV96" s="44">
        <v>504</v>
      </c>
      <c r="DW96" s="44">
        <v>1910</v>
      </c>
      <c r="DX96" s="44">
        <v>656</v>
      </c>
      <c r="DY96" s="44">
        <v>672</v>
      </c>
      <c r="DZ96" s="44">
        <f>SUM(AQ96:AT96)</f>
        <v>0</v>
      </c>
      <c r="EA96" s="44">
        <f t="shared" si="193"/>
        <v>0</v>
      </c>
      <c r="EB96" s="65"/>
      <c r="EL96" s="44">
        <f t="shared" si="184"/>
        <v>0</v>
      </c>
      <c r="EM96" s="44">
        <f t="shared" si="175"/>
        <v>0</v>
      </c>
      <c r="EN96" s="44">
        <f t="shared" si="177"/>
        <v>0</v>
      </c>
      <c r="EO96" s="44">
        <f t="shared" si="178"/>
        <v>0</v>
      </c>
      <c r="EP96" s="44">
        <f t="shared" si="176"/>
        <v>0</v>
      </c>
    </row>
    <row r="97" spans="2:168">
      <c r="B97" s="4" t="s">
        <v>762</v>
      </c>
      <c r="W97" s="47">
        <v>111</v>
      </c>
      <c r="X97" s="47">
        <v>108</v>
      </c>
      <c r="Y97" s="47">
        <v>134</v>
      </c>
      <c r="Z97" s="47">
        <v>140</v>
      </c>
      <c r="AA97" s="47">
        <v>96</v>
      </c>
      <c r="AB97" s="47">
        <v>152</v>
      </c>
      <c r="AC97" s="47">
        <v>209</v>
      </c>
      <c r="AD97" s="47">
        <v>208</v>
      </c>
      <c r="AE97" s="47">
        <v>166</v>
      </c>
      <c r="AF97" s="47">
        <v>157</v>
      </c>
      <c r="AG97" s="47">
        <v>175</v>
      </c>
      <c r="AH97" s="47">
        <f>2020-959-143-11-481-106-87-54</f>
        <v>179</v>
      </c>
      <c r="AI97" s="74">
        <f>1591-845-20-138-182-85-102-53</f>
        <v>166</v>
      </c>
      <c r="AJ97" s="47">
        <v>157</v>
      </c>
      <c r="AK97" s="47"/>
      <c r="AL97" s="47"/>
      <c r="AM97" s="66"/>
      <c r="AN97" s="47"/>
      <c r="AO97" s="68"/>
      <c r="AP97" s="74"/>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44"/>
      <c r="DH97" s="44"/>
      <c r="DU97" s="37">
        <v>493</v>
      </c>
      <c r="DV97" s="47">
        <v>628</v>
      </c>
      <c r="DW97" s="47">
        <v>674</v>
      </c>
      <c r="DX97" s="47">
        <v>628</v>
      </c>
      <c r="DY97" s="47">
        <v>558</v>
      </c>
      <c r="DZ97" s="44">
        <f>SUM(AQ97:AT97)</f>
        <v>0</v>
      </c>
      <c r="EA97" s="44">
        <f t="shared" si="193"/>
        <v>0</v>
      </c>
      <c r="EB97" s="65"/>
      <c r="EL97" s="44">
        <f t="shared" si="184"/>
        <v>0</v>
      </c>
      <c r="EM97" s="44">
        <f t="shared" si="175"/>
        <v>0</v>
      </c>
      <c r="EN97" s="44">
        <f t="shared" si="177"/>
        <v>0</v>
      </c>
      <c r="EO97" s="44">
        <f t="shared" si="178"/>
        <v>0</v>
      </c>
      <c r="EP97" s="44">
        <f t="shared" si="176"/>
        <v>0</v>
      </c>
    </row>
    <row r="98" spans="2:168">
      <c r="B98" s="4" t="s">
        <v>763</v>
      </c>
      <c r="W98" s="44">
        <v>80</v>
      </c>
      <c r="X98" s="44">
        <v>94</v>
      </c>
      <c r="Y98" s="44">
        <v>104</v>
      </c>
      <c r="Z98" s="44">
        <v>61</v>
      </c>
      <c r="AA98" s="44">
        <v>0</v>
      </c>
      <c r="AB98" s="44">
        <v>8</v>
      </c>
      <c r="AC98" s="44">
        <v>14</v>
      </c>
      <c r="AD98" s="44">
        <v>14</v>
      </c>
      <c r="AE98" s="44">
        <v>14</v>
      </c>
      <c r="AF98" s="44">
        <v>12</v>
      </c>
      <c r="AG98" s="44">
        <v>13</v>
      </c>
      <c r="AH98" s="44">
        <f>769-469-285</f>
        <v>15</v>
      </c>
      <c r="AI98" s="68">
        <f>702-438-252</f>
        <v>12</v>
      </c>
      <c r="AJ98" s="44">
        <v>13</v>
      </c>
      <c r="AK98" s="44"/>
      <c r="AL98" s="44"/>
      <c r="AM98" s="65"/>
      <c r="AN98" s="44"/>
      <c r="AO98" s="68"/>
      <c r="AP98" s="68"/>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44"/>
      <c r="DH98" s="44"/>
      <c r="DL98" s="44"/>
      <c r="DM98" s="44"/>
      <c r="DN98" s="44"/>
      <c r="DO98" s="44"/>
      <c r="DP98" s="44"/>
      <c r="DQ98" s="44"/>
      <c r="DR98" s="44"/>
      <c r="DS98" s="44"/>
      <c r="DT98" s="44"/>
      <c r="DU98" s="44">
        <v>339</v>
      </c>
      <c r="DV98" s="44">
        <v>36</v>
      </c>
      <c r="DW98" s="44">
        <v>52</v>
      </c>
      <c r="DX98" s="44">
        <v>51</v>
      </c>
      <c r="DY98" s="44">
        <v>52</v>
      </c>
      <c r="DZ98" s="44">
        <f>SUM(AQ98:AT98)</f>
        <v>0</v>
      </c>
      <c r="EA98" s="44">
        <f t="shared" si="193"/>
        <v>0</v>
      </c>
      <c r="EB98" s="65"/>
      <c r="EL98" s="44">
        <f t="shared" si="184"/>
        <v>0</v>
      </c>
      <c r="EM98" s="44">
        <f t="shared" si="175"/>
        <v>0</v>
      </c>
      <c r="EN98" s="44">
        <f t="shared" si="177"/>
        <v>0</v>
      </c>
      <c r="EO98" s="44">
        <f t="shared" si="178"/>
        <v>0</v>
      </c>
      <c r="EP98" s="44">
        <f t="shared" si="176"/>
        <v>0</v>
      </c>
    </row>
    <row r="99" spans="2:168">
      <c r="B99" s="14" t="s">
        <v>766</v>
      </c>
      <c r="AE99" s="44"/>
      <c r="AF99" s="44"/>
      <c r="AG99" s="44"/>
      <c r="AH99" s="44"/>
      <c r="AI99" s="68"/>
      <c r="AJ99" s="44"/>
      <c r="AK99" s="68" t="s">
        <v>605</v>
      </c>
      <c r="AL99" s="68" t="s">
        <v>605</v>
      </c>
      <c r="AM99" s="68" t="s">
        <v>605</v>
      </c>
      <c r="AN99" s="68" t="s">
        <v>605</v>
      </c>
      <c r="AO99" s="68" t="s">
        <v>605</v>
      </c>
      <c r="AP99" s="68" t="s">
        <v>605</v>
      </c>
      <c r="AQ99" s="73" t="s">
        <v>767</v>
      </c>
      <c r="AR99" s="73" t="s">
        <v>655</v>
      </c>
      <c r="AS99" s="73" t="s">
        <v>645</v>
      </c>
      <c r="AT99" s="73" t="s">
        <v>768</v>
      </c>
      <c r="AU99" s="73" t="s">
        <v>769</v>
      </c>
      <c r="AV99" s="75" t="s">
        <v>770</v>
      </c>
      <c r="AW99" s="73" t="s">
        <v>645</v>
      </c>
      <c r="AY99" s="75" t="s">
        <v>771</v>
      </c>
      <c r="AZ99" s="73" t="s">
        <v>772</v>
      </c>
      <c r="BA99" s="73" t="s">
        <v>772</v>
      </c>
      <c r="BB99" s="44">
        <v>494</v>
      </c>
      <c r="BC99" s="65">
        <v>663</v>
      </c>
      <c r="BD99" s="44">
        <v>678</v>
      </c>
      <c r="BE99" s="44">
        <v>673</v>
      </c>
      <c r="BF99" s="65">
        <v>758</v>
      </c>
      <c r="BG99" s="44">
        <v>745</v>
      </c>
      <c r="BH99" s="65">
        <v>721</v>
      </c>
      <c r="BI99" s="44">
        <v>774</v>
      </c>
      <c r="BJ99" s="65">
        <v>817</v>
      </c>
      <c r="BK99" s="70">
        <v>735</v>
      </c>
      <c r="BL99" s="44">
        <v>768</v>
      </c>
      <c r="BM99" s="44">
        <v>780</v>
      </c>
      <c r="BN99" s="44">
        <v>936</v>
      </c>
      <c r="BO99" s="44">
        <v>811</v>
      </c>
      <c r="BP99" s="44">
        <v>800</v>
      </c>
      <c r="BQ99" s="44">
        <v>788</v>
      </c>
      <c r="BR99" s="44">
        <v>943</v>
      </c>
      <c r="BS99" s="44">
        <v>761</v>
      </c>
      <c r="BT99" s="44">
        <v>912</v>
      </c>
      <c r="BU99" s="44">
        <f t="shared" ref="BU99:BV99" si="203">+BQ99*1.01</f>
        <v>795.88</v>
      </c>
      <c r="BV99" s="44">
        <f t="shared" si="203"/>
        <v>952.43000000000006</v>
      </c>
      <c r="BW99" s="44"/>
      <c r="BX99" s="44"/>
      <c r="BY99" s="44"/>
      <c r="BZ99" s="44"/>
      <c r="CA99" s="44"/>
      <c r="CB99" s="44"/>
      <c r="CC99" s="44"/>
      <c r="CD99" s="44"/>
      <c r="CE99" s="44"/>
      <c r="CF99" s="44"/>
      <c r="CG99" s="44"/>
      <c r="CH99" s="44"/>
      <c r="CI99" s="44"/>
      <c r="CJ99" s="44"/>
      <c r="CK99" s="44">
        <v>839</v>
      </c>
      <c r="CL99" s="44">
        <v>974</v>
      </c>
      <c r="CM99" s="44">
        <v>858</v>
      </c>
      <c r="CN99" s="115">
        <v>862</v>
      </c>
      <c r="CO99" s="115">
        <v>377</v>
      </c>
      <c r="CP99" s="115">
        <v>0</v>
      </c>
      <c r="CQ99" s="115">
        <v>0</v>
      </c>
      <c r="CR99" s="115">
        <v>0</v>
      </c>
      <c r="CS99" s="115"/>
      <c r="CT99" s="115"/>
      <c r="CU99" s="115"/>
      <c r="CV99" s="115"/>
      <c r="CW99" s="115"/>
      <c r="CX99" s="115"/>
      <c r="CY99" s="115"/>
      <c r="CZ99" s="115"/>
      <c r="DA99" s="115"/>
      <c r="DB99" s="115"/>
      <c r="DC99" s="115"/>
      <c r="DD99" s="115"/>
      <c r="DE99" s="115"/>
      <c r="DF99" s="115"/>
      <c r="DG99" s="44"/>
      <c r="DH99" s="44"/>
      <c r="DL99" s="44"/>
      <c r="DM99" s="44"/>
      <c r="DN99" s="44"/>
      <c r="DO99" s="44"/>
      <c r="DP99" s="44"/>
      <c r="DQ99" s="44"/>
      <c r="DR99" s="44"/>
      <c r="DS99" s="44"/>
      <c r="DT99" s="44"/>
      <c r="DU99" s="44"/>
      <c r="DV99" s="44"/>
      <c r="DW99" s="44"/>
      <c r="DX99" s="44"/>
      <c r="DY99" s="73" t="s">
        <v>773</v>
      </c>
      <c r="DZ99" s="73" t="s">
        <v>774</v>
      </c>
      <c r="EA99" s="73" t="s">
        <v>775</v>
      </c>
      <c r="EB99" s="75">
        <f t="shared" ref="EB99:EB102" si="204">SUM(AY99:BB99)</f>
        <v>494</v>
      </c>
      <c r="EC99" s="44">
        <f t="shared" ref="EC99:EC100" si="205">SUM(BC99:BF99)</f>
        <v>2772</v>
      </c>
      <c r="ED99" s="44">
        <f>SUM(BG99:BJ99)</f>
        <v>3057</v>
      </c>
      <c r="EE99" s="44">
        <f>SUM(BK99:BN99)</f>
        <v>3219</v>
      </c>
      <c r="EF99" s="44">
        <f>SUM(BO99:BR99)</f>
        <v>3342</v>
      </c>
      <c r="EG99" s="44">
        <f>SUM(BS99:BV99)</f>
        <v>3421.3100000000004</v>
      </c>
      <c r="EH99" s="44">
        <f t="shared" ref="EH99:EK99" si="206">EG99*1.03</f>
        <v>3523.9493000000007</v>
      </c>
      <c r="EI99" s="44">
        <f t="shared" si="206"/>
        <v>3629.6677790000008</v>
      </c>
      <c r="EJ99" s="44">
        <f t="shared" si="206"/>
        <v>3738.5578123700011</v>
      </c>
      <c r="EK99" s="44">
        <f t="shared" si="206"/>
        <v>3850.7145467411015</v>
      </c>
      <c r="EL99" s="44">
        <f t="shared" si="184"/>
        <v>2097</v>
      </c>
      <c r="EM99" s="44">
        <f t="shared" si="175"/>
        <v>0</v>
      </c>
      <c r="EN99" s="44">
        <f t="shared" si="177"/>
        <v>0</v>
      </c>
      <c r="EO99" s="44">
        <f t="shared" si="178"/>
        <v>0</v>
      </c>
      <c r="EP99" s="44">
        <f t="shared" si="176"/>
        <v>0</v>
      </c>
      <c r="FH99" s="81">
        <f t="shared" ref="FH99" si="207">EC99*0.3</f>
        <v>831.6</v>
      </c>
      <c r="FI99" s="44">
        <f>EH99*0.3</f>
        <v>1057.1847900000002</v>
      </c>
      <c r="FJ99" s="82">
        <f>EI99*0.3</f>
        <v>1088.9003337000001</v>
      </c>
    </row>
    <row r="100" spans="2:168">
      <c r="B100" s="14" t="s">
        <v>776</v>
      </c>
      <c r="AE100" s="44"/>
      <c r="AF100" s="44"/>
      <c r="AG100" s="44"/>
      <c r="AH100" s="44"/>
      <c r="AI100" s="68"/>
      <c r="AJ100" s="44"/>
      <c r="AK100" s="68" t="s">
        <v>605</v>
      </c>
      <c r="AL100" s="68" t="s">
        <v>605</v>
      </c>
      <c r="AM100" s="68" t="s">
        <v>605</v>
      </c>
      <c r="AN100" s="68" t="s">
        <v>605</v>
      </c>
      <c r="AO100" s="68" t="s">
        <v>605</v>
      </c>
      <c r="AP100" s="68" t="s">
        <v>605</v>
      </c>
      <c r="AQ100" s="73" t="s">
        <v>777</v>
      </c>
      <c r="AR100" s="73" t="s">
        <v>778</v>
      </c>
      <c r="AS100" s="73" t="s">
        <v>779</v>
      </c>
      <c r="AT100" s="73" t="s">
        <v>780</v>
      </c>
      <c r="AU100" s="73" t="s">
        <v>781</v>
      </c>
      <c r="AV100" s="75" t="s">
        <v>782</v>
      </c>
      <c r="AW100" s="73" t="s">
        <v>783</v>
      </c>
      <c r="AX100" s="73" t="s">
        <v>784</v>
      </c>
      <c r="AY100" s="75" t="s">
        <v>785</v>
      </c>
      <c r="AZ100" s="73" t="s">
        <v>786</v>
      </c>
      <c r="BA100" s="73" t="s">
        <v>786</v>
      </c>
      <c r="BB100" s="44">
        <v>191</v>
      </c>
      <c r="BC100" s="65">
        <v>458</v>
      </c>
      <c r="BD100" s="44">
        <v>476</v>
      </c>
      <c r="BE100" s="44">
        <v>441</v>
      </c>
      <c r="BF100" s="65">
        <v>492</v>
      </c>
      <c r="BG100" s="44">
        <v>470</v>
      </c>
      <c r="BH100" s="65">
        <v>493</v>
      </c>
      <c r="BI100" s="44">
        <v>577</v>
      </c>
      <c r="BJ100" s="65">
        <f>598+89</f>
        <v>687</v>
      </c>
      <c r="BK100" s="65">
        <f>513+66</f>
        <v>579</v>
      </c>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115"/>
      <c r="CO100" s="115"/>
      <c r="CP100" s="115"/>
      <c r="CQ100" s="115"/>
      <c r="CR100" s="115"/>
      <c r="CS100" s="115"/>
      <c r="CT100" s="115"/>
      <c r="CU100" s="115"/>
      <c r="CV100" s="115"/>
      <c r="CW100" s="115"/>
      <c r="CX100" s="115"/>
      <c r="CY100" s="115"/>
      <c r="CZ100" s="115"/>
      <c r="DA100" s="115"/>
      <c r="DB100" s="115"/>
      <c r="DC100" s="115"/>
      <c r="DD100" s="115"/>
      <c r="DE100" s="115"/>
      <c r="DF100" s="115"/>
      <c r="DG100" s="44"/>
      <c r="DH100" s="44"/>
      <c r="DL100" s="44"/>
      <c r="DM100" s="44"/>
      <c r="DN100" s="44"/>
      <c r="DO100" s="44"/>
      <c r="DP100" s="44"/>
      <c r="DQ100" s="44"/>
      <c r="DR100" s="44"/>
      <c r="DS100" s="44"/>
      <c r="DT100" s="44"/>
      <c r="DU100" s="44"/>
      <c r="DV100" s="44"/>
      <c r="DW100" s="44"/>
      <c r="DX100" s="44"/>
      <c r="DY100" s="73" t="s">
        <v>787</v>
      </c>
      <c r="DZ100" s="73" t="s">
        <v>788</v>
      </c>
      <c r="EA100" s="73" t="s">
        <v>789</v>
      </c>
      <c r="EB100" s="75">
        <f t="shared" si="204"/>
        <v>191</v>
      </c>
      <c r="EC100" s="44">
        <f t="shared" si="205"/>
        <v>1867</v>
      </c>
      <c r="ED100" s="44">
        <f>SUM(BG100:BJ100)</f>
        <v>2227</v>
      </c>
      <c r="EE100" s="44">
        <f>SUM(BK100:BN100)</f>
        <v>579</v>
      </c>
      <c r="EL100" s="44">
        <f t="shared" si="184"/>
        <v>0</v>
      </c>
      <c r="EM100" s="44">
        <f t="shared" si="175"/>
        <v>0</v>
      </c>
      <c r="EN100" s="44">
        <f t="shared" si="177"/>
        <v>0</v>
      </c>
      <c r="EO100" s="44">
        <f t="shared" si="178"/>
        <v>0</v>
      </c>
      <c r="EP100" s="44">
        <f t="shared" si="176"/>
        <v>0</v>
      </c>
      <c r="FH100" s="81">
        <f t="shared" ref="FH100:FH101" si="208">EC100*0.3</f>
        <v>560.1</v>
      </c>
    </row>
    <row r="101" spans="2:168">
      <c r="B101" s="14" t="s">
        <v>790</v>
      </c>
      <c r="AE101" s="44"/>
      <c r="AF101" s="44"/>
      <c r="AG101" s="44"/>
      <c r="AH101" s="44"/>
      <c r="AI101" s="68"/>
      <c r="AJ101" s="44"/>
      <c r="AK101" s="44">
        <v>267</v>
      </c>
      <c r="AL101" s="44">
        <v>308</v>
      </c>
      <c r="AM101" s="44">
        <v>324</v>
      </c>
      <c r="AN101" s="44">
        <v>324</v>
      </c>
      <c r="AO101" s="44">
        <v>336</v>
      </c>
      <c r="AP101" s="68">
        <v>390</v>
      </c>
      <c r="AQ101" s="73">
        <v>398</v>
      </c>
      <c r="AR101" s="73">
        <v>392</v>
      </c>
      <c r="AS101" s="73">
        <v>457</v>
      </c>
      <c r="AT101" s="73">
        <v>542</v>
      </c>
      <c r="AU101" s="73">
        <v>488</v>
      </c>
      <c r="AV101" s="75">
        <v>563</v>
      </c>
      <c r="AW101" s="73">
        <v>571</v>
      </c>
      <c r="AX101" s="73">
        <v>629</v>
      </c>
      <c r="AY101" s="75">
        <v>582</v>
      </c>
      <c r="AZ101" s="73">
        <v>598</v>
      </c>
      <c r="BA101" s="73">
        <v>692</v>
      </c>
      <c r="BB101" s="44">
        <v>1053</v>
      </c>
      <c r="BC101" s="65">
        <v>1004</v>
      </c>
      <c r="BD101" s="44">
        <v>1061</v>
      </c>
      <c r="BE101" s="44">
        <v>1042</v>
      </c>
      <c r="BF101" s="65">
        <v>977</v>
      </c>
      <c r="BG101" s="44">
        <v>884</v>
      </c>
      <c r="BH101" s="65">
        <v>875</v>
      </c>
      <c r="BI101" s="44">
        <v>919</v>
      </c>
      <c r="BJ101" s="65">
        <v>952</v>
      </c>
      <c r="BK101" s="65">
        <v>836</v>
      </c>
      <c r="BL101" s="44">
        <v>862</v>
      </c>
      <c r="BM101" s="44">
        <v>879</v>
      </c>
      <c r="BN101" s="44">
        <v>915</v>
      </c>
      <c r="BO101" s="44">
        <v>747</v>
      </c>
      <c r="BP101" s="44">
        <v>756</v>
      </c>
      <c r="BQ101" s="44">
        <v>684</v>
      </c>
      <c r="BR101" s="44">
        <v>441</v>
      </c>
      <c r="BS101" s="44">
        <v>213</v>
      </c>
      <c r="BT101" s="44">
        <v>235</v>
      </c>
      <c r="BU101" s="44">
        <f>+BT101</f>
        <v>235</v>
      </c>
      <c r="BV101" s="44">
        <f>+BU101</f>
        <v>235</v>
      </c>
      <c r="BW101" s="44"/>
      <c r="BX101" s="44"/>
      <c r="BY101" s="44"/>
      <c r="BZ101" s="44"/>
      <c r="CA101" s="44"/>
      <c r="CB101" s="44"/>
      <c r="CC101" s="44"/>
      <c r="CD101" s="44"/>
      <c r="CE101" s="44"/>
      <c r="CF101" s="44"/>
      <c r="CG101" s="44"/>
      <c r="CH101" s="44"/>
      <c r="CI101" s="44"/>
      <c r="CJ101" s="44"/>
      <c r="CK101" s="44"/>
      <c r="CL101" s="44"/>
      <c r="CM101" s="44"/>
      <c r="CN101" s="115"/>
      <c r="CO101" s="115"/>
      <c r="CP101" s="115"/>
      <c r="CQ101" s="115"/>
      <c r="CR101" s="115"/>
      <c r="CS101" s="115"/>
      <c r="CT101" s="115"/>
      <c r="CU101" s="115"/>
      <c r="CV101" s="115"/>
      <c r="CW101" s="115"/>
      <c r="CX101" s="115"/>
      <c r="CY101" s="115"/>
      <c r="CZ101" s="115"/>
      <c r="DA101" s="115"/>
      <c r="DB101" s="115"/>
      <c r="DC101" s="115"/>
      <c r="DD101" s="115"/>
      <c r="DE101" s="115"/>
      <c r="DF101" s="115"/>
      <c r="DG101" s="44"/>
      <c r="DH101" s="44"/>
      <c r="DL101" s="44"/>
      <c r="DM101" s="44"/>
      <c r="DN101" s="44"/>
      <c r="DO101" s="44"/>
      <c r="DP101" s="44"/>
      <c r="DQ101" s="44"/>
      <c r="DR101" s="44"/>
      <c r="DS101" s="44"/>
      <c r="DT101" s="44"/>
      <c r="DU101" s="44"/>
      <c r="DV101" s="62">
        <v>759</v>
      </c>
      <c r="DW101" s="62">
        <v>722</v>
      </c>
      <c r="DX101" s="68">
        <v>1065</v>
      </c>
      <c r="DY101" s="68">
        <v>1374</v>
      </c>
      <c r="DZ101" s="68">
        <f>DY101*1.1</f>
        <v>1511.4</v>
      </c>
      <c r="EA101" s="44">
        <f t="shared" ref="EA101" si="209">SUM(AR101:AU101)</f>
        <v>1879</v>
      </c>
      <c r="EB101" s="65">
        <f t="shared" si="204"/>
        <v>2925</v>
      </c>
      <c r="EC101" s="44">
        <f>SUM(BC101:BF101)</f>
        <v>4084</v>
      </c>
      <c r="ED101" s="44">
        <f>SUM(BG101:BJ101)</f>
        <v>3630</v>
      </c>
      <c r="EE101" s="44">
        <f>SUM(BK101:BN101)</f>
        <v>3492</v>
      </c>
      <c r="EF101" s="44">
        <f>SUM(BO101:BR101)</f>
        <v>2628</v>
      </c>
      <c r="EG101" s="44">
        <f t="shared" ref="EG101:EG102" si="210">SUM(BS101:BV101)</f>
        <v>918</v>
      </c>
      <c r="EH101" s="44">
        <f t="shared" ref="EH101:EK101" si="211">+EG101*0.99</f>
        <v>908.81999999999994</v>
      </c>
      <c r="EI101" s="44">
        <f t="shared" si="211"/>
        <v>899.73179999999991</v>
      </c>
      <c r="EJ101" s="44">
        <f t="shared" si="211"/>
        <v>890.73448199999984</v>
      </c>
      <c r="EK101" s="44">
        <f t="shared" si="211"/>
        <v>881.8271371799998</v>
      </c>
      <c r="EL101" s="44">
        <f t="shared" si="184"/>
        <v>0</v>
      </c>
      <c r="EM101" s="44">
        <f t="shared" si="175"/>
        <v>0</v>
      </c>
      <c r="EN101" s="44">
        <f t="shared" si="177"/>
        <v>0</v>
      </c>
      <c r="EO101" s="44">
        <f t="shared" si="178"/>
        <v>0</v>
      </c>
      <c r="EP101" s="44">
        <f t="shared" si="176"/>
        <v>0</v>
      </c>
      <c r="FH101" s="81">
        <f t="shared" si="208"/>
        <v>1225.2</v>
      </c>
      <c r="FI101" s="44">
        <f>EH101*0.3</f>
        <v>272.64599999999996</v>
      </c>
      <c r="FJ101" s="82">
        <f>EI101*0.3</f>
        <v>269.91953999999998</v>
      </c>
      <c r="FL101" s="14" t="s">
        <v>791</v>
      </c>
    </row>
    <row r="102" spans="2:168">
      <c r="B102" s="14" t="s">
        <v>792</v>
      </c>
      <c r="C102" s="44"/>
      <c r="D102" s="44"/>
      <c r="E102" s="44"/>
      <c r="F102" s="44"/>
      <c r="G102" s="44"/>
      <c r="H102" s="44"/>
      <c r="I102" s="44"/>
      <c r="J102" s="44"/>
      <c r="K102" s="44"/>
      <c r="L102" s="44"/>
      <c r="M102" s="44"/>
      <c r="N102" s="44"/>
      <c r="O102" s="44"/>
      <c r="P102" s="44"/>
      <c r="Q102" s="44"/>
      <c r="R102" s="44"/>
      <c r="S102" s="44"/>
      <c r="T102" s="44">
        <v>247</v>
      </c>
      <c r="AE102" s="44"/>
      <c r="AF102" s="44"/>
      <c r="AG102" s="44"/>
      <c r="AH102" s="44">
        <v>566</v>
      </c>
      <c r="AI102" s="68">
        <v>496</v>
      </c>
      <c r="AJ102" s="68"/>
      <c r="AK102" s="68">
        <v>503</v>
      </c>
      <c r="AL102" s="68">
        <v>630</v>
      </c>
      <c r="AM102" s="44">
        <v>511</v>
      </c>
      <c r="AN102" s="44">
        <v>583</v>
      </c>
      <c r="AO102" s="44">
        <v>562</v>
      </c>
      <c r="AP102" s="68">
        <v>655</v>
      </c>
      <c r="AQ102" s="68">
        <v>586</v>
      </c>
      <c r="AR102" s="68">
        <v>632</v>
      </c>
      <c r="AS102" s="68">
        <v>636</v>
      </c>
      <c r="AT102" s="68">
        <v>785</v>
      </c>
      <c r="AU102" s="68">
        <v>619</v>
      </c>
      <c r="AV102" s="70">
        <v>715</v>
      </c>
      <c r="AW102" s="68">
        <f>708</f>
        <v>708</v>
      </c>
      <c r="AX102" s="68">
        <f>783+119-35</f>
        <v>867</v>
      </c>
      <c r="AY102" s="70">
        <v>537</v>
      </c>
      <c r="AZ102" s="68">
        <f>648+273</f>
        <v>921</v>
      </c>
      <c r="BA102" s="68">
        <f>678</f>
        <v>678</v>
      </c>
      <c r="BB102" s="68">
        <v>901</v>
      </c>
      <c r="BC102" s="70">
        <v>846</v>
      </c>
      <c r="BD102" s="44">
        <v>893</v>
      </c>
      <c r="BE102" s="44">
        <v>860</v>
      </c>
      <c r="BF102" s="65">
        <v>976</v>
      </c>
      <c r="BG102" s="44">
        <v>982</v>
      </c>
      <c r="BH102" s="65">
        <v>1055</v>
      </c>
      <c r="BI102" s="44">
        <v>1041</v>
      </c>
      <c r="BJ102" s="65">
        <v>1106</v>
      </c>
      <c r="BK102" s="65">
        <v>1026</v>
      </c>
      <c r="BL102" s="44">
        <v>1085</v>
      </c>
      <c r="BM102" s="44">
        <v>1017</v>
      </c>
      <c r="BN102" s="44">
        <v>1171</v>
      </c>
      <c r="BO102" s="44">
        <v>1090</v>
      </c>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115"/>
      <c r="CO102" s="115"/>
      <c r="CP102" s="115"/>
      <c r="CQ102" s="115"/>
      <c r="CR102" s="115"/>
      <c r="CS102" s="115"/>
      <c r="CT102" s="115"/>
      <c r="CU102" s="115"/>
      <c r="CV102" s="115"/>
      <c r="CW102" s="115"/>
      <c r="CX102" s="115"/>
      <c r="CY102" s="115"/>
      <c r="CZ102" s="115"/>
      <c r="DA102" s="115"/>
      <c r="DB102" s="115"/>
      <c r="DC102" s="115"/>
      <c r="DD102" s="115"/>
      <c r="DE102" s="115"/>
      <c r="DF102" s="115"/>
      <c r="DG102" s="44"/>
      <c r="DH102" s="44"/>
      <c r="DL102" s="44"/>
      <c r="DM102" s="44"/>
      <c r="DN102" s="44"/>
      <c r="DO102" s="44"/>
      <c r="DP102" s="44"/>
      <c r="DQ102" s="44"/>
      <c r="DR102" s="44"/>
      <c r="DS102" s="44"/>
      <c r="DT102" s="44"/>
      <c r="DU102" s="44">
        <v>1118</v>
      </c>
      <c r="DV102" s="44">
        <f>1598+764</f>
        <v>2362</v>
      </c>
      <c r="DW102" s="44">
        <f>1953+914</f>
        <v>2867</v>
      </c>
      <c r="DX102" s="44">
        <f>2206+930</f>
        <v>3136</v>
      </c>
      <c r="DY102" s="44">
        <f>2311+977</f>
        <v>3288</v>
      </c>
      <c r="DZ102" s="44">
        <f>DY102*1.05</f>
        <v>3452.4</v>
      </c>
      <c r="EA102" s="44">
        <f>SUM(AR102:AU102)</f>
        <v>2672</v>
      </c>
      <c r="EB102" s="65">
        <f t="shared" si="204"/>
        <v>3037</v>
      </c>
      <c r="EC102" s="44">
        <f>SUM(BC102:BF102)</f>
        <v>3575</v>
      </c>
      <c r="ED102" s="44">
        <f>SUM(BG102:BJ102)</f>
        <v>4184</v>
      </c>
      <c r="EE102" s="44">
        <f>SUM(BK102:BN102)</f>
        <v>4299</v>
      </c>
      <c r="EF102" s="44">
        <f>SUM(BO102:BR102)</f>
        <v>1090</v>
      </c>
      <c r="EG102" s="44">
        <f t="shared" si="210"/>
        <v>0</v>
      </c>
      <c r="EH102" s="44">
        <f>+EG102*1.03</f>
        <v>0</v>
      </c>
      <c r="EI102" s="44">
        <f>+EH102*1.03</f>
        <v>0</v>
      </c>
      <c r="EJ102" s="44">
        <f>+EI102*1.03</f>
        <v>0</v>
      </c>
      <c r="EK102" s="44">
        <f t="shared" ref="EK102" si="212">+EJ102*1.03</f>
        <v>0</v>
      </c>
      <c r="EL102" s="44">
        <f t="shared" si="184"/>
        <v>0</v>
      </c>
      <c r="EM102" s="44">
        <f>SUM(CQ102:CT102)</f>
        <v>0</v>
      </c>
      <c r="EN102" s="44">
        <f t="shared" si="177"/>
        <v>0</v>
      </c>
      <c r="EO102" s="44">
        <f t="shared" si="178"/>
        <v>0</v>
      </c>
      <c r="EP102" s="44">
        <f t="shared" si="176"/>
        <v>0</v>
      </c>
      <c r="FH102" s="81">
        <f>EC102*0.4</f>
        <v>1430</v>
      </c>
      <c r="FI102" s="44">
        <f>EH102*0.4</f>
        <v>0</v>
      </c>
      <c r="FJ102" s="82">
        <f>EI102*0.4</f>
        <v>0</v>
      </c>
    </row>
    <row r="103" spans="2:168">
      <c r="B103" s="5" t="s">
        <v>793</v>
      </c>
      <c r="C103" s="45">
        <f t="shared" ref="C103:AH103" si="213">SUM(C5:C102)</f>
        <v>1816</v>
      </c>
      <c r="D103" s="45">
        <f t="shared" si="213"/>
        <v>1685</v>
      </c>
      <c r="E103" s="45">
        <f t="shared" si="213"/>
        <v>1961</v>
      </c>
      <c r="F103" s="45">
        <f t="shared" si="213"/>
        <v>2277</v>
      </c>
      <c r="G103" s="45">
        <f t="shared" si="213"/>
        <v>2596</v>
      </c>
      <c r="H103" s="45">
        <f t="shared" si="213"/>
        <v>2716</v>
      </c>
      <c r="I103" s="45">
        <f t="shared" si="213"/>
        <v>2711</v>
      </c>
      <c r="J103" s="45">
        <f t="shared" si="213"/>
        <v>3244</v>
      </c>
      <c r="K103" s="45">
        <f t="shared" si="213"/>
        <v>3345</v>
      </c>
      <c r="L103" s="45">
        <f t="shared" si="213"/>
        <v>3340</v>
      </c>
      <c r="M103" s="45">
        <f t="shared" si="213"/>
        <v>3598</v>
      </c>
      <c r="N103" s="45">
        <f t="shared" si="213"/>
        <v>4121</v>
      </c>
      <c r="O103" s="45">
        <f t="shared" si="213"/>
        <v>4056</v>
      </c>
      <c r="P103" s="45">
        <f t="shared" si="213"/>
        <v>3947</v>
      </c>
      <c r="Q103" s="45">
        <f t="shared" si="213"/>
        <v>4199</v>
      </c>
      <c r="R103" s="45">
        <f t="shared" si="213"/>
        <v>4872</v>
      </c>
      <c r="S103" s="45">
        <f t="shared" si="213"/>
        <v>4759</v>
      </c>
      <c r="T103" s="45">
        <f t="shared" si="213"/>
        <v>4704</v>
      </c>
      <c r="U103" s="45">
        <f t="shared" si="213"/>
        <v>4819</v>
      </c>
      <c r="V103" s="45">
        <f t="shared" si="213"/>
        <v>5657</v>
      </c>
      <c r="W103" s="45">
        <f t="shared" si="213"/>
        <v>7344</v>
      </c>
      <c r="X103" s="45">
        <f t="shared" si="213"/>
        <v>7023</v>
      </c>
      <c r="Y103" s="45">
        <f t="shared" si="213"/>
        <v>7726</v>
      </c>
      <c r="Z103" s="45">
        <f t="shared" si="213"/>
        <v>8825</v>
      </c>
      <c r="AA103" s="45">
        <f t="shared" si="213"/>
        <v>8279.7999999999993</v>
      </c>
      <c r="AB103" s="45">
        <f t="shared" si="213"/>
        <v>7374.9</v>
      </c>
      <c r="AC103" s="45">
        <f t="shared" si="213"/>
        <v>9413.5</v>
      </c>
      <c r="AD103" s="45">
        <f t="shared" si="213"/>
        <v>10650.4</v>
      </c>
      <c r="AE103" s="45">
        <f t="shared" si="213"/>
        <v>9672.4</v>
      </c>
      <c r="AF103" s="45">
        <f t="shared" si="213"/>
        <v>9384.1</v>
      </c>
      <c r="AG103" s="45">
        <f t="shared" si="213"/>
        <v>9920.7999999999993</v>
      </c>
      <c r="AH103" s="45">
        <f t="shared" si="213"/>
        <v>13508.3</v>
      </c>
      <c r="AI103" s="45">
        <f t="shared" ref="AI103:BN103" si="214">SUM(AI5:AI102)</f>
        <v>12481.1</v>
      </c>
      <c r="AJ103" s="45">
        <f t="shared" si="214"/>
        <v>9245.2999999999993</v>
      </c>
      <c r="AK103" s="45">
        <f t="shared" si="214"/>
        <v>12582.1</v>
      </c>
      <c r="AL103" s="45">
        <f t="shared" si="214"/>
        <v>13992.8</v>
      </c>
      <c r="AM103" s="45">
        <f t="shared" si="214"/>
        <v>13091.6</v>
      </c>
      <c r="AN103" s="45">
        <f t="shared" si="214"/>
        <v>12259.2</v>
      </c>
      <c r="AO103" s="45">
        <f t="shared" si="214"/>
        <v>12789.8</v>
      </c>
      <c r="AP103" s="45">
        <f t="shared" si="214"/>
        <v>13104.7</v>
      </c>
      <c r="AQ103" s="45">
        <f t="shared" si="214"/>
        <v>12474</v>
      </c>
      <c r="AR103" s="45">
        <f t="shared" si="214"/>
        <v>11084</v>
      </c>
      <c r="AS103" s="45">
        <f t="shared" si="214"/>
        <v>11950</v>
      </c>
      <c r="AT103" s="45">
        <f t="shared" si="214"/>
        <v>12990</v>
      </c>
      <c r="AU103" s="45">
        <f t="shared" si="214"/>
        <v>12501.803</v>
      </c>
      <c r="AV103" s="45">
        <f t="shared" si="214"/>
        <v>12765.654</v>
      </c>
      <c r="AW103" s="45">
        <f t="shared" si="214"/>
        <v>12159</v>
      </c>
      <c r="AX103" s="45">
        <f t="shared" si="214"/>
        <v>12311</v>
      </c>
      <c r="AY103" s="45">
        <f t="shared" si="214"/>
        <v>11599.65</v>
      </c>
      <c r="AZ103" s="45">
        <f t="shared" si="214"/>
        <v>11749.615</v>
      </c>
      <c r="BA103" s="45">
        <f t="shared" si="214"/>
        <v>11603</v>
      </c>
      <c r="BB103" s="45">
        <f t="shared" si="214"/>
        <v>16520</v>
      </c>
      <c r="BC103" s="45">
        <f t="shared" si="214"/>
        <v>17113</v>
      </c>
      <c r="BD103" s="45">
        <f t="shared" si="214"/>
        <v>17607</v>
      </c>
      <c r="BE103" s="45">
        <f t="shared" si="214"/>
        <v>16729</v>
      </c>
      <c r="BF103" s="45">
        <f t="shared" si="214"/>
        <v>18290</v>
      </c>
      <c r="BG103" s="45">
        <f t="shared" si="214"/>
        <v>16565</v>
      </c>
      <c r="BH103" s="45">
        <f t="shared" si="214"/>
        <v>17751</v>
      </c>
      <c r="BI103" s="45">
        <f t="shared" si="214"/>
        <v>17242</v>
      </c>
      <c r="BJ103" s="45">
        <f t="shared" si="214"/>
        <v>16746</v>
      </c>
      <c r="BK103" s="45">
        <f t="shared" si="214"/>
        <v>15429</v>
      </c>
      <c r="BL103" s="45">
        <f t="shared" si="214"/>
        <v>15057</v>
      </c>
      <c r="BM103" s="45">
        <f t="shared" si="214"/>
        <v>13976</v>
      </c>
      <c r="BN103" s="45">
        <f t="shared" si="214"/>
        <v>15245</v>
      </c>
      <c r="BO103" s="45">
        <f t="shared" ref="BO103:BV103" si="215">SUM(BO5:BO102)</f>
        <v>13500</v>
      </c>
      <c r="BP103" s="45">
        <f t="shared" si="215"/>
        <v>12973</v>
      </c>
      <c r="BQ103" s="45">
        <f t="shared" si="215"/>
        <v>12576</v>
      </c>
      <c r="BR103" s="45">
        <f t="shared" si="215"/>
        <v>13493</v>
      </c>
      <c r="BS103" s="45">
        <f t="shared" si="215"/>
        <v>11296</v>
      </c>
      <c r="BT103" s="45">
        <f t="shared" si="215"/>
        <v>12702</v>
      </c>
      <c r="BU103" s="45">
        <f t="shared" si="215"/>
        <v>11783.369999999999</v>
      </c>
      <c r="BV103" s="45">
        <f t="shared" si="215"/>
        <v>12741.41</v>
      </c>
      <c r="BW103" s="45"/>
      <c r="BX103" s="45"/>
      <c r="BY103" s="45"/>
      <c r="BZ103" s="45"/>
      <c r="CA103" s="45"/>
      <c r="CB103" s="45"/>
      <c r="CC103" s="45"/>
      <c r="CD103" s="45"/>
      <c r="CE103" s="45"/>
      <c r="CF103" s="45"/>
      <c r="CG103" s="45"/>
      <c r="CH103" s="45"/>
      <c r="CI103" s="45"/>
      <c r="CJ103" s="121">
        <f>SUM(CJ3:CJ102)</f>
        <v>0</v>
      </c>
      <c r="CK103" s="121">
        <f>SUM(CK3:CK102)</f>
        <v>13297</v>
      </c>
      <c r="CL103" s="121">
        <f>SUM(CL3:CL102)</f>
        <v>14012</v>
      </c>
      <c r="CM103" s="121">
        <f t="shared" ref="CM103" si="216">SUM(CM3:CM102)</f>
        <v>13081</v>
      </c>
      <c r="CN103" s="121">
        <f>SUM(CN3:CN102)</f>
        <v>12963</v>
      </c>
      <c r="CO103" s="121">
        <f>SUM(CO3:CO102)</f>
        <v>12682</v>
      </c>
      <c r="CP103" s="121">
        <f>SUM(CP3:CP102)</f>
        <v>12734</v>
      </c>
      <c r="CQ103" s="121">
        <f t="shared" ref="CQ103:DF103" si="217">SUM(CQ3:CQ102)</f>
        <v>12033</v>
      </c>
      <c r="CR103" s="121">
        <f>SUM(CR3:CR102)</f>
        <v>11799</v>
      </c>
      <c r="CS103" s="121">
        <f t="shared" si="217"/>
        <v>10277</v>
      </c>
      <c r="CT103" s="121">
        <f t="shared" si="217"/>
        <v>11629</v>
      </c>
      <c r="CU103" s="121">
        <f t="shared" si="217"/>
        <v>14515.599999999999</v>
      </c>
      <c r="CV103" s="121">
        <f t="shared" si="217"/>
        <v>18899</v>
      </c>
      <c r="CW103" s="121">
        <f t="shared" si="217"/>
        <v>24091</v>
      </c>
      <c r="CX103" s="121">
        <f>SUM(CX3:CX102)</f>
        <v>23836</v>
      </c>
      <c r="CY103" s="121">
        <f t="shared" si="217"/>
        <v>25661.399999999998</v>
      </c>
      <c r="CZ103" s="121">
        <f>SUM(CZ3:CZ102)</f>
        <v>27741.80000000001</v>
      </c>
      <c r="DA103" s="121">
        <f t="shared" si="217"/>
        <v>22637.800000000003</v>
      </c>
      <c r="DB103" s="121">
        <f t="shared" si="217"/>
        <v>24287</v>
      </c>
      <c r="DC103" s="121">
        <f>SUM(DC3:DC102)</f>
        <v>17191.350000000002</v>
      </c>
      <c r="DD103" s="121">
        <f t="shared" si="217"/>
        <v>16225.410000000003</v>
      </c>
      <c r="DE103" s="121">
        <f t="shared" si="217"/>
        <v>15448.816000000001</v>
      </c>
      <c r="DF103" s="121">
        <f t="shared" si="217"/>
        <v>15047.719900000002</v>
      </c>
      <c r="DG103" s="45"/>
      <c r="DH103" s="45"/>
      <c r="DL103" s="45"/>
      <c r="DM103" s="45">
        <v>7977</v>
      </c>
      <c r="DN103" s="45">
        <v>10021</v>
      </c>
      <c r="DO103" s="45">
        <v>11306</v>
      </c>
      <c r="DP103" s="45">
        <v>12504</v>
      </c>
      <c r="DQ103" s="45">
        <v>13544</v>
      </c>
      <c r="DR103" s="45">
        <v>27376.093693693692</v>
      </c>
      <c r="DS103" s="45">
        <v>29574</v>
      </c>
      <c r="DT103" s="45">
        <v>26593</v>
      </c>
      <c r="DU103" s="45">
        <f t="shared" ref="DU103:EE103" si="218">SUM(DU58:DU102)</f>
        <v>22254</v>
      </c>
      <c r="DV103" s="45">
        <f t="shared" si="218"/>
        <v>30232</v>
      </c>
      <c r="DW103" s="45">
        <f t="shared" si="218"/>
        <v>35261</v>
      </c>
      <c r="DX103" s="45">
        <f t="shared" si="218"/>
        <v>34369</v>
      </c>
      <c r="DY103" s="45">
        <f t="shared" si="218"/>
        <v>36444</v>
      </c>
      <c r="DZ103" s="45">
        <f t="shared" si="218"/>
        <v>33469.42</v>
      </c>
      <c r="EA103" s="45">
        <f t="shared" si="218"/>
        <v>27953</v>
      </c>
      <c r="EB103" s="45">
        <f t="shared" si="218"/>
        <v>36779</v>
      </c>
      <c r="EC103" s="45">
        <f t="shared" si="218"/>
        <v>43686</v>
      </c>
      <c r="ED103" s="45">
        <f t="shared" si="218"/>
        <v>41620</v>
      </c>
      <c r="EE103" s="45">
        <f t="shared" si="218"/>
        <v>34396.199999999997</v>
      </c>
      <c r="EF103" s="45">
        <f t="shared" ref="EF103:EK103" si="219">SUM(EF5:EF102)</f>
        <v>51247</v>
      </c>
      <c r="EG103" s="45">
        <f t="shared" si="219"/>
        <v>48522.78</v>
      </c>
      <c r="EH103" s="45">
        <f t="shared" si="219"/>
        <v>42071.249900000003</v>
      </c>
      <c r="EI103" s="45">
        <f t="shared" si="219"/>
        <v>31074.791678999998</v>
      </c>
      <c r="EJ103" s="45">
        <f t="shared" si="219"/>
        <v>29059.533359869998</v>
      </c>
      <c r="EK103" s="45">
        <f t="shared" si="219"/>
        <v>23889.756463466103</v>
      </c>
      <c r="EL103" s="45">
        <f t="shared" ref="EL103:EW103" si="220">SUM(EL3:EL102)</f>
        <v>51460</v>
      </c>
      <c r="EM103" s="45">
        <f t="shared" si="220"/>
        <v>45738</v>
      </c>
      <c r="EN103" s="45">
        <f t="shared" si="220"/>
        <v>81341.600000000006</v>
      </c>
      <c r="EO103" s="45">
        <f t="shared" si="220"/>
        <v>100043.99999999999</v>
      </c>
      <c r="EP103" s="45">
        <f t="shared" si="220"/>
        <v>63913.295900000012</v>
      </c>
      <c r="EQ103" s="45">
        <f>SUM(EQ3:EQ102)</f>
        <v>51183.965249999987</v>
      </c>
      <c r="ER103" s="45">
        <f>SUM(ER3:ER102)</f>
        <v>46613.303688000029</v>
      </c>
      <c r="ES103" s="45">
        <f t="shared" si="220"/>
        <v>40648.992252030002</v>
      </c>
      <c r="ET103" s="45">
        <f t="shared" si="220"/>
        <v>36355.824942864296</v>
      </c>
      <c r="EU103" s="45">
        <f t="shared" si="220"/>
        <v>33457.663009751639</v>
      </c>
      <c r="EV103" s="45">
        <f t="shared" si="220"/>
        <v>24919.301311142844</v>
      </c>
      <c r="EW103" s="45">
        <f t="shared" si="220"/>
        <v>22608.786585292939</v>
      </c>
      <c r="EX103" s="45">
        <f t="shared" ref="EX103:FB103" si="221">SUM(EX3:EX102)</f>
        <v>18523.912707591579</v>
      </c>
      <c r="EY103" s="45">
        <f t="shared" si="221"/>
        <v>17264.700399266298</v>
      </c>
      <c r="EZ103" s="45">
        <f t="shared" si="221"/>
        <v>16210.152410624873</v>
      </c>
      <c r="FA103" s="45">
        <f t="shared" si="221"/>
        <v>15306.36484470605</v>
      </c>
      <c r="FB103" s="45">
        <f t="shared" si="221"/>
        <v>14527.568274541922</v>
      </c>
      <c r="FC103" s="45"/>
      <c r="FD103" s="45"/>
      <c r="FE103" s="45"/>
      <c r="FF103" s="45"/>
      <c r="FG103" s="45"/>
      <c r="FH103" s="87"/>
      <c r="FI103" s="45"/>
      <c r="FJ103" s="88"/>
      <c r="FK103" s="45"/>
      <c r="FL103" s="26"/>
    </row>
    <row r="104" spans="2:168">
      <c r="B104" s="4" t="s">
        <v>794</v>
      </c>
      <c r="C104" s="68"/>
      <c r="D104" s="68"/>
      <c r="E104" s="68"/>
      <c r="F104" s="68"/>
      <c r="G104" s="68"/>
      <c r="H104" s="68"/>
      <c r="I104" s="68"/>
      <c r="J104" s="68"/>
      <c r="K104" s="68"/>
      <c r="L104" s="68"/>
      <c r="M104" s="68"/>
      <c r="N104" s="68"/>
      <c r="O104" s="68"/>
      <c r="P104" s="68"/>
      <c r="Q104" s="68"/>
      <c r="R104" s="68"/>
      <c r="S104" s="68"/>
      <c r="T104" s="68">
        <v>1150</v>
      </c>
      <c r="W104" s="68">
        <v>940</v>
      </c>
      <c r="X104" s="68">
        <v>1197</v>
      </c>
      <c r="Y104" s="68">
        <v>1314</v>
      </c>
      <c r="Z104" s="68">
        <v>1178</v>
      </c>
      <c r="AA104" s="68">
        <v>1058</v>
      </c>
      <c r="AB104" s="68">
        <f>1980-392</f>
        <v>1588</v>
      </c>
      <c r="AC104" s="68">
        <f>3285-1278</f>
        <v>2007</v>
      </c>
      <c r="AD104" s="68">
        <f>3266-1077</f>
        <v>2189</v>
      </c>
      <c r="AE104" s="68">
        <v>1794</v>
      </c>
      <c r="AF104" s="68">
        <v>1752</v>
      </c>
      <c r="AG104" s="68">
        <v>1640</v>
      </c>
      <c r="AH104" s="68">
        <v>2316</v>
      </c>
      <c r="AI104" s="68">
        <f>2191-4-56</f>
        <v>2131</v>
      </c>
      <c r="AK104" s="68">
        <v>1908</v>
      </c>
      <c r="AL104" s="68">
        <v>2346</v>
      </c>
      <c r="AM104" s="68">
        <v>1671</v>
      </c>
      <c r="AN104" s="68">
        <v>1686</v>
      </c>
      <c r="AO104" s="68">
        <v>1962</v>
      </c>
      <c r="AP104" s="68">
        <v>2217</v>
      </c>
      <c r="AQ104" s="44">
        <f>1887-94</f>
        <v>1793</v>
      </c>
      <c r="AR104" s="44">
        <f>2109-170-45</f>
        <v>1894</v>
      </c>
      <c r="AS104" s="44">
        <v>1810</v>
      </c>
      <c r="AT104" s="44">
        <v>2266</v>
      </c>
      <c r="AU104" s="44">
        <v>1800</v>
      </c>
      <c r="AV104" s="44">
        <v>2036</v>
      </c>
      <c r="AW104" s="44">
        <v>1760</v>
      </c>
      <c r="AX104" s="44">
        <f>1444</f>
        <v>1444</v>
      </c>
      <c r="AY104" s="44">
        <f>1408-94</f>
        <v>1314</v>
      </c>
      <c r="AZ104" s="44">
        <v>1686</v>
      </c>
      <c r="BA104" s="44">
        <v>1787</v>
      </c>
      <c r="BB104" s="44">
        <v>2886</v>
      </c>
      <c r="BC104" s="44">
        <v>2935</v>
      </c>
      <c r="BD104" s="44">
        <v>2951</v>
      </c>
      <c r="BE104" s="44">
        <v>2959</v>
      </c>
      <c r="BF104" s="44">
        <v>3775</v>
      </c>
      <c r="BG104" s="44">
        <v>3092</v>
      </c>
      <c r="BH104" s="44">
        <v>3257</v>
      </c>
      <c r="BI104" s="44">
        <v>3325</v>
      </c>
      <c r="BJ104" s="65">
        <v>3362</v>
      </c>
      <c r="BK104" s="65">
        <v>2885</v>
      </c>
      <c r="BL104" s="44">
        <v>2665</v>
      </c>
      <c r="BM104" s="44">
        <v>2565</v>
      </c>
      <c r="BN104" s="44">
        <v>3106</v>
      </c>
      <c r="BO104" s="44">
        <v>2615</v>
      </c>
      <c r="BP104" s="44">
        <v>2194</v>
      </c>
      <c r="BQ104" s="44">
        <v>2178</v>
      </c>
      <c r="BR104" s="44">
        <v>2672</v>
      </c>
      <c r="BS104" s="44">
        <v>1986</v>
      </c>
      <c r="BT104" s="44">
        <v>2320</v>
      </c>
      <c r="BU104" s="44">
        <f t="shared" ref="BU104:BV104" si="222">+BU103-BU105</f>
        <v>2356.6739999999991</v>
      </c>
      <c r="BV104" s="44">
        <f t="shared" si="222"/>
        <v>2548.2819999999992</v>
      </c>
      <c r="BW104" s="44"/>
      <c r="BX104" s="44"/>
      <c r="BY104" s="44"/>
      <c r="BZ104" s="44"/>
      <c r="CA104" s="44"/>
      <c r="CB104" s="44"/>
      <c r="CC104" s="44"/>
      <c r="CD104" s="44"/>
      <c r="CE104" s="44"/>
      <c r="CF104" s="44"/>
      <c r="CG104" s="44"/>
      <c r="CH104" s="44"/>
      <c r="CI104" s="44"/>
      <c r="CJ104" s="44"/>
      <c r="CK104" s="44">
        <v>2673</v>
      </c>
      <c r="CL104" s="44">
        <v>3044</v>
      </c>
      <c r="CM104" s="115">
        <v>2415</v>
      </c>
      <c r="CN104" s="115">
        <v>2556</v>
      </c>
      <c r="CO104" s="115">
        <v>2459</v>
      </c>
      <c r="CP104" s="115">
        <v>2600</v>
      </c>
      <c r="CQ104" s="115">
        <v>2350</v>
      </c>
      <c r="CR104" s="115">
        <v>2236</v>
      </c>
      <c r="CS104" s="115">
        <v>2007</v>
      </c>
      <c r="CT104" s="115">
        <v>2842</v>
      </c>
      <c r="CU104" s="115">
        <v>4127</v>
      </c>
      <c r="CV104" s="115">
        <v>6949</v>
      </c>
      <c r="CW104" s="115">
        <v>9899</v>
      </c>
      <c r="CX104" s="115">
        <v>9710</v>
      </c>
      <c r="CY104" s="115">
        <v>9958</v>
      </c>
      <c r="CZ104" s="115">
        <v>8625</v>
      </c>
      <c r="DA104" s="115">
        <v>6038</v>
      </c>
      <c r="DB104" s="115">
        <v>9475</v>
      </c>
      <c r="DC104" s="115">
        <f>+DC103-DC105</f>
        <v>4469.7510000000002</v>
      </c>
      <c r="DD104" s="115">
        <f t="shared" ref="DD104:DF104" si="223">+DD103-DD105</f>
        <v>4218.606600000001</v>
      </c>
      <c r="DE104" s="115">
        <f t="shared" si="223"/>
        <v>4016.6921600000005</v>
      </c>
      <c r="DF104" s="115">
        <f t="shared" si="223"/>
        <v>3912.4071739999999</v>
      </c>
      <c r="DG104" s="44"/>
      <c r="DH104" s="44"/>
      <c r="DL104" s="45"/>
      <c r="DM104" s="45">
        <v>1722</v>
      </c>
      <c r="DN104" s="44">
        <v>2164</v>
      </c>
      <c r="DO104" s="44">
        <v>2176</v>
      </c>
      <c r="DP104" s="44">
        <v>2274</v>
      </c>
      <c r="DQ104" s="44">
        <v>2094</v>
      </c>
      <c r="DR104" s="44">
        <v>5464</v>
      </c>
      <c r="DS104" s="44">
        <v>4907</v>
      </c>
      <c r="DT104" s="44">
        <v>3823</v>
      </c>
      <c r="DU104" s="44">
        <v>4014</v>
      </c>
      <c r="DV104" s="44">
        <v>6842</v>
      </c>
      <c r="DW104" s="44">
        <v>6391</v>
      </c>
      <c r="DX104" s="44">
        <v>7232</v>
      </c>
      <c r="DY104" s="44">
        <v>7640</v>
      </c>
      <c r="DZ104" s="44"/>
      <c r="EA104" s="44"/>
      <c r="EB104" s="44">
        <f>EB103-EB105</f>
        <v>-7020.2649999999994</v>
      </c>
      <c r="EC104" s="44">
        <f>EC103-EC105</f>
        <v>-13433</v>
      </c>
      <c r="ED104" s="44">
        <f t="shared" ref="ED104" si="224">ED103-ED105</f>
        <v>-13648</v>
      </c>
      <c r="EE104" s="44">
        <f>EE103-EE105</f>
        <v>-14089.800000000003</v>
      </c>
      <c r="EF104" s="44">
        <f>EF103-EF105</f>
        <v>8364</v>
      </c>
      <c r="EM104" s="44">
        <f>SUM(CQ104:CT104)</f>
        <v>9435</v>
      </c>
      <c r="EN104" s="44">
        <f>SUM(CU104:CX104)</f>
        <v>30685</v>
      </c>
      <c r="EO104" s="44">
        <f>SUM(CY104:DB104)</f>
        <v>34096</v>
      </c>
      <c r="EP104" s="44">
        <f>SUM(DC104:DF104)</f>
        <v>16617.456934000002</v>
      </c>
      <c r="EQ104" s="44">
        <f>+EQ103-EQ105</f>
        <v>13819.6706175</v>
      </c>
      <c r="ER104" s="44">
        <f t="shared" ref="ER104:EW104" si="225">+ER103-ER105</f>
        <v>12119.458958880008</v>
      </c>
      <c r="ES104" s="44">
        <f t="shared" si="225"/>
        <v>10162.248063007501</v>
      </c>
      <c r="ET104" s="44">
        <f t="shared" si="225"/>
        <v>8725.3979862874294</v>
      </c>
      <c r="EU104" s="44">
        <f t="shared" si="225"/>
        <v>7695.2624922428768</v>
      </c>
      <c r="EV104" s="44">
        <f t="shared" si="225"/>
        <v>5482.2462884514243</v>
      </c>
      <c r="EW104" s="44">
        <f t="shared" si="225"/>
        <v>4747.8451829115147</v>
      </c>
    </row>
    <row r="105" spans="2:168">
      <c r="B105" s="4" t="s">
        <v>795</v>
      </c>
      <c r="C105" s="68"/>
      <c r="D105" s="68"/>
      <c r="E105" s="68"/>
      <c r="F105" s="68"/>
      <c r="G105" s="68"/>
      <c r="H105" s="68"/>
      <c r="I105" s="68"/>
      <c r="J105" s="68"/>
      <c r="K105" s="68"/>
      <c r="L105" s="68"/>
      <c r="M105" s="68"/>
      <c r="N105" s="68"/>
      <c r="O105" s="68"/>
      <c r="P105" s="68"/>
      <c r="Q105" s="68"/>
      <c r="R105" s="68"/>
      <c r="S105" s="68"/>
      <c r="T105" s="68">
        <f>T103-T104</f>
        <v>3554</v>
      </c>
      <c r="W105" s="68">
        <f>W103-W104</f>
        <v>6404</v>
      </c>
      <c r="X105" s="68">
        <f>X103-X104</f>
        <v>5826</v>
      </c>
      <c r="Y105" s="68">
        <f>Y103-Y104</f>
        <v>6412</v>
      </c>
      <c r="Z105" s="68">
        <f>Z103-Z104</f>
        <v>7647</v>
      </c>
      <c r="AA105" s="68">
        <f t="shared" ref="AA105:AI105" si="226">AA103-AA104</f>
        <v>7221.7999999999993</v>
      </c>
      <c r="AB105" s="68">
        <f t="shared" si="226"/>
        <v>5786.9</v>
      </c>
      <c r="AC105" s="68">
        <f t="shared" si="226"/>
        <v>7406.5</v>
      </c>
      <c r="AD105" s="68">
        <f t="shared" si="226"/>
        <v>8461.4</v>
      </c>
      <c r="AE105" s="68">
        <f t="shared" si="226"/>
        <v>7878.4</v>
      </c>
      <c r="AF105" s="68">
        <f t="shared" si="226"/>
        <v>7632.1</v>
      </c>
      <c r="AG105" s="68">
        <f t="shared" si="226"/>
        <v>8280.7999999999993</v>
      </c>
      <c r="AH105" s="68">
        <f t="shared" si="226"/>
        <v>11192.3</v>
      </c>
      <c r="AI105" s="68">
        <f t="shared" si="226"/>
        <v>10350.1</v>
      </c>
      <c r="AK105" s="68">
        <f t="shared" ref="AK105:AL105" si="227">AK103-AK104</f>
        <v>10674.1</v>
      </c>
      <c r="AL105" s="68">
        <f t="shared" si="227"/>
        <v>11646.8</v>
      </c>
      <c r="AM105" s="68">
        <f t="shared" ref="AM105:AS105" si="228">AM103-AM104</f>
        <v>11420.6</v>
      </c>
      <c r="AN105" s="68">
        <f t="shared" si="228"/>
        <v>10573.2</v>
      </c>
      <c r="AO105" s="68">
        <f t="shared" si="228"/>
        <v>10827.8</v>
      </c>
      <c r="AP105" s="68">
        <f t="shared" si="228"/>
        <v>10887.7</v>
      </c>
      <c r="AQ105" s="44">
        <f t="shared" si="228"/>
        <v>10681</v>
      </c>
      <c r="AR105" s="44">
        <f t="shared" si="228"/>
        <v>9190</v>
      </c>
      <c r="AS105" s="44">
        <f t="shared" si="228"/>
        <v>10140</v>
      </c>
      <c r="AT105" s="44">
        <f t="shared" ref="AT105:BB105" si="229">AT103-AT104</f>
        <v>10724</v>
      </c>
      <c r="AU105" s="44">
        <f t="shared" si="229"/>
        <v>10701.803</v>
      </c>
      <c r="AV105" s="44">
        <f t="shared" si="229"/>
        <v>10729.654</v>
      </c>
      <c r="AW105" s="44">
        <f t="shared" si="229"/>
        <v>10399</v>
      </c>
      <c r="AX105" s="44">
        <f t="shared" si="229"/>
        <v>10867</v>
      </c>
      <c r="AY105" s="44">
        <f t="shared" si="229"/>
        <v>10285.65</v>
      </c>
      <c r="AZ105" s="44">
        <f t="shared" si="229"/>
        <v>10063.615</v>
      </c>
      <c r="BA105" s="44">
        <f t="shared" si="229"/>
        <v>9816</v>
      </c>
      <c r="BB105" s="44">
        <f t="shared" si="229"/>
        <v>13634</v>
      </c>
      <c r="BC105" s="44">
        <f>BC103-BC104</f>
        <v>14178</v>
      </c>
      <c r="BD105" s="44">
        <f>BD103-BD104</f>
        <v>14656</v>
      </c>
      <c r="BE105" s="44">
        <f>+BE103-BE104</f>
        <v>13770</v>
      </c>
      <c r="BF105" s="44">
        <f>+BF103-BF104</f>
        <v>14515</v>
      </c>
      <c r="BG105" s="44">
        <f t="shared" ref="BG105:BL105" si="230">BG103-BG104</f>
        <v>13473</v>
      </c>
      <c r="BH105" s="44">
        <f t="shared" si="230"/>
        <v>14494</v>
      </c>
      <c r="BI105" s="44">
        <f t="shared" si="230"/>
        <v>13917</v>
      </c>
      <c r="BJ105" s="65">
        <f t="shared" si="230"/>
        <v>13384</v>
      </c>
      <c r="BK105" s="65">
        <f t="shared" si="230"/>
        <v>12544</v>
      </c>
      <c r="BL105" s="44">
        <f t="shared" si="230"/>
        <v>12392</v>
      </c>
      <c r="BM105" s="44">
        <f t="shared" ref="BM105:BR105" si="231">+BM103-BM104</f>
        <v>11411</v>
      </c>
      <c r="BN105" s="44">
        <f t="shared" si="231"/>
        <v>12139</v>
      </c>
      <c r="BO105" s="44">
        <f t="shared" si="231"/>
        <v>10885</v>
      </c>
      <c r="BP105" s="44">
        <f t="shared" si="231"/>
        <v>10779</v>
      </c>
      <c r="BQ105" s="44">
        <f t="shared" si="231"/>
        <v>10398</v>
      </c>
      <c r="BR105" s="44">
        <f t="shared" si="231"/>
        <v>10821</v>
      </c>
      <c r="BS105" s="44">
        <f>+BS103-BS104</f>
        <v>9310</v>
      </c>
      <c r="BT105" s="44">
        <f>+BT103-BT104</f>
        <v>10382</v>
      </c>
      <c r="BU105" s="44">
        <f t="shared" ref="BU105:BV105" si="232">+BU103*0.8</f>
        <v>9426.6959999999999</v>
      </c>
      <c r="BV105" s="44">
        <f t="shared" si="232"/>
        <v>10193.128000000001</v>
      </c>
      <c r="BW105" s="44"/>
      <c r="BX105" s="44"/>
      <c r="BY105" s="44"/>
      <c r="BZ105" s="44"/>
      <c r="CA105" s="44"/>
      <c r="CB105" s="44"/>
      <c r="CC105" s="44"/>
      <c r="CD105" s="44"/>
      <c r="CE105" s="44"/>
      <c r="CF105" s="44"/>
      <c r="CG105" s="44"/>
      <c r="CH105" s="44"/>
      <c r="CI105" s="44"/>
      <c r="CJ105" s="44"/>
      <c r="CK105" s="44">
        <f t="shared" ref="CK105:CS105" si="233">+CK103-CK104</f>
        <v>10624</v>
      </c>
      <c r="CL105" s="44">
        <f t="shared" si="233"/>
        <v>10968</v>
      </c>
      <c r="CM105" s="115">
        <f t="shared" si="233"/>
        <v>10666</v>
      </c>
      <c r="CN105" s="44">
        <f t="shared" si="233"/>
        <v>10407</v>
      </c>
      <c r="CO105" s="44">
        <f t="shared" si="233"/>
        <v>10223</v>
      </c>
      <c r="CP105" s="115">
        <f t="shared" si="233"/>
        <v>10134</v>
      </c>
      <c r="CQ105" s="115">
        <f t="shared" si="233"/>
        <v>9683</v>
      </c>
      <c r="CR105" s="115">
        <f t="shared" si="233"/>
        <v>9563</v>
      </c>
      <c r="CS105" s="115">
        <f t="shared" si="233"/>
        <v>8270</v>
      </c>
      <c r="CT105" s="115">
        <f t="shared" ref="CT105" si="234">CT103-CT104</f>
        <v>8787</v>
      </c>
      <c r="CU105" s="115">
        <f>CU103-CU104</f>
        <v>10388.599999999999</v>
      </c>
      <c r="CV105" s="115">
        <f>+CV103-CV104</f>
        <v>11950</v>
      </c>
      <c r="CW105" s="115">
        <f>+CW103-CW104</f>
        <v>14192</v>
      </c>
      <c r="CX105" s="115">
        <f>CX103-CX104</f>
        <v>14126</v>
      </c>
      <c r="CY105" s="115">
        <f>CY103-CY104</f>
        <v>15703.399999999998</v>
      </c>
      <c r="CZ105" s="115">
        <f>+CZ103-CZ104</f>
        <v>19116.80000000001</v>
      </c>
      <c r="DA105" s="115">
        <f>+DA103-DA104</f>
        <v>16599.800000000003</v>
      </c>
      <c r="DB105" s="115">
        <f>+DB103-DB104</f>
        <v>14812</v>
      </c>
      <c r="DC105" s="115">
        <f>+DC103*0.74</f>
        <v>12721.599000000002</v>
      </c>
      <c r="DD105" s="115">
        <f t="shared" ref="DD105:DF105" si="235">+DD103*0.74</f>
        <v>12006.803400000003</v>
      </c>
      <c r="DE105" s="115">
        <f t="shared" si="235"/>
        <v>11432.12384</v>
      </c>
      <c r="DF105" s="115">
        <f t="shared" si="235"/>
        <v>11135.312726000002</v>
      </c>
      <c r="DG105" s="44"/>
      <c r="DH105" s="44"/>
      <c r="DL105" s="44"/>
      <c r="DM105" s="44">
        <f>DM103-DM104</f>
        <v>6255</v>
      </c>
      <c r="DN105" s="44">
        <f t="shared" ref="DN105:DT105" si="236">DN103-DN104</f>
        <v>7857</v>
      </c>
      <c r="DO105" s="44">
        <f t="shared" si="236"/>
        <v>9130</v>
      </c>
      <c r="DP105" s="44">
        <f t="shared" si="236"/>
        <v>10230</v>
      </c>
      <c r="DQ105" s="44">
        <f t="shared" si="236"/>
        <v>11450</v>
      </c>
      <c r="DR105" s="44">
        <f t="shared" si="236"/>
        <v>21912.093693693692</v>
      </c>
      <c r="DS105" s="44">
        <f t="shared" si="236"/>
        <v>24667</v>
      </c>
      <c r="DT105" s="44">
        <f t="shared" si="236"/>
        <v>22770</v>
      </c>
      <c r="DU105" s="44">
        <f>DU103-DU104</f>
        <v>18240</v>
      </c>
      <c r="DV105" s="44">
        <f>DV103-DV104</f>
        <v>23390</v>
      </c>
      <c r="DW105" s="44">
        <f>DW103-DW104</f>
        <v>28870</v>
      </c>
      <c r="DX105" s="44">
        <f>DX103-DX104</f>
        <v>27137</v>
      </c>
      <c r="DY105" s="44">
        <f>DY103-DY104</f>
        <v>28804</v>
      </c>
      <c r="DZ105" s="44">
        <f>+DZ103*0.8</f>
        <v>26775.536</v>
      </c>
      <c r="EA105" s="44">
        <f>SUM(AY105:BB105)</f>
        <v>43799.264999999999</v>
      </c>
      <c r="EB105" s="44">
        <f>SUM(AY105:BB105)</f>
        <v>43799.264999999999</v>
      </c>
      <c r="EC105" s="44">
        <f>SUM(BC105:BF105)</f>
        <v>57119</v>
      </c>
      <c r="ED105" s="44">
        <f>SUM(BG105:BJ105)</f>
        <v>55268</v>
      </c>
      <c r="EE105" s="44">
        <f>SUM(BK105:BN105)</f>
        <v>48486</v>
      </c>
      <c r="EF105" s="44">
        <f>SUM(BO105:BR105)</f>
        <v>42883</v>
      </c>
      <c r="EM105" s="44">
        <f>+EM103-EM104</f>
        <v>36303</v>
      </c>
      <c r="EN105" s="44">
        <f>+EN103-EN104</f>
        <v>50656.600000000006</v>
      </c>
      <c r="EO105" s="44">
        <f>+EO103-EO104</f>
        <v>65947.999999999985</v>
      </c>
      <c r="EP105" s="44">
        <f>+EP103-EP104</f>
        <v>47295.83896600001</v>
      </c>
      <c r="EQ105" s="44">
        <f>+EQ103*0.73</f>
        <v>37364.294632499987</v>
      </c>
      <c r="ER105" s="44">
        <f>+ER103*0.74</f>
        <v>34493.844729120021</v>
      </c>
      <c r="ES105" s="44">
        <f>+ES103*0.75</f>
        <v>30486.744189022502</v>
      </c>
      <c r="ET105" s="44">
        <f>+ET103*0.76</f>
        <v>27630.426956576866</v>
      </c>
      <c r="EU105" s="44">
        <f>+EU103*0.77</f>
        <v>25762.400517508762</v>
      </c>
      <c r="EV105" s="44">
        <f>+EV103*0.78</f>
        <v>19437.05502269142</v>
      </c>
      <c r="EW105" s="44">
        <f>+EW103*0.79</f>
        <v>17860.941402381424</v>
      </c>
    </row>
    <row r="106" spans="2:168">
      <c r="B106" s="4" t="s">
        <v>796</v>
      </c>
      <c r="C106" s="68"/>
      <c r="D106" s="68"/>
      <c r="E106" s="68"/>
      <c r="F106" s="68"/>
      <c r="G106" s="68"/>
      <c r="H106" s="68"/>
      <c r="I106" s="68"/>
      <c r="J106" s="68"/>
      <c r="K106" s="68"/>
      <c r="L106" s="68"/>
      <c r="M106" s="68"/>
      <c r="N106" s="68"/>
      <c r="O106" s="68"/>
      <c r="P106" s="68"/>
      <c r="Q106" s="68"/>
      <c r="R106" s="68"/>
      <c r="S106" s="68"/>
      <c r="T106" s="68">
        <v>2810</v>
      </c>
      <c r="W106" s="68">
        <v>2545</v>
      </c>
      <c r="X106" s="68">
        <v>2983</v>
      </c>
      <c r="Y106" s="68">
        <f>2946-10</f>
        <v>2936</v>
      </c>
      <c r="Z106" s="68">
        <v>2982</v>
      </c>
      <c r="AA106" s="68">
        <v>2740</v>
      </c>
      <c r="AB106" s="68">
        <v>3744</v>
      </c>
      <c r="AC106" s="68">
        <v>3994</v>
      </c>
      <c r="AD106" s="68">
        <v>4629</v>
      </c>
      <c r="AE106" s="68">
        <f>3933</f>
        <v>3933</v>
      </c>
      <c r="AF106" s="68">
        <v>4258</v>
      </c>
      <c r="AG106" s="68">
        <v>4036</v>
      </c>
      <c r="AH106" s="68">
        <v>4676</v>
      </c>
      <c r="AI106" s="68">
        <f>4085-2</f>
        <v>4083</v>
      </c>
      <c r="AK106" s="68">
        <v>3931</v>
      </c>
      <c r="AL106" s="68">
        <v>4755</v>
      </c>
      <c r="AM106" s="68">
        <v>3395</v>
      </c>
      <c r="AN106" s="68">
        <v>3846</v>
      </c>
      <c r="AO106" s="68">
        <v>3751</v>
      </c>
      <c r="AP106" s="68">
        <v>4562</v>
      </c>
      <c r="AQ106" s="44">
        <f>3361-49</f>
        <v>3312</v>
      </c>
      <c r="AR106" s="44">
        <f>3844-79</f>
        <v>3765</v>
      </c>
      <c r="AS106" s="44">
        <v>3638</v>
      </c>
      <c r="AT106" s="44">
        <v>4532</v>
      </c>
      <c r="AU106" s="44">
        <v>3409</v>
      </c>
      <c r="AV106" s="44">
        <v>3696</v>
      </c>
      <c r="AW106" s="44">
        <v>3429</v>
      </c>
      <c r="AX106" s="44">
        <v>3510</v>
      </c>
      <c r="AY106" s="44">
        <f>2876-46</f>
        <v>2830</v>
      </c>
      <c r="AZ106" s="44">
        <v>3264</v>
      </c>
      <c r="BA106" s="44">
        <v>3225</v>
      </c>
      <c r="BB106" s="44">
        <v>5345</v>
      </c>
      <c r="BC106" s="44">
        <v>4375</v>
      </c>
      <c r="BD106" s="44">
        <v>4727</v>
      </c>
      <c r="BE106" s="44">
        <v>4615</v>
      </c>
      <c r="BF106" s="44">
        <v>5743</v>
      </c>
      <c r="BG106" s="44">
        <v>4501</v>
      </c>
      <c r="BH106" s="44">
        <v>4950</v>
      </c>
      <c r="BI106" s="44">
        <v>4560</v>
      </c>
      <c r="BJ106" s="65">
        <v>5347</v>
      </c>
      <c r="BK106" s="65">
        <v>4111</v>
      </c>
      <c r="BL106" s="44">
        <v>3937</v>
      </c>
      <c r="BM106" s="44">
        <v>3729</v>
      </c>
      <c r="BN106" s="44">
        <v>4658</v>
      </c>
      <c r="BO106" s="44">
        <v>3494</v>
      </c>
      <c r="BP106" s="44">
        <v>3550</v>
      </c>
      <c r="BQ106" s="44">
        <v>3351</v>
      </c>
      <c r="BR106" s="44">
        <v>4093</v>
      </c>
      <c r="BS106" s="44">
        <v>3020</v>
      </c>
      <c r="BT106" s="44">
        <v>3486</v>
      </c>
      <c r="BU106" s="44">
        <f t="shared" ref="BU106:BU107" si="237">+BQ106*0.95</f>
        <v>3183.45</v>
      </c>
      <c r="BV106" s="44">
        <f t="shared" ref="BV106:BV107" si="238">+BR106*0.95</f>
        <v>3888.35</v>
      </c>
      <c r="BW106" s="44"/>
      <c r="BX106" s="44"/>
      <c r="BY106" s="44"/>
      <c r="BZ106" s="44"/>
      <c r="CA106" s="44"/>
      <c r="CB106" s="44"/>
      <c r="CC106" s="44"/>
      <c r="CD106" s="44"/>
      <c r="CE106" s="44"/>
      <c r="CF106" s="44"/>
      <c r="CG106" s="44"/>
      <c r="CH106" s="44"/>
      <c r="CI106" s="44"/>
      <c r="CJ106" s="44"/>
      <c r="CK106" s="44">
        <v>3471</v>
      </c>
      <c r="CL106" s="44">
        <v>3968</v>
      </c>
      <c r="CM106" s="115">
        <v>3311</v>
      </c>
      <c r="CN106" s="115">
        <v>3464</v>
      </c>
      <c r="CO106" s="115">
        <v>3196</v>
      </c>
      <c r="CP106" s="115">
        <v>4070</v>
      </c>
      <c r="CQ106" s="115">
        <v>2745</v>
      </c>
      <c r="CR106" s="115">
        <v>2808</v>
      </c>
      <c r="CS106" s="115">
        <v>2658</v>
      </c>
      <c r="CT106" s="115">
        <v>3580</v>
      </c>
      <c r="CU106" s="115">
        <v>2643</v>
      </c>
      <c r="CV106" s="115">
        <v>2778</v>
      </c>
      <c r="CW106" s="115">
        <v>2719</v>
      </c>
      <c r="CX106" s="115">
        <v>3941</v>
      </c>
      <c r="CY106" s="115">
        <v>2496</v>
      </c>
      <c r="CZ106" s="115">
        <v>2900</v>
      </c>
      <c r="DA106" s="115">
        <v>3239</v>
      </c>
      <c r="DB106" s="115">
        <v>4414</v>
      </c>
      <c r="DC106" s="115">
        <f>+CY106*1.05</f>
        <v>2620.8000000000002</v>
      </c>
      <c r="DD106" s="115">
        <f t="shared" ref="DD106:DF106" si="239">+CZ106*1.05</f>
        <v>3045</v>
      </c>
      <c r="DE106" s="115">
        <f t="shared" si="239"/>
        <v>3400.9500000000003</v>
      </c>
      <c r="DF106" s="115">
        <f t="shared" si="239"/>
        <v>4634.7</v>
      </c>
      <c r="DG106" s="44"/>
      <c r="DH106" s="44"/>
      <c r="DL106" s="44"/>
      <c r="DM106" s="44">
        <v>3184</v>
      </c>
      <c r="DN106" s="44">
        <v>3855</v>
      </c>
      <c r="DO106" s="44">
        <v>4366</v>
      </c>
      <c r="DP106" s="44">
        <v>4956</v>
      </c>
      <c r="DQ106" s="44">
        <v>5568</v>
      </c>
      <c r="DR106" s="44">
        <v>10810</v>
      </c>
      <c r="DS106" s="44">
        <v>11442</v>
      </c>
      <c r="DT106" s="44">
        <v>9717</v>
      </c>
      <c r="DU106" s="44">
        <v>10829</v>
      </c>
      <c r="DV106" s="44">
        <v>15107</v>
      </c>
      <c r="DW106" s="44">
        <v>15304</v>
      </c>
      <c r="DX106" s="44">
        <v>15313</v>
      </c>
      <c r="DY106" s="44">
        <v>15589</v>
      </c>
      <c r="DZ106" s="44">
        <f>SUM(AQ106:AT106)</f>
        <v>15247</v>
      </c>
      <c r="EA106" s="44">
        <f>SUM(AU106:AX106)</f>
        <v>14044</v>
      </c>
      <c r="EB106" s="44">
        <f>SUM(AY106:BB106)</f>
        <v>14664</v>
      </c>
      <c r="EC106" s="44">
        <f>SUM(BC106:BF106)</f>
        <v>19460</v>
      </c>
      <c r="ED106" s="44">
        <f>SUM(BG106:BJ106)</f>
        <v>19358</v>
      </c>
      <c r="EE106" s="44">
        <f>SUM(BK106:BN106)</f>
        <v>16435</v>
      </c>
      <c r="EF106" s="44">
        <f>SUM(BO106:BR106)</f>
        <v>14488</v>
      </c>
      <c r="EM106" s="44">
        <f>SUM(CQ106:CT106)</f>
        <v>11791</v>
      </c>
      <c r="EN106" s="44">
        <f t="shared" ref="EN106:EN109" si="240">SUM(CU106:CX106)</f>
        <v>12081</v>
      </c>
      <c r="EO106" s="44">
        <f>SUM(CY106:DB106)</f>
        <v>13049</v>
      </c>
      <c r="EP106" s="44">
        <f>SUM(DC106:DF106)</f>
        <v>13701.45</v>
      </c>
      <c r="EQ106" s="44">
        <f>+EP106*0.9</f>
        <v>12331.305</v>
      </c>
      <c r="ER106" s="44">
        <f t="shared" ref="ER106:EW106" si="241">+EQ106*0.9</f>
        <v>11098.174500000001</v>
      </c>
      <c r="ES106" s="44">
        <f t="shared" si="241"/>
        <v>9988.3570500000005</v>
      </c>
      <c r="ET106" s="44">
        <f t="shared" si="241"/>
        <v>8989.521345000001</v>
      </c>
      <c r="EU106" s="44">
        <f t="shared" si="241"/>
        <v>8090.5692105000007</v>
      </c>
      <c r="EV106" s="44">
        <f t="shared" si="241"/>
        <v>7281.5122894500009</v>
      </c>
      <c r="EW106" s="44">
        <f t="shared" si="241"/>
        <v>6553.3610605050008</v>
      </c>
    </row>
    <row r="107" spans="2:168">
      <c r="B107" s="4" t="s">
        <v>797</v>
      </c>
      <c r="C107" s="68"/>
      <c r="D107" s="68"/>
      <c r="E107" s="68"/>
      <c r="F107" s="68"/>
      <c r="G107" s="68"/>
      <c r="H107" s="68"/>
      <c r="I107" s="68"/>
      <c r="J107" s="68"/>
      <c r="K107" s="68"/>
      <c r="L107" s="68"/>
      <c r="M107" s="68"/>
      <c r="N107" s="68"/>
      <c r="O107" s="68"/>
      <c r="P107" s="68"/>
      <c r="Q107" s="68"/>
      <c r="R107" s="68"/>
      <c r="S107" s="68"/>
      <c r="T107" s="68">
        <v>1116</v>
      </c>
      <c r="W107" s="68">
        <v>1181</v>
      </c>
      <c r="X107" s="68">
        <v>1257</v>
      </c>
      <c r="Y107" s="68">
        <v>1263</v>
      </c>
      <c r="Z107" s="68">
        <v>1511</v>
      </c>
      <c r="AA107" s="68">
        <v>1218</v>
      </c>
      <c r="AB107" s="68">
        <v>1713</v>
      </c>
      <c r="AC107" s="68">
        <v>1869</v>
      </c>
      <c r="AD107" s="68">
        <v>2407</v>
      </c>
      <c r="AE107" s="68">
        <f>1649</f>
        <v>1649</v>
      </c>
      <c r="AF107" s="68">
        <f>1806</f>
        <v>1806</v>
      </c>
      <c r="AG107" s="68">
        <v>1888</v>
      </c>
      <c r="AH107" s="68">
        <v>2328</v>
      </c>
      <c r="AI107" s="68">
        <v>1764</v>
      </c>
      <c r="AK107" s="68">
        <v>1783</v>
      </c>
      <c r="AL107" s="68">
        <v>2020</v>
      </c>
      <c r="AM107" s="68">
        <v>1543</v>
      </c>
      <c r="AN107" s="68">
        <v>1702</v>
      </c>
      <c r="AO107" s="68">
        <v>1902</v>
      </c>
      <c r="AP107" s="68">
        <v>2412</v>
      </c>
      <c r="AQ107" s="44">
        <f>1665-31</f>
        <v>1634</v>
      </c>
      <c r="AR107" s="44">
        <f>2165-200-131</f>
        <v>1834</v>
      </c>
      <c r="AS107" s="44">
        <v>1730</v>
      </c>
      <c r="AT107" s="44">
        <v>2160</v>
      </c>
      <c r="AU107" s="44">
        <v>1638</v>
      </c>
      <c r="AV107" s="44">
        <v>1869</v>
      </c>
      <c r="AW107" s="44">
        <v>1769</v>
      </c>
      <c r="AX107" s="44">
        <v>2212</v>
      </c>
      <c r="AY107" s="44">
        <f>1705-33</f>
        <v>1672</v>
      </c>
      <c r="AZ107" s="44">
        <v>1656</v>
      </c>
      <c r="BA107" s="44">
        <v>1619</v>
      </c>
      <c r="BB107" s="44">
        <v>2799</v>
      </c>
      <c r="BC107" s="44">
        <v>2196</v>
      </c>
      <c r="BD107" s="44">
        <v>2182</v>
      </c>
      <c r="BE107" s="44">
        <v>2160</v>
      </c>
      <c r="BF107" s="44">
        <v>2800</v>
      </c>
      <c r="BG107" s="44">
        <v>2017</v>
      </c>
      <c r="BH107" s="44">
        <v>2059</v>
      </c>
      <c r="BI107" s="44">
        <v>2034</v>
      </c>
      <c r="BJ107" s="65">
        <v>2327</v>
      </c>
      <c r="BK107" s="65">
        <v>1755</v>
      </c>
      <c r="BL107" s="44">
        <v>1664</v>
      </c>
      <c r="BM107" s="44">
        <v>1935</v>
      </c>
      <c r="BN107" s="44">
        <v>2000</v>
      </c>
      <c r="BO107" s="44">
        <v>1708</v>
      </c>
      <c r="BP107" s="44">
        <v>1521</v>
      </c>
      <c r="BQ107" s="44">
        <v>1625</v>
      </c>
      <c r="BR107" s="44">
        <v>1790</v>
      </c>
      <c r="BS107" s="44">
        <v>1612</v>
      </c>
      <c r="BT107" s="44">
        <v>1714</v>
      </c>
      <c r="BU107" s="44">
        <f t="shared" si="237"/>
        <v>1543.75</v>
      </c>
      <c r="BV107" s="44">
        <f t="shared" si="238"/>
        <v>1700.5</v>
      </c>
      <c r="BW107" s="44"/>
      <c r="BX107" s="44"/>
      <c r="BY107" s="44"/>
      <c r="BZ107" s="44"/>
      <c r="CA107" s="44"/>
      <c r="CB107" s="44"/>
      <c r="CC107" s="44"/>
      <c r="CD107" s="44"/>
      <c r="CE107" s="44"/>
      <c r="CF107" s="44"/>
      <c r="CG107" s="44"/>
      <c r="CH107" s="44"/>
      <c r="CI107" s="44"/>
      <c r="CJ107" s="44"/>
      <c r="CK107" s="44">
        <v>1998</v>
      </c>
      <c r="CL107" s="44">
        <v>2436</v>
      </c>
      <c r="CM107" s="115">
        <v>1693</v>
      </c>
      <c r="CN107" s="115">
        <v>1825</v>
      </c>
      <c r="CO107" s="115">
        <v>1940</v>
      </c>
      <c r="CP107" s="115">
        <v>2530</v>
      </c>
      <c r="CQ107" s="115">
        <v>1727</v>
      </c>
      <c r="CR107" s="115">
        <v>1895</v>
      </c>
      <c r="CS107" s="115">
        <v>2300</v>
      </c>
      <c r="CT107" s="115">
        <v>3068</v>
      </c>
      <c r="CU107" s="115">
        <v>1992</v>
      </c>
      <c r="CV107" s="115">
        <v>2237</v>
      </c>
      <c r="CW107" s="115">
        <v>2681</v>
      </c>
      <c r="CX107" s="115">
        <v>3503</v>
      </c>
      <c r="CY107" s="115">
        <v>2295</v>
      </c>
      <c r="CZ107" s="115">
        <v>2811</v>
      </c>
      <c r="DA107" s="115">
        <v>2696</v>
      </c>
      <c r="DB107" s="115">
        <v>3615</v>
      </c>
      <c r="DC107" s="115">
        <f t="shared" ref="DC107" si="242">+CY107*1.05</f>
        <v>2409.75</v>
      </c>
      <c r="DD107" s="115">
        <f t="shared" ref="DD107" si="243">+CZ107*1.05</f>
        <v>2951.55</v>
      </c>
      <c r="DE107" s="115">
        <f t="shared" ref="DE107" si="244">+DA107*1.05</f>
        <v>2830.8</v>
      </c>
      <c r="DF107" s="115">
        <f t="shared" ref="DF107" si="245">+DB107*1.05</f>
        <v>3795.75</v>
      </c>
      <c r="DG107" s="44"/>
      <c r="DH107" s="44"/>
      <c r="DL107" s="44"/>
      <c r="DM107" s="44">
        <v>1126</v>
      </c>
      <c r="DN107" s="44">
        <v>1442</v>
      </c>
      <c r="DO107" s="44">
        <v>1684</v>
      </c>
      <c r="DP107" s="44">
        <v>1928</v>
      </c>
      <c r="DQ107" s="44">
        <v>2279</v>
      </c>
      <c r="DR107" s="44">
        <v>4036</v>
      </c>
      <c r="DS107" s="44">
        <v>4435</v>
      </c>
      <c r="DT107" s="44">
        <v>4896</v>
      </c>
      <c r="DU107" s="44">
        <v>5153</v>
      </c>
      <c r="DV107" s="44">
        <v>7279</v>
      </c>
      <c r="DW107" s="44">
        <v>7513</v>
      </c>
      <c r="DX107" s="44">
        <v>7256</v>
      </c>
      <c r="DY107" s="44">
        <v>7599</v>
      </c>
      <c r="DZ107" s="44">
        <f>SUM(AQ107:AT107)</f>
        <v>7358</v>
      </c>
      <c r="EA107" s="44">
        <f>SUM(AU107:AX107)</f>
        <v>7488</v>
      </c>
      <c r="EB107" s="44">
        <f>SUM(AY107:BB107)</f>
        <v>7746</v>
      </c>
      <c r="EC107" s="44">
        <f>SUM(BC107:BF107)</f>
        <v>9338</v>
      </c>
      <c r="ED107" s="44">
        <v>8250</v>
      </c>
      <c r="EE107" s="44">
        <f>SUM(BK107:BN107)</f>
        <v>7354</v>
      </c>
      <c r="EM107" s="44">
        <f>SUM(CQ107:CT107)</f>
        <v>8990</v>
      </c>
      <c r="EN107" s="44">
        <f t="shared" si="240"/>
        <v>10413</v>
      </c>
      <c r="EO107" s="44">
        <f>SUM(CY107:DB107)</f>
        <v>11417</v>
      </c>
      <c r="EP107" s="44">
        <f>SUM(DC107:DF107)</f>
        <v>11987.85</v>
      </c>
      <c r="EQ107" s="44">
        <f t="shared" ref="EQ107" si="246">+EP107*0.9</f>
        <v>10789.065000000001</v>
      </c>
    </row>
    <row r="108" spans="2:168">
      <c r="B108" s="4" t="s">
        <v>798</v>
      </c>
      <c r="C108" s="68"/>
      <c r="D108" s="68"/>
      <c r="E108" s="68"/>
      <c r="F108" s="68"/>
      <c r="G108" s="68"/>
      <c r="H108" s="68"/>
      <c r="I108" s="68"/>
      <c r="J108" s="68"/>
      <c r="K108" s="68"/>
      <c r="L108" s="68"/>
      <c r="M108" s="68"/>
      <c r="N108" s="68"/>
      <c r="O108" s="68"/>
      <c r="P108" s="68"/>
      <c r="Q108" s="68"/>
      <c r="R108" s="68"/>
      <c r="S108" s="68"/>
      <c r="T108" s="68">
        <f>T105-T106-T107</f>
        <v>-372</v>
      </c>
      <c r="W108" s="68">
        <f t="shared" ref="W108:AI108" si="247">W105-W106-W107</f>
        <v>2678</v>
      </c>
      <c r="X108" s="68">
        <f t="shared" si="247"/>
        <v>1586</v>
      </c>
      <c r="Y108" s="68">
        <f t="shared" si="247"/>
        <v>2213</v>
      </c>
      <c r="Z108" s="68">
        <f t="shared" si="247"/>
        <v>3154</v>
      </c>
      <c r="AA108" s="68">
        <f t="shared" si="247"/>
        <v>3263.7999999999993</v>
      </c>
      <c r="AB108" s="68">
        <f t="shared" si="247"/>
        <v>329.89999999999964</v>
      </c>
      <c r="AC108" s="68">
        <f t="shared" si="247"/>
        <v>1543.5</v>
      </c>
      <c r="AD108" s="68">
        <f t="shared" si="247"/>
        <v>1425.3999999999996</v>
      </c>
      <c r="AE108" s="68">
        <f t="shared" si="247"/>
        <v>2296.3999999999996</v>
      </c>
      <c r="AF108" s="68">
        <f t="shared" si="247"/>
        <v>1568.1000000000004</v>
      </c>
      <c r="AG108" s="68">
        <f t="shared" si="247"/>
        <v>2356.7999999999993</v>
      </c>
      <c r="AH108" s="68">
        <f t="shared" si="247"/>
        <v>4188.2999999999993</v>
      </c>
      <c r="AI108" s="68">
        <f t="shared" si="247"/>
        <v>4503.1000000000004</v>
      </c>
      <c r="AJ108" s="44"/>
      <c r="AK108" s="44">
        <f t="shared" ref="AK108:BV108" si="248">AK105-AK106-AK107</f>
        <v>4960.1000000000004</v>
      </c>
      <c r="AL108" s="44">
        <f t="shared" si="248"/>
        <v>4871.7999999999993</v>
      </c>
      <c r="AM108" s="44">
        <f t="shared" si="248"/>
        <v>6482.6</v>
      </c>
      <c r="AN108" s="44">
        <f t="shared" si="248"/>
        <v>5025.2000000000007</v>
      </c>
      <c r="AO108" s="44">
        <f t="shared" si="248"/>
        <v>5174.7999999999993</v>
      </c>
      <c r="AP108" s="44">
        <f t="shared" si="248"/>
        <v>3913.7000000000007</v>
      </c>
      <c r="AQ108" s="44">
        <f t="shared" si="248"/>
        <v>5735</v>
      </c>
      <c r="AR108" s="44">
        <f t="shared" si="248"/>
        <v>3591</v>
      </c>
      <c r="AS108" s="44">
        <f t="shared" si="248"/>
        <v>4772</v>
      </c>
      <c r="AT108" s="44">
        <f t="shared" si="248"/>
        <v>4032</v>
      </c>
      <c r="AU108" s="44">
        <f t="shared" si="248"/>
        <v>5654.8029999999999</v>
      </c>
      <c r="AV108" s="44">
        <f t="shared" si="248"/>
        <v>5164.6540000000005</v>
      </c>
      <c r="AW108" s="44">
        <f t="shared" si="248"/>
        <v>5201</v>
      </c>
      <c r="AX108" s="44">
        <f t="shared" si="248"/>
        <v>5145</v>
      </c>
      <c r="AY108" s="44">
        <f t="shared" si="248"/>
        <v>5783.65</v>
      </c>
      <c r="AZ108" s="44">
        <f t="shared" si="248"/>
        <v>5143.6149999999998</v>
      </c>
      <c r="BA108" s="44">
        <f t="shared" si="248"/>
        <v>4972</v>
      </c>
      <c r="BB108" s="44">
        <f t="shared" si="248"/>
        <v>5490</v>
      </c>
      <c r="BC108" s="44">
        <f t="shared" si="248"/>
        <v>7607</v>
      </c>
      <c r="BD108" s="44">
        <f t="shared" si="248"/>
        <v>7747</v>
      </c>
      <c r="BE108" s="44">
        <f t="shared" si="248"/>
        <v>6995</v>
      </c>
      <c r="BF108" s="44">
        <f t="shared" si="248"/>
        <v>5972</v>
      </c>
      <c r="BG108" s="44">
        <f t="shared" si="248"/>
        <v>6955</v>
      </c>
      <c r="BH108" s="44">
        <f t="shared" si="248"/>
        <v>7485</v>
      </c>
      <c r="BI108" s="44">
        <f t="shared" si="248"/>
        <v>7323</v>
      </c>
      <c r="BJ108" s="65">
        <f t="shared" si="248"/>
        <v>5710</v>
      </c>
      <c r="BK108" s="65">
        <f t="shared" si="248"/>
        <v>6678</v>
      </c>
      <c r="BL108" s="65">
        <f t="shared" si="248"/>
        <v>6791</v>
      </c>
      <c r="BM108" s="65">
        <f t="shared" si="248"/>
        <v>5747</v>
      </c>
      <c r="BN108" s="65">
        <f t="shared" si="248"/>
        <v>5481</v>
      </c>
      <c r="BO108" s="65">
        <f t="shared" si="248"/>
        <v>5683</v>
      </c>
      <c r="BP108" s="65">
        <f t="shared" si="248"/>
        <v>5708</v>
      </c>
      <c r="BQ108" s="65">
        <f t="shared" si="248"/>
        <v>5422</v>
      </c>
      <c r="BR108" s="65">
        <f t="shared" si="248"/>
        <v>4938</v>
      </c>
      <c r="BS108" s="65">
        <f t="shared" si="248"/>
        <v>4678</v>
      </c>
      <c r="BT108" s="65">
        <f t="shared" si="248"/>
        <v>5182</v>
      </c>
      <c r="BU108" s="65">
        <f t="shared" si="248"/>
        <v>4699.4960000000001</v>
      </c>
      <c r="BV108" s="65">
        <f t="shared" si="248"/>
        <v>4604.2780000000002</v>
      </c>
      <c r="BW108" s="65"/>
      <c r="BX108" s="65"/>
      <c r="BY108" s="65"/>
      <c r="BZ108" s="65"/>
      <c r="CA108" s="65"/>
      <c r="CB108" s="65"/>
      <c r="CC108" s="65"/>
      <c r="CD108" s="65"/>
      <c r="CE108" s="65"/>
      <c r="CF108" s="65"/>
      <c r="CG108" s="65"/>
      <c r="CH108" s="65"/>
      <c r="CI108" s="65"/>
      <c r="CJ108" s="65"/>
      <c r="CK108" s="115">
        <f t="shared" ref="CK108:CS108" si="249">CK105-CK106-CK107</f>
        <v>5155</v>
      </c>
      <c r="CL108" s="115">
        <f t="shared" si="249"/>
        <v>4564</v>
      </c>
      <c r="CM108" s="115">
        <f t="shared" si="249"/>
        <v>5662</v>
      </c>
      <c r="CN108" s="115">
        <f t="shared" si="249"/>
        <v>5118</v>
      </c>
      <c r="CO108" s="115">
        <f t="shared" si="249"/>
        <v>5087</v>
      </c>
      <c r="CP108" s="115">
        <f t="shared" si="249"/>
        <v>3534</v>
      </c>
      <c r="CQ108" s="115">
        <f t="shared" si="249"/>
        <v>5211</v>
      </c>
      <c r="CR108" s="115">
        <f t="shared" si="249"/>
        <v>4860</v>
      </c>
      <c r="CS108" s="115">
        <f t="shared" si="249"/>
        <v>3312</v>
      </c>
      <c r="CT108" s="115">
        <f t="shared" ref="CT108:DB108" si="250">CT105-CT106-CT107</f>
        <v>2139</v>
      </c>
      <c r="CU108" s="115">
        <f t="shared" si="250"/>
        <v>5753.5999999999985</v>
      </c>
      <c r="CV108" s="115">
        <f t="shared" si="250"/>
        <v>6935</v>
      </c>
      <c r="CW108" s="115">
        <f t="shared" si="250"/>
        <v>8792</v>
      </c>
      <c r="CX108" s="115">
        <f t="shared" si="250"/>
        <v>6682</v>
      </c>
      <c r="CY108" s="115">
        <f t="shared" si="250"/>
        <v>10912.399999999998</v>
      </c>
      <c r="CZ108" s="115">
        <f t="shared" si="250"/>
        <v>13405.80000000001</v>
      </c>
      <c r="DA108" s="115">
        <f t="shared" si="250"/>
        <v>10664.800000000003</v>
      </c>
      <c r="DB108" s="115">
        <f t="shared" si="250"/>
        <v>6783</v>
      </c>
      <c r="DC108" s="115">
        <f t="shared" ref="DC108:DF108" si="251">DC105-DC106-DC107</f>
        <v>7691.0490000000027</v>
      </c>
      <c r="DD108" s="115">
        <f t="shared" si="251"/>
        <v>6010.2534000000023</v>
      </c>
      <c r="DE108" s="115">
        <f t="shared" si="251"/>
        <v>5200.3738399999993</v>
      </c>
      <c r="DF108" s="115">
        <f t="shared" si="251"/>
        <v>2704.8627260000021</v>
      </c>
      <c r="DG108" s="65"/>
      <c r="DH108" s="65"/>
      <c r="DL108" s="44"/>
      <c r="DM108" s="44">
        <f t="shared" ref="DM108:EE108" si="252">DM105-DM106-DM107</f>
        <v>1945</v>
      </c>
      <c r="DN108" s="44">
        <f t="shared" si="252"/>
        <v>2560</v>
      </c>
      <c r="DO108" s="44">
        <f t="shared" si="252"/>
        <v>3080</v>
      </c>
      <c r="DP108" s="44">
        <f t="shared" si="252"/>
        <v>3346</v>
      </c>
      <c r="DQ108" s="44">
        <f t="shared" si="252"/>
        <v>3603</v>
      </c>
      <c r="DR108" s="44">
        <f t="shared" si="252"/>
        <v>7066.0936936936923</v>
      </c>
      <c r="DS108" s="44">
        <f t="shared" si="252"/>
        <v>8790</v>
      </c>
      <c r="DT108" s="44">
        <f t="shared" si="252"/>
        <v>8157</v>
      </c>
      <c r="DU108" s="44">
        <f t="shared" si="252"/>
        <v>2258</v>
      </c>
      <c r="DV108" s="44">
        <f t="shared" si="252"/>
        <v>1004</v>
      </c>
      <c r="DW108" s="44">
        <f t="shared" si="252"/>
        <v>6053</v>
      </c>
      <c r="DX108" s="44">
        <f t="shared" si="252"/>
        <v>4568</v>
      </c>
      <c r="DY108" s="44">
        <f t="shared" si="252"/>
        <v>5616</v>
      </c>
      <c r="DZ108" s="44">
        <f t="shared" si="252"/>
        <v>4170.5360000000001</v>
      </c>
      <c r="EA108" s="44">
        <f t="shared" si="252"/>
        <v>22267.264999999999</v>
      </c>
      <c r="EB108" s="44">
        <f t="shared" si="252"/>
        <v>21389.264999999999</v>
      </c>
      <c r="EC108" s="68">
        <f t="shared" si="252"/>
        <v>28321</v>
      </c>
      <c r="ED108" s="68">
        <f t="shared" si="252"/>
        <v>27660</v>
      </c>
      <c r="EE108" s="68">
        <f t="shared" si="252"/>
        <v>24697</v>
      </c>
      <c r="EH108" s="68"/>
      <c r="EM108" s="68">
        <f>+EM105-EM106-EM107</f>
        <v>15522</v>
      </c>
      <c r="EN108" s="68">
        <f>+EN105-EN106-EN107</f>
        <v>28162.600000000006</v>
      </c>
      <c r="EO108" s="68">
        <f>+EO105-EO106-EO107</f>
        <v>41481.999999999985</v>
      </c>
      <c r="EP108" s="68">
        <f t="shared" ref="EP108" si="253">+EP105-EP106-EP107</f>
        <v>21606.538966000015</v>
      </c>
      <c r="EQ108" s="68">
        <f t="shared" ref="EQ108" si="254">+EQ105-EQ106-EQ107</f>
        <v>14243.924632499986</v>
      </c>
      <c r="ER108" s="68">
        <f t="shared" ref="ER108" si="255">+ER105-ER106-ER107</f>
        <v>23395.67022912002</v>
      </c>
      <c r="ES108" s="68">
        <f t="shared" ref="ES108" si="256">+ES105-ES106-ES107</f>
        <v>20498.387139022503</v>
      </c>
      <c r="ET108" s="68">
        <f t="shared" ref="ET108" si="257">+ET105-ET106-ET107</f>
        <v>18640.905611576865</v>
      </c>
      <c r="EU108" s="68">
        <f t="shared" ref="EU108" si="258">+EU105-EU106-EU107</f>
        <v>17671.831307008761</v>
      </c>
      <c r="EV108" s="68">
        <f t="shared" ref="EV108" si="259">+EV105-EV106-EV107</f>
        <v>12155.542733241418</v>
      </c>
      <c r="EW108" s="68">
        <f t="shared" ref="EW108" si="260">+EW105-EW106-EW107</f>
        <v>11307.580341876423</v>
      </c>
      <c r="EX108" s="68"/>
      <c r="EY108" s="68"/>
      <c r="EZ108" s="68"/>
      <c r="FA108" s="68"/>
      <c r="FB108" s="68"/>
      <c r="FC108" s="68"/>
      <c r="FD108" s="68"/>
      <c r="FE108" s="68"/>
      <c r="FF108" s="68"/>
      <c r="FH108" s="87">
        <f>SUM(FH1:FH107)</f>
        <v>32743.599999999999</v>
      </c>
      <c r="FI108" s="45">
        <f>SUM(FI1:FI107)</f>
        <v>18475.907370000001</v>
      </c>
      <c r="FJ108" s="88">
        <f>SUM(FJ1:FJ107)</f>
        <v>15149.6515337</v>
      </c>
    </row>
    <row r="109" spans="2:168">
      <c r="B109" s="4" t="s">
        <v>799</v>
      </c>
      <c r="T109" s="37">
        <v>0</v>
      </c>
      <c r="AP109" s="62"/>
      <c r="BK109" s="69">
        <v>-313</v>
      </c>
      <c r="BL109" s="44">
        <v>-144</v>
      </c>
      <c r="BM109" s="44">
        <v>-186</v>
      </c>
      <c r="BN109" s="44">
        <v>-181</v>
      </c>
      <c r="BO109" s="44">
        <f>-264-43</f>
        <v>-307</v>
      </c>
      <c r="BP109" s="44">
        <f>-99-43</f>
        <v>-142</v>
      </c>
      <c r="BQ109" s="44">
        <v>-42</v>
      </c>
      <c r="BR109" s="44">
        <v>201</v>
      </c>
      <c r="BS109" s="44">
        <f>92-321+248</f>
        <v>19</v>
      </c>
      <c r="BT109" s="44">
        <v>95</v>
      </c>
      <c r="BU109" s="44"/>
      <c r="BV109" s="44"/>
      <c r="BW109" s="44"/>
      <c r="BX109" s="44"/>
      <c r="BY109" s="44"/>
      <c r="BZ109" s="44"/>
      <c r="CA109" s="44"/>
      <c r="CB109" s="44"/>
      <c r="CC109" s="44"/>
      <c r="CD109" s="44"/>
      <c r="CE109" s="44"/>
      <c r="CF109" s="44"/>
      <c r="CG109" s="44"/>
      <c r="CH109" s="44"/>
      <c r="CI109" s="44"/>
      <c r="CJ109" s="44"/>
      <c r="CK109" s="44">
        <v>217</v>
      </c>
      <c r="CL109" s="44">
        <v>-15</v>
      </c>
      <c r="CM109" s="115">
        <v>135</v>
      </c>
      <c r="CN109" s="115">
        <v>100</v>
      </c>
      <c r="CO109" s="115">
        <v>-32</v>
      </c>
      <c r="CP109" s="115">
        <v>97</v>
      </c>
      <c r="CQ109" s="115">
        <v>186</v>
      </c>
      <c r="CR109" s="115">
        <v>361</v>
      </c>
      <c r="CS109" s="115">
        <v>1878</v>
      </c>
      <c r="CT109" s="115">
        <v>-102</v>
      </c>
      <c r="CU109" s="115">
        <f>-336+176+62</f>
        <v>-98</v>
      </c>
      <c r="CV109" s="115">
        <f>-303+212+140</f>
        <v>49</v>
      </c>
      <c r="CW109" s="115">
        <v>1696</v>
      </c>
      <c r="CX109" s="115">
        <v>728</v>
      </c>
      <c r="CY109" s="115">
        <f>-308+173+184</f>
        <v>49</v>
      </c>
      <c r="CZ109" s="115">
        <f>-46+149</f>
        <v>103</v>
      </c>
      <c r="DA109" s="115">
        <v>515</v>
      </c>
      <c r="DB109" s="115">
        <v>656</v>
      </c>
      <c r="DC109" s="115">
        <v>350</v>
      </c>
      <c r="DD109" s="115">
        <v>350</v>
      </c>
      <c r="DE109" s="115">
        <v>350</v>
      </c>
      <c r="DF109" s="115">
        <v>350</v>
      </c>
      <c r="DG109" s="44"/>
      <c r="DH109" s="44"/>
      <c r="DM109" s="37">
        <v>-123</v>
      </c>
      <c r="DN109" s="37">
        <v>-158</v>
      </c>
      <c r="DO109" s="37">
        <v>-135</v>
      </c>
      <c r="DP109" s="37">
        <v>-156</v>
      </c>
      <c r="DQ109" s="37">
        <v>-185</v>
      </c>
      <c r="DR109" s="37">
        <v>-427</v>
      </c>
      <c r="DS109" s="37">
        <v>-558</v>
      </c>
      <c r="DT109" s="37">
        <v>-539</v>
      </c>
      <c r="DU109" s="37">
        <v>-382</v>
      </c>
      <c r="DV109" s="37">
        <v>-346</v>
      </c>
      <c r="DW109" s="37">
        <v>-299</v>
      </c>
      <c r="DX109" s="37">
        <v>-300</v>
      </c>
      <c r="DY109" s="44">
        <v>904</v>
      </c>
      <c r="DZ109" s="44">
        <f>SUM(AQ111:AT111)</f>
        <v>1538</v>
      </c>
      <c r="EA109" s="44">
        <f>SUM(AU109:AX109)</f>
        <v>0</v>
      </c>
      <c r="EE109" s="44">
        <f>SUM(BK109:BN109)</f>
        <v>-824</v>
      </c>
      <c r="EM109" s="44">
        <f>SUM(CQ109:CT109)</f>
        <v>2323</v>
      </c>
      <c r="EN109" s="44">
        <f t="shared" si="240"/>
        <v>2375</v>
      </c>
      <c r="EO109" s="44">
        <f>SUM(CY109:DB109)</f>
        <v>1323</v>
      </c>
      <c r="EP109" s="44">
        <f>SUM(DC109:DF109)</f>
        <v>1400</v>
      </c>
      <c r="EQ109" s="44">
        <f>+EP109*0.9</f>
        <v>1260</v>
      </c>
      <c r="ER109" s="44">
        <f t="shared" ref="ER109:EW109" si="261">+EQ109*0.9</f>
        <v>1134</v>
      </c>
      <c r="ES109" s="44">
        <f t="shared" si="261"/>
        <v>1020.6</v>
      </c>
      <c r="ET109" s="44">
        <f t="shared" si="261"/>
        <v>918.54000000000008</v>
      </c>
      <c r="EU109" s="44">
        <f t="shared" si="261"/>
        <v>826.68600000000004</v>
      </c>
      <c r="EV109" s="44">
        <f t="shared" si="261"/>
        <v>744.01740000000007</v>
      </c>
      <c r="EW109" s="44">
        <f t="shared" si="261"/>
        <v>669.61566000000005</v>
      </c>
    </row>
    <row r="110" spans="2:168">
      <c r="B110" s="4" t="s">
        <v>800</v>
      </c>
      <c r="T110" s="37">
        <v>0</v>
      </c>
      <c r="AP110" s="62"/>
      <c r="CM110" s="113"/>
      <c r="DM110" s="37">
        <v>127</v>
      </c>
      <c r="DN110" s="37">
        <v>192</v>
      </c>
      <c r="DO110" s="37">
        <v>165</v>
      </c>
      <c r="DP110" s="37">
        <v>147</v>
      </c>
      <c r="DQ110" s="37">
        <v>136</v>
      </c>
      <c r="DR110" s="37">
        <v>363</v>
      </c>
      <c r="DS110" s="37">
        <v>386</v>
      </c>
      <c r="DT110" s="37">
        <v>266</v>
      </c>
      <c r="DU110" s="37">
        <v>251</v>
      </c>
      <c r="DV110" s="37">
        <v>270</v>
      </c>
      <c r="DW110" s="37">
        <v>299</v>
      </c>
      <c r="DX110" s="37">
        <v>263</v>
      </c>
      <c r="DY110" s="44">
        <v>0</v>
      </c>
      <c r="DZ110" s="44">
        <v>0</v>
      </c>
      <c r="EA110" s="44">
        <v>0</v>
      </c>
      <c r="FL110" s="14"/>
    </row>
    <row r="111" spans="2:168">
      <c r="B111" s="4" t="s">
        <v>801</v>
      </c>
      <c r="T111" s="37">
        <f>-13-9</f>
        <v>-22</v>
      </c>
      <c r="AK111" s="37">
        <v>163</v>
      </c>
      <c r="AL111" s="37">
        <v>323</v>
      </c>
      <c r="AM111" s="37">
        <f>221-4</f>
        <v>217</v>
      </c>
      <c r="AN111" s="37">
        <f>363-3</f>
        <v>360</v>
      </c>
      <c r="AO111" s="37">
        <v>343</v>
      </c>
      <c r="AP111" s="62">
        <v>54</v>
      </c>
      <c r="AQ111" s="37">
        <v>402</v>
      </c>
      <c r="AR111" s="37">
        <f>487-63</f>
        <v>424</v>
      </c>
      <c r="AS111" s="37">
        <v>319</v>
      </c>
      <c r="AT111" s="37">
        <v>393</v>
      </c>
      <c r="AU111" s="37">
        <v>333</v>
      </c>
      <c r="AV111" s="37">
        <v>190</v>
      </c>
      <c r="AW111" s="37">
        <v>220</v>
      </c>
      <c r="AX111" s="37">
        <v>643</v>
      </c>
      <c r="AY111" s="37">
        <v>57</v>
      </c>
      <c r="AZ111" s="37">
        <v>192</v>
      </c>
      <c r="BA111" s="37">
        <v>142</v>
      </c>
      <c r="BB111" s="37">
        <v>-110</v>
      </c>
      <c r="BC111" s="37">
        <v>-210</v>
      </c>
      <c r="BD111" s="37">
        <v>-157</v>
      </c>
      <c r="BE111" s="37">
        <v>-131</v>
      </c>
      <c r="BF111" s="37">
        <v>-107</v>
      </c>
      <c r="BG111" s="37">
        <v>-178</v>
      </c>
      <c r="BH111" s="37">
        <v>-13</v>
      </c>
      <c r="BI111" s="37">
        <v>-246</v>
      </c>
      <c r="BJ111" s="69">
        <v>-105</v>
      </c>
      <c r="CM111" s="113"/>
      <c r="DM111" s="37">
        <v>97</v>
      </c>
      <c r="DN111" s="37">
        <v>181</v>
      </c>
      <c r="DO111" s="37">
        <v>177</v>
      </c>
      <c r="DP111" s="37">
        <v>171</v>
      </c>
      <c r="DQ111" s="37">
        <v>1029</v>
      </c>
      <c r="DR111" s="37">
        <v>59</v>
      </c>
      <c r="DS111" s="37">
        <v>-137</v>
      </c>
      <c r="DT111" s="37">
        <v>-155</v>
      </c>
      <c r="DU111" s="37">
        <v>-84</v>
      </c>
      <c r="DV111" s="37">
        <v>-517</v>
      </c>
      <c r="DW111" s="37">
        <v>-198</v>
      </c>
      <c r="DX111" s="37">
        <v>-400</v>
      </c>
      <c r="DY111" s="44">
        <v>0</v>
      </c>
      <c r="DZ111" s="44">
        <v>0</v>
      </c>
      <c r="EA111" s="44">
        <f>SUM(AU111:AX111)</f>
        <v>1386</v>
      </c>
      <c r="EB111" s="44">
        <f>SUM(AY111:BB111)</f>
        <v>281</v>
      </c>
      <c r="EC111" s="44">
        <f>SUM(BC111:BF111)</f>
        <v>-605</v>
      </c>
      <c r="ED111" s="44">
        <f>EC111</f>
        <v>-605</v>
      </c>
    </row>
    <row r="112" spans="2:168">
      <c r="B112" s="4" t="s">
        <v>802</v>
      </c>
      <c r="C112" s="44"/>
      <c r="D112" s="44"/>
      <c r="E112" s="44"/>
      <c r="F112" s="44"/>
      <c r="G112" s="44"/>
      <c r="H112" s="44"/>
      <c r="I112" s="44"/>
      <c r="J112" s="44"/>
      <c r="K112" s="44"/>
      <c r="L112" s="44"/>
      <c r="M112" s="44"/>
      <c r="N112" s="44"/>
      <c r="O112" s="44"/>
      <c r="P112" s="44"/>
      <c r="Q112" s="44"/>
      <c r="R112" s="44"/>
      <c r="S112" s="44"/>
      <c r="T112" s="44">
        <f>T108+T109-T110+T111</f>
        <v>-394</v>
      </c>
      <c r="AE112" s="44"/>
      <c r="AF112" s="44"/>
      <c r="AG112" s="44"/>
      <c r="AH112" s="44"/>
      <c r="AK112" s="44">
        <f t="shared" ref="AK112:AL112" si="262">AK108+AK111</f>
        <v>5123.1000000000004</v>
      </c>
      <c r="AL112" s="44">
        <f t="shared" si="262"/>
        <v>5194.7999999999993</v>
      </c>
      <c r="AM112" s="44">
        <f t="shared" ref="AM112:AT112" si="263">AM108+AM111</f>
        <v>6699.6</v>
      </c>
      <c r="AN112" s="44">
        <f t="shared" si="263"/>
        <v>5385.2000000000007</v>
      </c>
      <c r="AO112" s="44">
        <f t="shared" si="263"/>
        <v>5517.7999999999993</v>
      </c>
      <c r="AP112" s="68">
        <f t="shared" si="263"/>
        <v>3967.7000000000007</v>
      </c>
      <c r="AQ112" s="68">
        <f t="shared" si="263"/>
        <v>6137</v>
      </c>
      <c r="AR112" s="68">
        <f t="shared" si="263"/>
        <v>4015</v>
      </c>
      <c r="AS112" s="68">
        <f t="shared" si="263"/>
        <v>5091</v>
      </c>
      <c r="AT112" s="68">
        <f t="shared" si="263"/>
        <v>4425</v>
      </c>
      <c r="AU112" s="68">
        <f t="shared" ref="AU112:BB112" si="264">AU108+AU111</f>
        <v>5987.8029999999999</v>
      </c>
      <c r="AV112" s="68">
        <f t="shared" si="264"/>
        <v>5354.6540000000005</v>
      </c>
      <c r="AW112" s="68">
        <f t="shared" si="264"/>
        <v>5421</v>
      </c>
      <c r="AX112" s="68">
        <f t="shared" si="264"/>
        <v>5788</v>
      </c>
      <c r="AY112" s="68">
        <f t="shared" si="264"/>
        <v>5840.65</v>
      </c>
      <c r="AZ112" s="68">
        <f t="shared" si="264"/>
        <v>5335.6149999999998</v>
      </c>
      <c r="BA112" s="68">
        <f t="shared" si="264"/>
        <v>5114</v>
      </c>
      <c r="BB112" s="68">
        <f t="shared" si="264"/>
        <v>5380</v>
      </c>
      <c r="BC112" s="68">
        <f>BC108+BC111</f>
        <v>7397</v>
      </c>
      <c r="BD112" s="68">
        <f>BD108+BD111</f>
        <v>7590</v>
      </c>
      <c r="BE112" s="68">
        <f>BE108+BE111</f>
        <v>6864</v>
      </c>
      <c r="BF112" s="68">
        <f>BF108+BF111</f>
        <v>5865</v>
      </c>
      <c r="BG112" s="68">
        <f>BG108+BG111</f>
        <v>6777</v>
      </c>
      <c r="BH112" s="68">
        <f>BH111+BH108</f>
        <v>7472</v>
      </c>
      <c r="BI112" s="68">
        <f t="shared" ref="BI112:BJ112" si="265">BI111+BI108</f>
        <v>7077</v>
      </c>
      <c r="BJ112" s="70">
        <f t="shared" si="265"/>
        <v>5605</v>
      </c>
      <c r="BK112" s="68">
        <f>BK108+BK109</f>
        <v>6365</v>
      </c>
      <c r="BL112" s="68">
        <f t="shared" ref="BL112:BR112" si="266">BL108+BL109</f>
        <v>6647</v>
      </c>
      <c r="BM112" s="68">
        <f t="shared" si="266"/>
        <v>5561</v>
      </c>
      <c r="BN112" s="68">
        <f t="shared" si="266"/>
        <v>5300</v>
      </c>
      <c r="BO112" s="68">
        <f t="shared" si="266"/>
        <v>5376</v>
      </c>
      <c r="BP112" s="68">
        <f t="shared" si="266"/>
        <v>5566</v>
      </c>
      <c r="BQ112" s="68">
        <f t="shared" si="266"/>
        <v>5380</v>
      </c>
      <c r="BR112" s="68">
        <f t="shared" si="266"/>
        <v>5139</v>
      </c>
      <c r="BS112" s="68">
        <f t="shared" ref="BS112:BV112" si="267">BS108+BS109</f>
        <v>4697</v>
      </c>
      <c r="BT112" s="68">
        <f t="shared" si="267"/>
        <v>5277</v>
      </c>
      <c r="BU112" s="68">
        <f t="shared" si="267"/>
        <v>4699.4960000000001</v>
      </c>
      <c r="BV112" s="68">
        <f t="shared" si="267"/>
        <v>4604.2780000000002</v>
      </c>
      <c r="BW112" s="68"/>
      <c r="BX112" s="68"/>
      <c r="BY112" s="68"/>
      <c r="BZ112" s="68"/>
      <c r="CA112" s="68"/>
      <c r="CB112" s="68"/>
      <c r="CC112" s="68"/>
      <c r="CD112" s="68"/>
      <c r="CE112" s="68"/>
      <c r="CF112" s="68"/>
      <c r="CG112" s="68"/>
      <c r="CH112" s="68"/>
      <c r="CI112" s="68"/>
      <c r="CJ112" s="68"/>
      <c r="CK112" s="122">
        <f t="shared" ref="CK112" si="268">CK108+CK109</f>
        <v>5372</v>
      </c>
      <c r="CL112" s="122">
        <f t="shared" ref="CL112:CN112" si="269">CL108+CL109</f>
        <v>4549</v>
      </c>
      <c r="CM112" s="122">
        <f t="shared" si="269"/>
        <v>5797</v>
      </c>
      <c r="CN112" s="122">
        <f t="shared" si="269"/>
        <v>5218</v>
      </c>
      <c r="CO112" s="122">
        <f t="shared" ref="CO112:CQ112" si="270">CO108+CO109</f>
        <v>5055</v>
      </c>
      <c r="CP112" s="122">
        <f t="shared" si="270"/>
        <v>3631</v>
      </c>
      <c r="CQ112" s="122">
        <f t="shared" si="270"/>
        <v>5397</v>
      </c>
      <c r="CR112" s="122">
        <f t="shared" ref="CR112:CT112" si="271">CR108+CR109</f>
        <v>5221</v>
      </c>
      <c r="CS112" s="122">
        <f t="shared" si="271"/>
        <v>5190</v>
      </c>
      <c r="CT112" s="122">
        <f t="shared" si="271"/>
        <v>2037</v>
      </c>
      <c r="CU112" s="122">
        <f t="shared" ref="CU112:DA112" si="272">CU108+CU109</f>
        <v>5655.5999999999985</v>
      </c>
      <c r="CV112" s="122">
        <f t="shared" si="272"/>
        <v>6984</v>
      </c>
      <c r="CW112" s="122">
        <f t="shared" si="272"/>
        <v>10488</v>
      </c>
      <c r="CX112" s="122">
        <f t="shared" si="272"/>
        <v>7410</v>
      </c>
      <c r="CY112" s="122">
        <f t="shared" si="272"/>
        <v>10961.399999999998</v>
      </c>
      <c r="CZ112" s="122">
        <f t="shared" si="272"/>
        <v>13508.80000000001</v>
      </c>
      <c r="DA112" s="122">
        <f t="shared" si="272"/>
        <v>11179.800000000003</v>
      </c>
      <c r="DB112" s="122">
        <f t="shared" ref="DB112:DF112" si="273">DB108+DB109</f>
        <v>7439</v>
      </c>
      <c r="DC112" s="122">
        <f t="shared" si="273"/>
        <v>8041.0490000000027</v>
      </c>
      <c r="DD112" s="122">
        <f t="shared" si="273"/>
        <v>6360.2534000000023</v>
      </c>
      <c r="DE112" s="122">
        <f t="shared" si="273"/>
        <v>5550.3738399999993</v>
      </c>
      <c r="DF112" s="122">
        <f t="shared" si="273"/>
        <v>3054.8627260000021</v>
      </c>
      <c r="DG112" s="68"/>
      <c r="DH112" s="68"/>
      <c r="DL112" s="44"/>
      <c r="DM112" s="44">
        <f>DM108+DM109-DM110+DM111</f>
        <v>1792</v>
      </c>
      <c r="DN112" s="44">
        <f t="shared" ref="DN112:DU112" si="274">DN108+DN109-DN110+DN111</f>
        <v>2391</v>
      </c>
      <c r="DO112" s="44">
        <f t="shared" si="274"/>
        <v>2957</v>
      </c>
      <c r="DP112" s="44">
        <f t="shared" si="274"/>
        <v>3214</v>
      </c>
      <c r="DQ112" s="44">
        <f t="shared" si="274"/>
        <v>4311</v>
      </c>
      <c r="DR112" s="44">
        <f t="shared" si="274"/>
        <v>6335.0936936936923</v>
      </c>
      <c r="DS112" s="44">
        <f t="shared" si="274"/>
        <v>7709</v>
      </c>
      <c r="DT112" s="44">
        <f t="shared" si="274"/>
        <v>7197</v>
      </c>
      <c r="DU112" s="44">
        <f t="shared" si="274"/>
        <v>1541</v>
      </c>
      <c r="DV112" s="44">
        <f>DV108+DV109-DV110+DV111</f>
        <v>-129</v>
      </c>
      <c r="DW112" s="44">
        <f>DW108+DW109-DW110+DW111</f>
        <v>5257</v>
      </c>
      <c r="DX112" s="44">
        <f>DX108+DX109-DX110+DX111</f>
        <v>3605</v>
      </c>
      <c r="DY112" s="44">
        <f>DY108+DY109-DY110+DY111</f>
        <v>6520</v>
      </c>
      <c r="DZ112" s="44">
        <f t="shared" ref="DZ112:ED112" si="275">DZ108+DZ109-DZ110+DZ111</f>
        <v>5708.5360000000001</v>
      </c>
      <c r="EA112" s="44">
        <f>EA108+EA109-EA110+EA111</f>
        <v>23653.264999999999</v>
      </c>
      <c r="EB112" s="44">
        <f>EB108+EB109-EB110+EB111</f>
        <v>21670.264999999999</v>
      </c>
      <c r="EC112" s="44">
        <f t="shared" si="275"/>
        <v>27716</v>
      </c>
      <c r="ED112" s="44">
        <f t="shared" si="275"/>
        <v>27055</v>
      </c>
      <c r="EE112" s="44">
        <f>EE108+EE109-EE110+EE111</f>
        <v>23873</v>
      </c>
      <c r="EM112" s="44">
        <f>+EM108+EM109</f>
        <v>17845</v>
      </c>
      <c r="EN112" s="44">
        <f>+EN108+EN109</f>
        <v>30537.600000000006</v>
      </c>
      <c r="EO112" s="44">
        <f>+EO108+EO109</f>
        <v>42804.999999999985</v>
      </c>
      <c r="EP112" s="44">
        <f>+EP108+EP109</f>
        <v>23006.538966000015</v>
      </c>
      <c r="EQ112" s="44">
        <f t="shared" ref="EQ112:EW112" si="276">+EQ108+EQ109</f>
        <v>15503.924632499986</v>
      </c>
      <c r="ER112" s="44">
        <f t="shared" si="276"/>
        <v>24529.67022912002</v>
      </c>
      <c r="ES112" s="44">
        <f t="shared" si="276"/>
        <v>21518.987139022502</v>
      </c>
      <c r="ET112" s="44">
        <f t="shared" si="276"/>
        <v>19559.445611576866</v>
      </c>
      <c r="EU112" s="44">
        <f t="shared" si="276"/>
        <v>18498.517307008762</v>
      </c>
      <c r="EV112" s="44">
        <f t="shared" si="276"/>
        <v>12899.560133241419</v>
      </c>
      <c r="EW112" s="44">
        <f t="shared" si="276"/>
        <v>11977.196001876422</v>
      </c>
    </row>
    <row r="113" spans="2:204">
      <c r="B113" s="4" t="s">
        <v>803</v>
      </c>
      <c r="T113" s="37">
        <v>590</v>
      </c>
      <c r="AE113" s="44"/>
      <c r="AF113" s="44"/>
      <c r="AG113" s="44"/>
      <c r="AH113" s="44"/>
      <c r="AK113" s="44">
        <f>591+4</f>
        <v>595</v>
      </c>
      <c r="AL113" s="44">
        <f>610+7</f>
        <v>617</v>
      </c>
      <c r="AM113" s="44">
        <v>262</v>
      </c>
      <c r="AN113" s="44">
        <v>1217</v>
      </c>
      <c r="AO113" s="44">
        <v>717</v>
      </c>
      <c r="AP113" s="68">
        <f>AP112*0.217</f>
        <v>860.99090000000012</v>
      </c>
      <c r="AQ113" s="68">
        <f>689+261+4-9+377</f>
        <v>1322</v>
      </c>
      <c r="AR113" s="68">
        <f>272+992</f>
        <v>1264</v>
      </c>
      <c r="AS113" s="68">
        <v>1099</v>
      </c>
      <c r="AT113" s="68">
        <f>798+36</f>
        <v>834</v>
      </c>
      <c r="AU113" s="68">
        <v>1156</v>
      </c>
      <c r="AV113" s="68">
        <f>925+6</f>
        <v>931</v>
      </c>
      <c r="AW113" s="68">
        <f>1199+6</f>
        <v>1205</v>
      </c>
      <c r="AX113" s="68">
        <f>1349+5</f>
        <v>1354</v>
      </c>
      <c r="AY113" s="68">
        <v>1551</v>
      </c>
      <c r="AZ113" s="68">
        <f>1271+5</f>
        <v>1276</v>
      </c>
      <c r="BA113" s="68">
        <f>1616+3</f>
        <v>1619</v>
      </c>
      <c r="BB113" s="68">
        <v>1508</v>
      </c>
      <c r="BC113" s="68">
        <f>2110+9</f>
        <v>2119</v>
      </c>
      <c r="BD113" s="68">
        <v>2301</v>
      </c>
      <c r="BE113" s="68">
        <f>1892+5</f>
        <v>1897</v>
      </c>
      <c r="BF113" s="68">
        <v>1326</v>
      </c>
      <c r="BG113" s="68">
        <f>1866+12</f>
        <v>1878</v>
      </c>
      <c r="BH113" s="68">
        <f>1937+8</f>
        <v>1945</v>
      </c>
      <c r="BI113" s="68">
        <v>2160</v>
      </c>
      <c r="BJ113" s="70">
        <v>1678</v>
      </c>
      <c r="BK113" s="70">
        <v>1821</v>
      </c>
      <c r="BL113" s="68">
        <v>1903</v>
      </c>
      <c r="BM113" s="68">
        <v>1564</v>
      </c>
      <c r="BN113" s="68">
        <v>1579</v>
      </c>
      <c r="BO113" s="68">
        <f>1446+19</f>
        <v>1465</v>
      </c>
      <c r="BP113" s="68">
        <f>1553+10</f>
        <v>1563</v>
      </c>
      <c r="BQ113" s="68">
        <f>1473+11+9</f>
        <v>1493</v>
      </c>
      <c r="BR113" s="68">
        <f>1411+5+57</f>
        <v>1473</v>
      </c>
      <c r="BS113" s="68">
        <v>1227</v>
      </c>
      <c r="BT113" s="68">
        <v>1459</v>
      </c>
      <c r="BU113" s="68">
        <f t="shared" ref="BU113:BV113" si="277">+BU112*0.27</f>
        <v>1268.86392</v>
      </c>
      <c r="BV113" s="68">
        <f t="shared" si="277"/>
        <v>1243.15506</v>
      </c>
      <c r="BW113" s="68"/>
      <c r="BX113" s="68"/>
      <c r="BY113" s="68"/>
      <c r="BZ113" s="68"/>
      <c r="CA113" s="68"/>
      <c r="CB113" s="68"/>
      <c r="CC113" s="68"/>
      <c r="CD113" s="68"/>
      <c r="CE113" s="68"/>
      <c r="CF113" s="68"/>
      <c r="CG113" s="68"/>
      <c r="CH113" s="68"/>
      <c r="CI113" s="68"/>
      <c r="CJ113" s="68"/>
      <c r="CK113" s="68">
        <f>712+8</f>
        <v>720</v>
      </c>
      <c r="CL113" s="68">
        <v>683</v>
      </c>
      <c r="CM113" s="122">
        <f>875+6</f>
        <v>881</v>
      </c>
      <c r="CN113" s="122">
        <f>923+10</f>
        <v>933</v>
      </c>
      <c r="CO113" s="122">
        <f>763+4</f>
        <v>767</v>
      </c>
      <c r="CP113" s="122">
        <f>398+10</f>
        <v>408</v>
      </c>
      <c r="CQ113" s="122">
        <f>799+9</f>
        <v>808</v>
      </c>
      <c r="CR113" s="122">
        <f>741+8</f>
        <v>749</v>
      </c>
      <c r="CS113" s="122">
        <v>347</v>
      </c>
      <c r="CT113" s="122">
        <v>-80</v>
      </c>
      <c r="CU113" s="122">
        <v>1001</v>
      </c>
      <c r="CV113" s="122">
        <v>1285</v>
      </c>
      <c r="CW113" s="122">
        <f>331+1587</f>
        <v>1918</v>
      </c>
      <c r="CX113" s="122">
        <v>804</v>
      </c>
      <c r="CY113" s="122">
        <v>1975</v>
      </c>
      <c r="CZ113" s="122">
        <v>2120</v>
      </c>
      <c r="DA113" s="122">
        <f>356+109</f>
        <v>465</v>
      </c>
      <c r="DB113" s="122">
        <f>230+8-2+576</f>
        <v>812</v>
      </c>
      <c r="DC113" s="122">
        <f t="shared" ref="DC113:DF113" si="278">+DC112*0.15</f>
        <v>1206.1573500000004</v>
      </c>
      <c r="DD113" s="122">
        <f t="shared" si="278"/>
        <v>954.03801000000033</v>
      </c>
      <c r="DE113" s="122">
        <f t="shared" si="278"/>
        <v>832.55607599999985</v>
      </c>
      <c r="DF113" s="122">
        <f t="shared" si="278"/>
        <v>458.22940890000029</v>
      </c>
      <c r="DG113" s="68"/>
      <c r="DH113" s="68"/>
      <c r="DL113" s="44"/>
      <c r="DM113" s="44">
        <v>549</v>
      </c>
      <c r="DN113" s="44">
        <v>738</v>
      </c>
      <c r="DO113" s="44">
        <v>869</v>
      </c>
      <c r="DP113" s="44">
        <v>865</v>
      </c>
      <c r="DQ113" s="44">
        <v>642</v>
      </c>
      <c r="DR113" s="44">
        <v>1968</v>
      </c>
      <c r="DS113" s="44">
        <v>2049</v>
      </c>
      <c r="DT113" s="44">
        <v>2433</v>
      </c>
      <c r="DU113" s="44">
        <v>2842</v>
      </c>
      <c r="DV113" s="44">
        <v>3524</v>
      </c>
      <c r="DW113" s="44">
        <v>4489</v>
      </c>
      <c r="DX113" s="44">
        <v>4400</v>
      </c>
      <c r="DY113" s="44">
        <v>4229</v>
      </c>
      <c r="DZ113" s="44">
        <f>DZ112*DZ122</f>
        <v>1198.7925599999999</v>
      </c>
      <c r="EA113" s="44">
        <f>SUM(AU113:AX113)</f>
        <v>4646</v>
      </c>
      <c r="EB113" s="44">
        <f>SUM(AY113:BB113)</f>
        <v>5954</v>
      </c>
      <c r="EC113" s="44">
        <f>SUM(BC113:BF113)</f>
        <v>7643</v>
      </c>
      <c r="ED113" s="44">
        <f t="shared" ref="ED113:EE113" si="279">ED112*ED122</f>
        <v>7845.95</v>
      </c>
      <c r="EE113" s="44">
        <f t="shared" si="279"/>
        <v>6923.1699999999992</v>
      </c>
      <c r="EM113" s="44">
        <f>SUM(CQ113:CT113)</f>
        <v>1824</v>
      </c>
      <c r="EN113" s="44">
        <f t="shared" ref="EN113" si="280">SUM(CU113:CX113)</f>
        <v>5008</v>
      </c>
      <c r="EO113" s="44">
        <f>SUM(CY113:DB113)</f>
        <v>5372</v>
      </c>
      <c r="EP113" s="44">
        <f>SUM(DC113:DF113)</f>
        <v>3450.9808449000006</v>
      </c>
      <c r="EQ113" s="44">
        <f>+EQ112*0.15</f>
        <v>2325.5886948749976</v>
      </c>
      <c r="ER113" s="44">
        <f t="shared" ref="ER113:EW113" si="281">+ER112*0.15</f>
        <v>3679.450534368003</v>
      </c>
      <c r="ES113" s="44">
        <f t="shared" si="281"/>
        <v>3227.8480708533752</v>
      </c>
      <c r="ET113" s="44">
        <f t="shared" si="281"/>
        <v>2933.9168417365299</v>
      </c>
      <c r="EU113" s="44">
        <f t="shared" si="281"/>
        <v>2774.777596051314</v>
      </c>
      <c r="EV113" s="44">
        <f t="shared" si="281"/>
        <v>1934.9340199862127</v>
      </c>
      <c r="EW113" s="44">
        <f t="shared" si="281"/>
        <v>1796.5794002814632</v>
      </c>
      <c r="FH113" s="44"/>
      <c r="FJ113" s="44"/>
    </row>
    <row r="114" spans="2:204">
      <c r="B114" s="4" t="s">
        <v>804</v>
      </c>
      <c r="S114" s="44"/>
      <c r="T114" s="44">
        <f>T112-T113</f>
        <v>-984</v>
      </c>
      <c r="AE114" s="44">
        <f>AE112-AE113</f>
        <v>0</v>
      </c>
      <c r="AF114" s="44">
        <f>AF112-AF113</f>
        <v>0</v>
      </c>
      <c r="AG114" s="44">
        <f>AG112-AG113</f>
        <v>0</v>
      </c>
      <c r="AH114" s="44">
        <f>AH112-AH113</f>
        <v>0</v>
      </c>
      <c r="AI114" s="44">
        <f>AQ112-AQ113</f>
        <v>4815</v>
      </c>
      <c r="AJ114" s="44"/>
      <c r="AK114" s="44">
        <f t="shared" ref="AK114:AL114" si="282">AK112-AK113</f>
        <v>4528.1000000000004</v>
      </c>
      <c r="AL114" s="44">
        <f t="shared" si="282"/>
        <v>4577.7999999999993</v>
      </c>
      <c r="AM114" s="44">
        <f t="shared" ref="AM114:AT114" si="283">AM112-AM113</f>
        <v>6437.6</v>
      </c>
      <c r="AN114" s="44">
        <f t="shared" si="283"/>
        <v>4168.2000000000007</v>
      </c>
      <c r="AO114" s="44">
        <f t="shared" si="283"/>
        <v>4800.7999999999993</v>
      </c>
      <c r="AP114" s="44">
        <f t="shared" si="283"/>
        <v>3106.7091000000005</v>
      </c>
      <c r="AQ114" s="44">
        <f t="shared" si="283"/>
        <v>4815</v>
      </c>
      <c r="AR114" s="44">
        <f t="shared" si="283"/>
        <v>2751</v>
      </c>
      <c r="AS114" s="44">
        <f t="shared" si="283"/>
        <v>3992</v>
      </c>
      <c r="AT114" s="44">
        <f t="shared" si="283"/>
        <v>3591</v>
      </c>
      <c r="AU114" s="44">
        <f t="shared" ref="AU114:BB114" si="284">AU112-AU113</f>
        <v>4831.8029999999999</v>
      </c>
      <c r="AV114" s="44">
        <f t="shared" si="284"/>
        <v>4423.6540000000005</v>
      </c>
      <c r="AW114" s="44">
        <f t="shared" si="284"/>
        <v>4216</v>
      </c>
      <c r="AX114" s="44">
        <f t="shared" si="284"/>
        <v>4434</v>
      </c>
      <c r="AY114" s="44">
        <f t="shared" si="284"/>
        <v>4289.6499999999996</v>
      </c>
      <c r="AZ114" s="44">
        <f t="shared" si="284"/>
        <v>4059.6149999999998</v>
      </c>
      <c r="BA114" s="44">
        <f t="shared" si="284"/>
        <v>3495</v>
      </c>
      <c r="BB114" s="44">
        <f t="shared" si="284"/>
        <v>3872</v>
      </c>
      <c r="BC114" s="44">
        <f t="shared" ref="BC114:BJ114" si="285">BC112-BC113</f>
        <v>5278</v>
      </c>
      <c r="BD114" s="44">
        <f t="shared" si="285"/>
        <v>5289</v>
      </c>
      <c r="BE114" s="44">
        <f t="shared" si="285"/>
        <v>4967</v>
      </c>
      <c r="BF114" s="44">
        <f t="shared" si="285"/>
        <v>4539</v>
      </c>
      <c r="BG114" s="44">
        <f t="shared" si="285"/>
        <v>4899</v>
      </c>
      <c r="BH114" s="44">
        <f t="shared" si="285"/>
        <v>5527</v>
      </c>
      <c r="BI114" s="44">
        <f t="shared" si="285"/>
        <v>4917</v>
      </c>
      <c r="BJ114" s="65">
        <f t="shared" si="285"/>
        <v>3927</v>
      </c>
      <c r="BK114" s="65">
        <f>BK112-BK113</f>
        <v>4544</v>
      </c>
      <c r="BL114" s="65">
        <f t="shared" ref="BL114:BN114" si="286">BL112-BL113</f>
        <v>4744</v>
      </c>
      <c r="BM114" s="65">
        <f t="shared" si="286"/>
        <v>3997</v>
      </c>
      <c r="BN114" s="65">
        <f t="shared" si="286"/>
        <v>3721</v>
      </c>
      <c r="BO114" s="65">
        <f t="shared" ref="BO114:BR114" si="287">BO112-BO113</f>
        <v>3911</v>
      </c>
      <c r="BP114" s="65">
        <f t="shared" si="287"/>
        <v>4003</v>
      </c>
      <c r="BQ114" s="65">
        <f t="shared" si="287"/>
        <v>3887</v>
      </c>
      <c r="BR114" s="65">
        <f t="shared" si="287"/>
        <v>3666</v>
      </c>
      <c r="BS114" s="65">
        <f t="shared" ref="BS114:BV114" si="288">BS112-BS113</f>
        <v>3470</v>
      </c>
      <c r="BT114" s="65">
        <f t="shared" si="288"/>
        <v>3818</v>
      </c>
      <c r="BU114" s="65">
        <f t="shared" si="288"/>
        <v>3430.6320800000003</v>
      </c>
      <c r="BV114" s="65">
        <f t="shared" si="288"/>
        <v>3361.1229400000002</v>
      </c>
      <c r="BW114" s="65"/>
      <c r="BX114" s="65"/>
      <c r="BY114" s="65"/>
      <c r="BZ114" s="65"/>
      <c r="CA114" s="65"/>
      <c r="CB114" s="65"/>
      <c r="CC114" s="65"/>
      <c r="CD114" s="65"/>
      <c r="CE114" s="65"/>
      <c r="CF114" s="65"/>
      <c r="CG114" s="65"/>
      <c r="CH114" s="65"/>
      <c r="CI114" s="65"/>
      <c r="CJ114" s="65"/>
      <c r="CK114" s="65">
        <f>+CK112-CK113</f>
        <v>4652</v>
      </c>
      <c r="CL114" s="65">
        <f>+CL112-CL113</f>
        <v>3866</v>
      </c>
      <c r="CM114" s="115">
        <f t="shared" ref="CM114:CN114" si="289">CM112-CM113</f>
        <v>4916</v>
      </c>
      <c r="CN114" s="115">
        <f t="shared" si="289"/>
        <v>4285</v>
      </c>
      <c r="CO114" s="115">
        <f>+CO112-CO113</f>
        <v>4288</v>
      </c>
      <c r="CP114" s="115">
        <f>+CP112-CP113</f>
        <v>3223</v>
      </c>
      <c r="CQ114" s="115">
        <f t="shared" ref="CQ114" si="290">CQ112-CQ113</f>
        <v>4589</v>
      </c>
      <c r="CR114" s="115">
        <f t="shared" ref="CR114:CT114" si="291">CR112-CR113</f>
        <v>4472</v>
      </c>
      <c r="CS114" s="115">
        <f t="shared" si="291"/>
        <v>4843</v>
      </c>
      <c r="CT114" s="115">
        <f t="shared" si="291"/>
        <v>2117</v>
      </c>
      <c r="CU114" s="115">
        <f>CU112-CU113</f>
        <v>4654.5999999999985</v>
      </c>
      <c r="CV114" s="115">
        <f>CV112-CV113</f>
        <v>5699</v>
      </c>
      <c r="CW114" s="115">
        <f>+CW112-CW113</f>
        <v>8570</v>
      </c>
      <c r="CX114" s="115">
        <f>CX112-CX113</f>
        <v>6606</v>
      </c>
      <c r="CY114" s="115">
        <f>CY112-CY113</f>
        <v>8986.3999999999978</v>
      </c>
      <c r="CZ114" s="115">
        <f>CZ112-CZ113</f>
        <v>11388.80000000001</v>
      </c>
      <c r="DA114" s="115">
        <f>DA112-DA113</f>
        <v>10714.800000000003</v>
      </c>
      <c r="DB114" s="115">
        <f t="shared" ref="DB114:DF114" si="292">DB112-DB113</f>
        <v>6627</v>
      </c>
      <c r="DC114" s="115">
        <f t="shared" si="292"/>
        <v>6834.8916500000023</v>
      </c>
      <c r="DD114" s="115">
        <f t="shared" si="292"/>
        <v>5406.2153900000021</v>
      </c>
      <c r="DE114" s="115">
        <f t="shared" si="292"/>
        <v>4717.8177639999994</v>
      </c>
      <c r="DF114" s="115">
        <f t="shared" si="292"/>
        <v>2596.6333171000019</v>
      </c>
      <c r="DG114" s="65"/>
      <c r="DH114" s="65"/>
      <c r="DL114" s="44"/>
      <c r="DM114" s="44">
        <f t="shared" ref="DM114:ED114" si="293">DM112-DM113</f>
        <v>1243</v>
      </c>
      <c r="DN114" s="44">
        <f t="shared" si="293"/>
        <v>1653</v>
      </c>
      <c r="DO114" s="44">
        <f t="shared" si="293"/>
        <v>2088</v>
      </c>
      <c r="DP114" s="44">
        <f t="shared" si="293"/>
        <v>2349</v>
      </c>
      <c r="DQ114" s="44">
        <f t="shared" si="293"/>
        <v>3669</v>
      </c>
      <c r="DR114" s="44">
        <f t="shared" si="293"/>
        <v>4367.0936936936923</v>
      </c>
      <c r="DS114" s="44">
        <f t="shared" si="293"/>
        <v>5660</v>
      </c>
      <c r="DT114" s="44">
        <f t="shared" si="293"/>
        <v>4764</v>
      </c>
      <c r="DU114" s="44">
        <f t="shared" si="293"/>
        <v>-1301</v>
      </c>
      <c r="DV114" s="44">
        <f t="shared" si="293"/>
        <v>-3653</v>
      </c>
      <c r="DW114" s="44">
        <f t="shared" si="293"/>
        <v>768</v>
      </c>
      <c r="DX114" s="44">
        <f t="shared" si="293"/>
        <v>-795</v>
      </c>
      <c r="DY114" s="44">
        <f t="shared" si="293"/>
        <v>2291</v>
      </c>
      <c r="DZ114" s="44">
        <f t="shared" si="293"/>
        <v>4509.7434400000002</v>
      </c>
      <c r="EA114" s="44">
        <f>EA112-EA113</f>
        <v>19007.264999999999</v>
      </c>
      <c r="EB114" s="44">
        <f>EB112-EB113</f>
        <v>15716.264999999999</v>
      </c>
      <c r="EC114" s="44">
        <f t="shared" si="293"/>
        <v>20073</v>
      </c>
      <c r="ED114" s="44">
        <f t="shared" si="293"/>
        <v>19209.05</v>
      </c>
      <c r="EE114" s="44">
        <f>EE112-EE113</f>
        <v>16949.830000000002</v>
      </c>
      <c r="EM114" s="44">
        <f>+EM112-EM113</f>
        <v>16021</v>
      </c>
      <c r="EN114" s="44">
        <f>+EN112-EN113</f>
        <v>25529.600000000006</v>
      </c>
      <c r="EO114" s="44">
        <f>+EO112-EO113</f>
        <v>37432.999999999985</v>
      </c>
      <c r="EP114" s="44">
        <f>+EP112-EP113</f>
        <v>19555.558121100014</v>
      </c>
      <c r="EQ114" s="44">
        <f t="shared" ref="EQ114:EW114" si="294">+EQ112-EQ113</f>
        <v>13178.335937624988</v>
      </c>
      <c r="ER114" s="44">
        <f t="shared" si="294"/>
        <v>20850.219694752017</v>
      </c>
      <c r="ES114" s="44">
        <f t="shared" si="294"/>
        <v>18291.139068169126</v>
      </c>
      <c r="ET114" s="44">
        <f t="shared" si="294"/>
        <v>16625.528769840337</v>
      </c>
      <c r="EU114" s="44">
        <f t="shared" si="294"/>
        <v>15723.739710957449</v>
      </c>
      <c r="EV114" s="44">
        <f t="shared" si="294"/>
        <v>10964.626113255206</v>
      </c>
      <c r="EW114" s="44">
        <f t="shared" si="294"/>
        <v>10180.616601594958</v>
      </c>
      <c r="EX114" s="19"/>
      <c r="EY114" s="19"/>
      <c r="EZ114" s="19"/>
      <c r="FA114" s="19"/>
      <c r="FB114" s="19"/>
      <c r="FC114" s="19"/>
      <c r="FD114" s="19"/>
      <c r="FE114" s="19">
        <f>EN114*(1+$FI$138)</f>
        <v>25019.008000000005</v>
      </c>
      <c r="FF114" s="19">
        <f t="shared" ref="FF114:GV114" si="295">FE114*(1+$FI$138)</f>
        <v>24518.627840000005</v>
      </c>
      <c r="FG114" s="19">
        <f t="shared" si="295"/>
        <v>24028.255283200004</v>
      </c>
      <c r="FH114" s="19">
        <f t="shared" si="295"/>
        <v>23547.690177536002</v>
      </c>
      <c r="FI114" s="19">
        <f t="shared" si="295"/>
        <v>23076.736373985281</v>
      </c>
      <c r="FJ114" s="19">
        <f t="shared" si="295"/>
        <v>22615.201646505575</v>
      </c>
      <c r="FK114" s="19">
        <f t="shared" si="295"/>
        <v>22162.897613575464</v>
      </c>
      <c r="FL114" s="19">
        <f t="shared" si="295"/>
        <v>21719.639661303954</v>
      </c>
      <c r="FM114" s="19">
        <f t="shared" si="295"/>
        <v>21285.246868077873</v>
      </c>
      <c r="FN114" s="19">
        <f t="shared" si="295"/>
        <v>20859.541930716314</v>
      </c>
      <c r="FO114" s="19">
        <f t="shared" si="295"/>
        <v>20442.351092101988</v>
      </c>
      <c r="FP114" s="19">
        <f t="shared" si="295"/>
        <v>20033.504070259947</v>
      </c>
      <c r="FQ114" s="19">
        <f t="shared" si="295"/>
        <v>19632.833988854749</v>
      </c>
      <c r="FR114" s="19">
        <f t="shared" si="295"/>
        <v>19240.177309077655</v>
      </c>
      <c r="FS114" s="19">
        <f t="shared" si="295"/>
        <v>18855.373762896103</v>
      </c>
      <c r="FT114" s="19">
        <f t="shared" si="295"/>
        <v>18478.26628763818</v>
      </c>
      <c r="FU114" s="19">
        <f t="shared" si="295"/>
        <v>18108.700961885417</v>
      </c>
      <c r="FV114" s="19">
        <f t="shared" si="295"/>
        <v>17746.52694264771</v>
      </c>
      <c r="FW114" s="19">
        <f t="shared" si="295"/>
        <v>17391.596403794756</v>
      </c>
      <c r="FX114" s="19">
        <f t="shared" si="295"/>
        <v>17043.764475718861</v>
      </c>
      <c r="FY114" s="19">
        <f t="shared" si="295"/>
        <v>16702.889186204484</v>
      </c>
      <c r="FZ114" s="19">
        <f t="shared" si="295"/>
        <v>16368.831402480393</v>
      </c>
      <c r="GA114" s="19">
        <f t="shared" si="295"/>
        <v>16041.454774430786</v>
      </c>
      <c r="GB114" s="19">
        <f t="shared" si="295"/>
        <v>15720.62567894217</v>
      </c>
      <c r="GC114" s="19">
        <f t="shared" si="295"/>
        <v>15406.213165363326</v>
      </c>
      <c r="GD114" s="19">
        <f t="shared" si="295"/>
        <v>15098.088902056059</v>
      </c>
      <c r="GE114" s="19">
        <f t="shared" si="295"/>
        <v>14796.127124014938</v>
      </c>
      <c r="GF114" s="19">
        <f t="shared" si="295"/>
        <v>14500.204581534639</v>
      </c>
      <c r="GG114" s="19">
        <f t="shared" si="295"/>
        <v>14210.200489903946</v>
      </c>
      <c r="GH114" s="19">
        <f t="shared" si="295"/>
        <v>13925.996480105867</v>
      </c>
      <c r="GI114" s="19">
        <f t="shared" si="295"/>
        <v>13647.476550503749</v>
      </c>
      <c r="GJ114" s="19">
        <f t="shared" si="295"/>
        <v>13374.527019493673</v>
      </c>
      <c r="GK114" s="19">
        <f t="shared" si="295"/>
        <v>13107.036479103799</v>
      </c>
      <c r="GL114" s="19">
        <f t="shared" si="295"/>
        <v>12844.895749521724</v>
      </c>
      <c r="GM114" s="19">
        <f t="shared" si="295"/>
        <v>12587.997834531288</v>
      </c>
      <c r="GN114" s="19">
        <f t="shared" si="295"/>
        <v>12336.237877840662</v>
      </c>
      <c r="GO114" s="19">
        <f t="shared" si="295"/>
        <v>12089.513120283849</v>
      </c>
      <c r="GP114" s="19">
        <f t="shared" si="295"/>
        <v>11847.722857878172</v>
      </c>
      <c r="GQ114" s="19">
        <f t="shared" si="295"/>
        <v>11610.768400720608</v>
      </c>
      <c r="GR114" s="19">
        <f t="shared" si="295"/>
        <v>11378.553032706195</v>
      </c>
      <c r="GS114" s="19">
        <f t="shared" si="295"/>
        <v>11150.981972052072</v>
      </c>
      <c r="GT114" s="19">
        <f t="shared" si="295"/>
        <v>10927.96233261103</v>
      </c>
      <c r="GU114" s="19">
        <f t="shared" si="295"/>
        <v>10709.403085958809</v>
      </c>
      <c r="GV114" s="19">
        <f t="shared" si="295"/>
        <v>10495.215024239633</v>
      </c>
    </row>
    <row r="115" spans="2:204" s="5" customFormat="1">
      <c r="B115" s="5" t="s">
        <v>805</v>
      </c>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3"/>
      <c r="AF115" s="53"/>
      <c r="AG115" s="53"/>
      <c r="AH115" s="53"/>
      <c r="AI115" s="52"/>
      <c r="AJ115" s="52"/>
      <c r="AK115" s="48">
        <f t="shared" ref="AK115:AL115" si="296">AK114/AK116</f>
        <v>0.61339745326469797</v>
      </c>
      <c r="AL115" s="48">
        <f t="shared" si="296"/>
        <v>0.62130836047774152</v>
      </c>
      <c r="AM115" s="48">
        <f t="shared" ref="AM115:AT115" si="297">AM114/AM116</f>
        <v>0.87897323866739496</v>
      </c>
      <c r="AN115" s="48">
        <f t="shared" si="297"/>
        <v>0.57059548254620129</v>
      </c>
      <c r="AO115" s="48">
        <f t="shared" si="297"/>
        <v>0.66401106500691554</v>
      </c>
      <c r="AP115" s="48">
        <f t="shared" si="297"/>
        <v>0.43323233858597132</v>
      </c>
      <c r="AQ115" s="48">
        <f t="shared" si="297"/>
        <v>0.68056537102473502</v>
      </c>
      <c r="AR115" s="48">
        <f t="shared" si="297"/>
        <v>0.39356223175965666</v>
      </c>
      <c r="AS115" s="48">
        <f t="shared" si="297"/>
        <v>0.57905425007252687</v>
      </c>
      <c r="AT115" s="48">
        <f t="shared" si="297"/>
        <v>0.5287102473498233</v>
      </c>
      <c r="AU115" s="48">
        <f t="shared" ref="AU115:AZ115" si="298">AU114/AU116</f>
        <v>0.71455235137533268</v>
      </c>
      <c r="AV115" s="48">
        <f t="shared" si="298"/>
        <v>0.65555038529934806</v>
      </c>
      <c r="AW115" s="48">
        <f t="shared" si="298"/>
        <v>0.62589073634204273</v>
      </c>
      <c r="AX115" s="48">
        <f t="shared" si="298"/>
        <v>0.65796112182816446</v>
      </c>
      <c r="AY115" s="48">
        <f t="shared" si="298"/>
        <v>0.63522138308899745</v>
      </c>
      <c r="AZ115" s="48">
        <f t="shared" si="298"/>
        <v>0.60124629739336488</v>
      </c>
      <c r="BA115" s="48">
        <f t="shared" ref="BA115:BF115" si="299">BA114/BA116</f>
        <v>0.51685891748003554</v>
      </c>
      <c r="BB115" s="48">
        <f t="shared" si="299"/>
        <v>0.49343698228622401</v>
      </c>
      <c r="BC115" s="48">
        <f t="shared" si="299"/>
        <v>0.65435159930572773</v>
      </c>
      <c r="BD115" s="48">
        <f>BD114/BD116</f>
        <v>0.65522794846382559</v>
      </c>
      <c r="BE115" s="48">
        <f t="shared" si="299"/>
        <v>0.61533696729435083</v>
      </c>
      <c r="BF115" s="48">
        <f t="shared" si="299"/>
        <v>0.56399105367793245</v>
      </c>
      <c r="BG115" s="48">
        <f>BG114/BG116</f>
        <v>0.60970752955818297</v>
      </c>
      <c r="BH115" s="48">
        <f>BH114/BH116</f>
        <v>0.69653434152488969</v>
      </c>
      <c r="BI115" s="48">
        <f t="shared" ref="BI115:BJ115" si="300">BI114/BI116</f>
        <v>0.62957746478873244</v>
      </c>
      <c r="BJ115" s="105">
        <f t="shared" si="300"/>
        <v>0.51086249512163395</v>
      </c>
      <c r="BK115" s="105">
        <f>BK114/BK116</f>
        <v>0.5980521189786786</v>
      </c>
      <c r="BL115" s="105">
        <f>BL114/BL116</f>
        <v>0.62942815443810529</v>
      </c>
      <c r="BM115" s="105">
        <f t="shared" ref="BM115:BN115" si="301">BM114/BM116</f>
        <v>0.53236547682472035</v>
      </c>
      <c r="BN115" s="105">
        <f t="shared" si="301"/>
        <v>0.50317782285327928</v>
      </c>
      <c r="BO115" s="105">
        <f t="shared" ref="BO115:BR115" si="302">BO114/BO116</f>
        <v>0.53803824460035765</v>
      </c>
      <c r="BP115" s="105">
        <f t="shared" si="302"/>
        <v>0.56245609104959959</v>
      </c>
      <c r="BQ115" s="105">
        <f t="shared" si="302"/>
        <v>0.583984375</v>
      </c>
      <c r="BR115" s="105">
        <f t="shared" si="302"/>
        <v>0.55943842514878683</v>
      </c>
      <c r="BS115" s="105">
        <f t="shared" ref="BS115:BV115" si="303">BS114/BS116</f>
        <v>0.5358245830759728</v>
      </c>
      <c r="BT115" s="105">
        <f t="shared" si="303"/>
        <v>0.59248913718187457</v>
      </c>
      <c r="BU115" s="105">
        <f t="shared" si="303"/>
        <v>0.52352084236227692</v>
      </c>
      <c r="BV115" s="105">
        <f t="shared" si="303"/>
        <v>0.51291361819014192</v>
      </c>
      <c r="BW115" s="105"/>
      <c r="BX115" s="105"/>
      <c r="BY115" s="105"/>
      <c r="BZ115" s="105"/>
      <c r="CA115" s="105"/>
      <c r="CB115" s="105"/>
      <c r="CC115" s="105"/>
      <c r="CD115" s="105"/>
      <c r="CE115" s="105"/>
      <c r="CF115" s="105"/>
      <c r="CG115" s="105"/>
      <c r="CH115" s="105"/>
      <c r="CI115" s="105"/>
      <c r="CJ115" s="105"/>
      <c r="CK115" s="105">
        <f>+CK114/CK116</f>
        <v>0.77714667557634476</v>
      </c>
      <c r="CL115" s="137">
        <f t="shared" ref="CL115" si="304">CL114/CL116</f>
        <v>0.65392422192151556</v>
      </c>
      <c r="CM115" s="137">
        <f t="shared" ref="CM115:CN115" si="305">CM114/CM116</f>
        <v>0.85495652173913039</v>
      </c>
      <c r="CN115" s="137">
        <f t="shared" si="305"/>
        <v>0.75546544428772922</v>
      </c>
      <c r="CO115" s="137">
        <f>+CO114/CO116</f>
        <v>0.75907240219507877</v>
      </c>
      <c r="CP115" s="137">
        <f t="shared" ref="CP115:CQ115" si="306">CP114/CP116</f>
        <v>0.57236725270822231</v>
      </c>
      <c r="CQ115" s="137">
        <f t="shared" si="306"/>
        <v>0.81756636379832537</v>
      </c>
      <c r="CR115" s="137">
        <f t="shared" ref="CR115:CT115" si="307">CR114/CR116</f>
        <v>0.79587115145043597</v>
      </c>
      <c r="CS115" s="137">
        <f t="shared" si="307"/>
        <v>0.85975501508965024</v>
      </c>
      <c r="CT115" s="137">
        <f t="shared" si="307"/>
        <v>0.37389614977039914</v>
      </c>
      <c r="CU115" s="137">
        <f t="shared" ref="CU115:DA115" si="308">CU114/CU116</f>
        <v>0.82207700459201671</v>
      </c>
      <c r="CV115" s="137">
        <f t="shared" si="308"/>
        <v>1.0036984853821769</v>
      </c>
      <c r="CW115" s="137">
        <f t="shared" si="308"/>
        <v>1.496943231441048</v>
      </c>
      <c r="CX115" s="137">
        <f t="shared" si="308"/>
        <v>1.1452843273231623</v>
      </c>
      <c r="CY115" s="137">
        <f t="shared" si="308"/>
        <v>1.5606807919416461</v>
      </c>
      <c r="CZ115" s="137">
        <f t="shared" si="308"/>
        <v>1.9938375350140074</v>
      </c>
      <c r="DA115" s="137">
        <f t="shared" si="308"/>
        <v>1.8738719832109134</v>
      </c>
      <c r="DB115" s="137">
        <f t="shared" ref="DB115:DF115" si="309">DB114/DB116</f>
        <v>1.1539265192408148</v>
      </c>
      <c r="DC115" s="137">
        <f t="shared" si="309"/>
        <v>1.1901256573219576</v>
      </c>
      <c r="DD115" s="137">
        <f t="shared" si="309"/>
        <v>0.94135737245342188</v>
      </c>
      <c r="DE115" s="137">
        <f t="shared" si="309"/>
        <v>0.82149012084276496</v>
      </c>
      <c r="DF115" s="137">
        <f t="shared" si="309"/>
        <v>0.45213883285739193</v>
      </c>
      <c r="DG115" s="105"/>
      <c r="DH115" s="105"/>
      <c r="DL115" s="53"/>
      <c r="DM115" s="53">
        <f t="shared" ref="DM115:DV115" si="310">ROUND(DM114/DM116,2)</f>
        <v>0.33</v>
      </c>
      <c r="DN115" s="53">
        <f t="shared" si="310"/>
        <v>0.44</v>
      </c>
      <c r="DO115" s="53">
        <f t="shared" si="310"/>
        <v>0.54</v>
      </c>
      <c r="DP115" s="53">
        <f t="shared" si="310"/>
        <v>0.6</v>
      </c>
      <c r="DQ115" s="53">
        <f t="shared" si="310"/>
        <v>0.93</v>
      </c>
      <c r="DR115" s="53">
        <f t="shared" si="310"/>
        <v>0.69</v>
      </c>
      <c r="DS115" s="53">
        <f t="shared" si="310"/>
        <v>0.89</v>
      </c>
      <c r="DT115" s="53">
        <f t="shared" si="310"/>
        <v>0.75</v>
      </c>
      <c r="DU115" s="53">
        <f t="shared" si="310"/>
        <v>-0.21</v>
      </c>
      <c r="DV115" s="53">
        <f t="shared" si="310"/>
        <v>-0.5</v>
      </c>
      <c r="DW115" s="53">
        <f>ROUND(DW114/DW116,2)</f>
        <v>0.1</v>
      </c>
      <c r="DX115" s="53">
        <f>ROUND(DX114/DX116,2)</f>
        <v>-0.11</v>
      </c>
      <c r="DY115" s="53">
        <f>DY114/DY116</f>
        <v>0.31495738245806981</v>
      </c>
      <c r="DZ115" s="53">
        <f t="shared" ref="DZ115:EC115" si="311">ROUND(DZ114/DZ116,2)</f>
        <v>0.65</v>
      </c>
      <c r="EA115" s="54">
        <f>ROUND(EA114/EA116,2)</f>
        <v>2.82</v>
      </c>
      <c r="EB115" s="53">
        <f>ROUND(EB114/EB116,2)</f>
        <v>2.2400000000000002</v>
      </c>
      <c r="EC115" s="53">
        <f t="shared" si="311"/>
        <v>2.4900000000000002</v>
      </c>
      <c r="ED115" s="53">
        <f>ROUND(ED114/ED116,2)</f>
        <v>2.44</v>
      </c>
      <c r="EE115" s="53">
        <f>ROUND(EE114/EE116,2)</f>
        <v>2.2599999999999998</v>
      </c>
      <c r="EF115" s="53"/>
      <c r="EG115" s="53"/>
      <c r="EH115" s="53"/>
      <c r="EI115" s="53"/>
      <c r="EJ115" s="53"/>
      <c r="EK115" s="53"/>
      <c r="EL115" s="53"/>
      <c r="EM115" s="53">
        <f>+EM114/EM116</f>
        <v>2.844764060904692</v>
      </c>
      <c r="EN115" s="53">
        <f>+EN114/EN116</f>
        <v>4.4724039767003907</v>
      </c>
      <c r="EO115" s="53">
        <f>+EO114/EO116</f>
        <v>6.529675984475162</v>
      </c>
      <c r="EP115" s="53">
        <f>+EP114/EP116</f>
        <v>3.4051119834755377</v>
      </c>
      <c r="EQ115" s="53">
        <f>+EQ114/EQ116</f>
        <v>2.2946780319737052</v>
      </c>
      <c r="ER115" s="53">
        <f t="shared" ref="ER115:EW115" si="312">+ER114/ER116</f>
        <v>3.6305449581668148</v>
      </c>
      <c r="ES115" s="53">
        <f t="shared" si="312"/>
        <v>3.1849449883630725</v>
      </c>
      <c r="ET115" s="53">
        <f t="shared" si="312"/>
        <v>2.8949205589135185</v>
      </c>
      <c r="EU115" s="53">
        <f t="shared" si="312"/>
        <v>2.7378965194075309</v>
      </c>
      <c r="EV115" s="53">
        <f t="shared" si="312"/>
        <v>1.9092157606225328</v>
      </c>
      <c r="EW115" s="53">
        <f t="shared" si="312"/>
        <v>1.772700087340233</v>
      </c>
      <c r="EX115" s="53"/>
      <c r="EY115" s="53"/>
      <c r="EZ115" s="53"/>
      <c r="FA115" s="53"/>
      <c r="FB115" s="53"/>
      <c r="FC115" s="53"/>
      <c r="FD115" s="53"/>
      <c r="FE115" s="53"/>
      <c r="FF115" s="53"/>
      <c r="FG115" s="53"/>
      <c r="FH115" s="89"/>
      <c r="FI115" s="53"/>
      <c r="FJ115" s="90"/>
      <c r="FK115" s="53"/>
      <c r="FL115" s="26"/>
    </row>
    <row r="116" spans="2:204">
      <c r="B116" s="4" t="s">
        <v>299</v>
      </c>
      <c r="W116" s="68">
        <v>6305.9</v>
      </c>
      <c r="X116" s="68">
        <f>6291.2*2-W116</f>
        <v>6276.5</v>
      </c>
      <c r="Y116" s="68">
        <f>6262.2*3-W116-X116</f>
        <v>6204.1999999999989</v>
      </c>
      <c r="Z116" s="68">
        <f>6241.4*4-SUM(W116:Y116)</f>
        <v>6179</v>
      </c>
      <c r="AA116" s="68">
        <v>6161.7</v>
      </c>
      <c r="AB116" s="68">
        <v>7453.4</v>
      </c>
      <c r="AC116" s="68">
        <v>7791.2</v>
      </c>
      <c r="AD116" s="68">
        <v>7668.3</v>
      </c>
      <c r="AE116" s="68">
        <v>7678.5</v>
      </c>
      <c r="AF116" s="68">
        <v>7664</v>
      </c>
      <c r="AG116" s="68">
        <v>7568.7</v>
      </c>
      <c r="AH116" s="68">
        <v>7510.6</v>
      </c>
      <c r="AI116" s="68">
        <v>7473.8</v>
      </c>
      <c r="AK116" s="44">
        <v>7382</v>
      </c>
      <c r="AL116" s="44">
        <v>7368</v>
      </c>
      <c r="AM116" s="44">
        <v>7324</v>
      </c>
      <c r="AN116" s="44">
        <v>7305</v>
      </c>
      <c r="AO116" s="44">
        <f>AN116-75</f>
        <v>7230</v>
      </c>
      <c r="AP116" s="68">
        <v>7171</v>
      </c>
      <c r="AQ116" s="44">
        <v>7075</v>
      </c>
      <c r="AR116" s="44">
        <v>6990</v>
      </c>
      <c r="AS116" s="44">
        <v>6894</v>
      </c>
      <c r="AT116" s="44">
        <v>6792</v>
      </c>
      <c r="AU116" s="44">
        <v>6762</v>
      </c>
      <c r="AV116" s="44">
        <v>6748</v>
      </c>
      <c r="AW116" s="44">
        <v>6736</v>
      </c>
      <c r="AX116" s="44">
        <v>6739</v>
      </c>
      <c r="AY116" s="44">
        <v>6753</v>
      </c>
      <c r="AZ116" s="44">
        <v>6752</v>
      </c>
      <c r="BA116" s="44">
        <v>6762</v>
      </c>
      <c r="BB116" s="44">
        <v>7847</v>
      </c>
      <c r="BC116" s="44">
        <v>8066</v>
      </c>
      <c r="BD116" s="44">
        <v>8072</v>
      </c>
      <c r="BE116" s="104">
        <f>+BD116</f>
        <v>8072</v>
      </c>
      <c r="BF116" s="44">
        <v>8048</v>
      </c>
      <c r="BG116" s="44">
        <v>8035</v>
      </c>
      <c r="BH116" s="44">
        <v>7935</v>
      </c>
      <c r="BI116" s="44">
        <v>7810</v>
      </c>
      <c r="BJ116" s="65">
        <v>7687</v>
      </c>
      <c r="BK116" s="65">
        <v>7598</v>
      </c>
      <c r="BL116" s="65">
        <v>7537</v>
      </c>
      <c r="BM116" s="65">
        <v>7508</v>
      </c>
      <c r="BN116" s="65">
        <v>7395</v>
      </c>
      <c r="BO116" s="65">
        <v>7269</v>
      </c>
      <c r="BP116" s="65">
        <v>7117</v>
      </c>
      <c r="BQ116" s="65">
        <v>6656</v>
      </c>
      <c r="BR116" s="65">
        <v>6553</v>
      </c>
      <c r="BS116" s="65">
        <v>6476</v>
      </c>
      <c r="BT116" s="65">
        <v>6444</v>
      </c>
      <c r="BU116" s="65">
        <v>6553</v>
      </c>
      <c r="BV116" s="65">
        <v>6553</v>
      </c>
      <c r="BW116" s="65"/>
      <c r="BX116" s="65"/>
      <c r="BY116" s="65"/>
      <c r="BZ116" s="65"/>
      <c r="CA116" s="65"/>
      <c r="CB116" s="65"/>
      <c r="CC116" s="65"/>
      <c r="CD116" s="65"/>
      <c r="CE116" s="65"/>
      <c r="CF116" s="65"/>
      <c r="CG116" s="65"/>
      <c r="CH116" s="65"/>
      <c r="CI116" s="65"/>
      <c r="CJ116" s="65"/>
      <c r="CK116" s="65">
        <v>5986</v>
      </c>
      <c r="CL116" s="115">
        <v>5912</v>
      </c>
      <c r="CM116" s="115">
        <v>5750</v>
      </c>
      <c r="CN116" s="115">
        <v>5672</v>
      </c>
      <c r="CO116" s="115">
        <v>5649</v>
      </c>
      <c r="CP116" s="115">
        <v>5631</v>
      </c>
      <c r="CQ116" s="115">
        <v>5613</v>
      </c>
      <c r="CR116" s="115">
        <v>5619</v>
      </c>
      <c r="CS116" s="115">
        <v>5633</v>
      </c>
      <c r="CT116" s="115">
        <v>5662</v>
      </c>
      <c r="CU116" s="115">
        <v>5662</v>
      </c>
      <c r="CV116" s="115">
        <v>5678</v>
      </c>
      <c r="CW116" s="115">
        <v>5725</v>
      </c>
      <c r="CX116" s="115">
        <v>5768</v>
      </c>
      <c r="CY116" s="115">
        <v>5758</v>
      </c>
      <c r="CZ116" s="115">
        <v>5712</v>
      </c>
      <c r="DA116" s="115">
        <v>5718</v>
      </c>
      <c r="DB116" s="115">
        <v>5743</v>
      </c>
      <c r="DC116" s="115">
        <f t="shared" ref="DC116:DF116" si="313">+DB116</f>
        <v>5743</v>
      </c>
      <c r="DD116" s="115">
        <f t="shared" si="313"/>
        <v>5743</v>
      </c>
      <c r="DE116" s="115">
        <f t="shared" si="313"/>
        <v>5743</v>
      </c>
      <c r="DF116" s="115">
        <f t="shared" si="313"/>
        <v>5743</v>
      </c>
      <c r="DG116" s="65"/>
      <c r="DH116" s="65"/>
      <c r="DL116" s="44"/>
      <c r="DM116" s="44">
        <v>3729</v>
      </c>
      <c r="DN116" s="44">
        <v>3777</v>
      </c>
      <c r="DO116" s="44">
        <v>3864</v>
      </c>
      <c r="DP116" s="44">
        <v>3909</v>
      </c>
      <c r="DQ116" s="44">
        <v>3945</v>
      </c>
      <c r="DR116" s="44">
        <v>6317</v>
      </c>
      <c r="DS116" s="44">
        <v>6368</v>
      </c>
      <c r="DT116" s="44">
        <v>6361</v>
      </c>
      <c r="DU116" s="44">
        <v>6241</v>
      </c>
      <c r="DV116" s="44">
        <v>7285.6</v>
      </c>
      <c r="DW116" s="44">
        <v>7605</v>
      </c>
      <c r="DX116" s="44">
        <v>7399</v>
      </c>
      <c r="DY116" s="44">
        <v>7274</v>
      </c>
      <c r="DZ116" s="44">
        <f>AVERAGE(AQ116:AT116)</f>
        <v>6937.75</v>
      </c>
      <c r="EA116" s="44">
        <f>AVERAGE(AU116:AX116)</f>
        <v>6746.25</v>
      </c>
      <c r="EB116" s="44">
        <f>AVERAGE(AY116:BB116)</f>
        <v>7028.5</v>
      </c>
      <c r="EC116" s="44">
        <f>AVERAGE(BC116:BF116)</f>
        <v>8064.5</v>
      </c>
      <c r="ED116" s="44">
        <f>AVERAGE(BG116:BJ116)</f>
        <v>7866.75</v>
      </c>
      <c r="EE116" s="44">
        <f>AVERAGE(BK116:BN116)</f>
        <v>7509.5</v>
      </c>
      <c r="EM116" s="44">
        <f>AVERAGE(CQ116:CT116)</f>
        <v>5631.75</v>
      </c>
      <c r="EN116" s="44">
        <f>AVERAGE(CU116:CX116)</f>
        <v>5708.25</v>
      </c>
      <c r="EO116" s="44">
        <f>AVERAGE(CY116:DB116)</f>
        <v>5732.75</v>
      </c>
      <c r="EP116" s="44">
        <f>AVERAGE(DC116:DF116)</f>
        <v>5743</v>
      </c>
      <c r="EQ116" s="44">
        <f>+EP116</f>
        <v>5743</v>
      </c>
      <c r="ER116" s="44">
        <f t="shared" ref="ER116:EW116" si="314">+EQ116</f>
        <v>5743</v>
      </c>
      <c r="ES116" s="44">
        <f t="shared" si="314"/>
        <v>5743</v>
      </c>
      <c r="ET116" s="44">
        <f t="shared" si="314"/>
        <v>5743</v>
      </c>
      <c r="EU116" s="44">
        <f t="shared" si="314"/>
        <v>5743</v>
      </c>
      <c r="EV116" s="44">
        <f t="shared" si="314"/>
        <v>5743</v>
      </c>
      <c r="EW116" s="44">
        <f t="shared" si="314"/>
        <v>5743</v>
      </c>
    </row>
    <row r="117" spans="2:204">
      <c r="W117" s="68"/>
      <c r="X117" s="68"/>
      <c r="Y117" s="68"/>
      <c r="Z117" s="68"/>
      <c r="AA117" s="68"/>
      <c r="AB117" s="68"/>
      <c r="AC117" s="68"/>
      <c r="AD117" s="68"/>
      <c r="AE117" s="68"/>
      <c r="AF117" s="68"/>
      <c r="AG117" s="68"/>
      <c r="AH117" s="68"/>
      <c r="AI117" s="68"/>
      <c r="AM117" s="44"/>
      <c r="AN117" s="44"/>
      <c r="AO117" s="44"/>
      <c r="AP117" s="68"/>
      <c r="AQ117" s="44"/>
      <c r="AR117" s="44"/>
      <c r="AS117" s="44"/>
      <c r="AT117" s="44"/>
      <c r="AU117" s="44"/>
      <c r="AV117" s="44"/>
      <c r="AW117" s="44"/>
      <c r="AX117" s="44"/>
      <c r="AY117" s="44"/>
      <c r="AZ117" s="44"/>
      <c r="BA117" s="44"/>
      <c r="BB117" s="44"/>
      <c r="BC117" s="44"/>
      <c r="BD117" s="44"/>
      <c r="BE117" s="44"/>
      <c r="BF117" s="44"/>
      <c r="BG117" s="44"/>
      <c r="BH117" s="44"/>
      <c r="BI117" s="44"/>
      <c r="BJ117" s="65"/>
      <c r="BK117" s="65"/>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115"/>
      <c r="CO117" s="115"/>
      <c r="CP117" s="115"/>
      <c r="CQ117" s="115"/>
      <c r="CR117" s="115"/>
      <c r="CS117" s="115"/>
      <c r="CT117" s="115"/>
      <c r="CU117" s="115"/>
      <c r="CV117" s="115"/>
      <c r="CW117" s="115"/>
      <c r="CX117" s="115"/>
      <c r="CY117" s="115"/>
      <c r="CZ117" s="115"/>
      <c r="DA117" s="115"/>
      <c r="DB117" s="115"/>
      <c r="DC117" s="115"/>
      <c r="DD117" s="115"/>
      <c r="DE117" s="115"/>
      <c r="DF117" s="115"/>
      <c r="DG117" s="44"/>
      <c r="DH117" s="44"/>
      <c r="DL117" s="44"/>
      <c r="DM117" s="44"/>
      <c r="DN117" s="44"/>
      <c r="DO117" s="44"/>
      <c r="DP117" s="44"/>
      <c r="DQ117" s="44"/>
      <c r="DR117" s="44"/>
      <c r="DS117" s="44"/>
      <c r="DT117" s="44"/>
      <c r="DU117" s="44"/>
      <c r="DV117" s="44"/>
      <c r="DW117" s="44"/>
      <c r="DX117" s="44"/>
      <c r="DY117" s="44"/>
      <c r="DZ117" s="44"/>
      <c r="EA117" s="44"/>
    </row>
    <row r="118" spans="2:204">
      <c r="B118" s="4" t="s">
        <v>795</v>
      </c>
      <c r="W118" s="58">
        <f>W105/W103</f>
        <v>0.87200435729847492</v>
      </c>
      <c r="X118" s="58">
        <f>X105/X103</f>
        <v>0.82956001708671512</v>
      </c>
      <c r="Y118" s="58">
        <f>Y105/Y103</f>
        <v>0.82992492881180435</v>
      </c>
      <c r="Z118" s="58">
        <f>Z105/Z103</f>
        <v>0.86651558073654389</v>
      </c>
      <c r="AE118" s="49"/>
      <c r="AF118" s="49"/>
      <c r="AG118" s="49"/>
      <c r="AH118" s="49"/>
      <c r="AK118" s="49">
        <f t="shared" ref="AK118:BO118" si="315">AK105/AK103</f>
        <v>0.84835599780640747</v>
      </c>
      <c r="AL118" s="49">
        <f t="shared" si="315"/>
        <v>0.8323423474929964</v>
      </c>
      <c r="AM118" s="49">
        <f t="shared" si="315"/>
        <v>0.87236090317455472</v>
      </c>
      <c r="AN118" s="49">
        <f t="shared" si="315"/>
        <v>0.86247063429913862</v>
      </c>
      <c r="AO118" s="49">
        <f t="shared" si="315"/>
        <v>0.84659650659118979</v>
      </c>
      <c r="AP118" s="49">
        <f t="shared" si="315"/>
        <v>0.83082405549154126</v>
      </c>
      <c r="AQ118" s="49">
        <f t="shared" si="315"/>
        <v>0.85626102292768957</v>
      </c>
      <c r="AR118" s="49">
        <f t="shared" si="315"/>
        <v>0.82912306026705163</v>
      </c>
      <c r="AS118" s="49">
        <f t="shared" si="315"/>
        <v>0.84853556485355652</v>
      </c>
      <c r="AT118" s="49">
        <f t="shared" si="315"/>
        <v>0.82555812163202469</v>
      </c>
      <c r="AU118" s="49">
        <f t="shared" si="315"/>
        <v>0.85602076756448653</v>
      </c>
      <c r="AV118" s="49">
        <f t="shared" si="315"/>
        <v>0.84050954224515251</v>
      </c>
      <c r="AW118" s="49">
        <f t="shared" si="315"/>
        <v>0.85525125421498482</v>
      </c>
      <c r="AX118" s="49">
        <f t="shared" si="315"/>
        <v>0.8827065226220453</v>
      </c>
      <c r="AY118" s="49">
        <f t="shared" si="315"/>
        <v>0.88672072002172475</v>
      </c>
      <c r="AZ118" s="49">
        <f t="shared" si="315"/>
        <v>0.85650593657749641</v>
      </c>
      <c r="BA118" s="49">
        <f t="shared" si="315"/>
        <v>0.84598810652417478</v>
      </c>
      <c r="BB118" s="49">
        <f t="shared" si="315"/>
        <v>0.82530266343825665</v>
      </c>
      <c r="BC118" s="49">
        <f t="shared" si="315"/>
        <v>0.82849295856950855</v>
      </c>
      <c r="BD118" s="49">
        <f t="shared" si="315"/>
        <v>0.83239620605441023</v>
      </c>
      <c r="BE118" s="49">
        <f t="shared" si="315"/>
        <v>0.82312152549465001</v>
      </c>
      <c r="BF118" s="49">
        <f t="shared" si="315"/>
        <v>0.7936030617823947</v>
      </c>
      <c r="BG118" s="49">
        <f t="shared" si="315"/>
        <v>0.81334138243284038</v>
      </c>
      <c r="BH118" s="49">
        <f t="shared" si="315"/>
        <v>0.81651737930257451</v>
      </c>
      <c r="BI118" s="49">
        <f t="shared" si="315"/>
        <v>0.8071569423500754</v>
      </c>
      <c r="BJ118" s="106">
        <f t="shared" si="315"/>
        <v>0.79923563836139977</v>
      </c>
      <c r="BK118" s="49">
        <f t="shared" si="315"/>
        <v>0.81301445330222311</v>
      </c>
      <c r="BL118" s="49">
        <f t="shared" si="315"/>
        <v>0.82300591087201969</v>
      </c>
      <c r="BM118" s="49">
        <f t="shared" si="315"/>
        <v>0.81647109330280476</v>
      </c>
      <c r="BN118" s="49">
        <f t="shared" si="315"/>
        <v>0.79626106920301742</v>
      </c>
      <c r="BO118" s="49">
        <f t="shared" si="315"/>
        <v>0.80629629629629629</v>
      </c>
      <c r="BP118" s="49">
        <f t="shared" ref="BP118:BV118" si="316">+BP105/BP103</f>
        <v>0.8308795190010021</v>
      </c>
      <c r="BQ118" s="49">
        <f t="shared" si="316"/>
        <v>0.82681297709923662</v>
      </c>
      <c r="BR118" s="49">
        <f t="shared" si="316"/>
        <v>0.80197139257392724</v>
      </c>
      <c r="BS118" s="49">
        <f t="shared" si="316"/>
        <v>0.82418555240793201</v>
      </c>
      <c r="BT118" s="49">
        <f t="shared" si="316"/>
        <v>0.81735159817351599</v>
      </c>
      <c r="BU118" s="49">
        <f t="shared" si="316"/>
        <v>0.8</v>
      </c>
      <c r="BV118" s="49">
        <f t="shared" si="316"/>
        <v>0.8</v>
      </c>
      <c r="BW118" s="49"/>
      <c r="BX118" s="49"/>
      <c r="BY118" s="49"/>
      <c r="BZ118" s="49"/>
      <c r="CA118" s="49"/>
      <c r="CB118" s="49"/>
      <c r="CC118" s="49"/>
      <c r="CD118" s="49"/>
      <c r="CE118" s="49"/>
      <c r="CF118" s="49"/>
      <c r="CG118" s="49"/>
      <c r="CH118" s="49"/>
      <c r="CI118" s="49"/>
      <c r="CJ118" s="49"/>
      <c r="CK118" s="138">
        <f t="shared" ref="CK118:CL118" si="317">CK105/CK103</f>
        <v>0.79897721290516655</v>
      </c>
      <c r="CL118" s="138">
        <f t="shared" si="317"/>
        <v>0.78275763631173279</v>
      </c>
      <c r="CM118" s="138">
        <f t="shared" ref="CM118:CO118" si="318">CM105/CM103</f>
        <v>0.81538108707285373</v>
      </c>
      <c r="CN118" s="138">
        <f t="shared" si="318"/>
        <v>0.80282342050451283</v>
      </c>
      <c r="CO118" s="138">
        <f t="shared" si="318"/>
        <v>0.80610313830626079</v>
      </c>
      <c r="CP118" s="138">
        <f t="shared" ref="CP118" si="319">CP105/CP103</f>
        <v>0.79582220826134753</v>
      </c>
      <c r="CQ118" s="138">
        <f t="shared" ref="CQ118:CR118" si="320">CQ105/CQ103</f>
        <v>0.80470373140530205</v>
      </c>
      <c r="CR118" s="138">
        <f t="shared" si="320"/>
        <v>0.81049241461140775</v>
      </c>
      <c r="CS118" s="138">
        <f t="shared" ref="CS118:CT118" si="321">CS105/CS103</f>
        <v>0.80470954558723362</v>
      </c>
      <c r="CT118" s="138">
        <f t="shared" si="321"/>
        <v>0.75561097256857856</v>
      </c>
      <c r="CU118" s="138">
        <f>CU105/CU103</f>
        <v>0.71568519386039842</v>
      </c>
      <c r="CV118" s="138">
        <f t="shared" ref="CV118:CY118" si="322">CV105/CV103</f>
        <v>0.63230858775596588</v>
      </c>
      <c r="CW118" s="138">
        <f t="shared" si="322"/>
        <v>0.58909966377485368</v>
      </c>
      <c r="CX118" s="138">
        <f t="shared" si="322"/>
        <v>0.59263299211277065</v>
      </c>
      <c r="CY118" s="138">
        <f t="shared" si="322"/>
        <v>0.61194634743233023</v>
      </c>
      <c r="CZ118" s="138">
        <f t="shared" ref="CZ118:DA118" si="323">CZ105/CZ103</f>
        <v>0.68909731884737124</v>
      </c>
      <c r="DA118" s="138">
        <f t="shared" si="323"/>
        <v>0.73327796870720652</v>
      </c>
      <c r="DB118" s="138">
        <f t="shared" ref="DB118:DF118" si="324">DB105/DB103</f>
        <v>0.6098735949273274</v>
      </c>
      <c r="DC118" s="138">
        <f t="shared" si="324"/>
        <v>0.74</v>
      </c>
      <c r="DD118" s="138">
        <f t="shared" si="324"/>
        <v>0.74</v>
      </c>
      <c r="DE118" s="138">
        <f t="shared" si="324"/>
        <v>0.74</v>
      </c>
      <c r="DF118" s="138">
        <f t="shared" si="324"/>
        <v>0.74</v>
      </c>
      <c r="DG118" s="49"/>
      <c r="DH118" s="49"/>
      <c r="DL118" s="49"/>
      <c r="DM118" s="49">
        <f t="shared" ref="DM118:EA118" si="325">DM105/DM103</f>
        <v>0.78412937194433996</v>
      </c>
      <c r="DN118" s="49">
        <f t="shared" si="325"/>
        <v>0.78405348767588068</v>
      </c>
      <c r="DO118" s="49">
        <f t="shared" si="325"/>
        <v>0.80753582168759952</v>
      </c>
      <c r="DP118" s="49">
        <f t="shared" si="325"/>
        <v>0.81813819577735125</v>
      </c>
      <c r="DQ118" s="49">
        <f t="shared" si="325"/>
        <v>0.84539279385705846</v>
      </c>
      <c r="DR118" s="49">
        <f t="shared" si="325"/>
        <v>0.80040980056776045</v>
      </c>
      <c r="DS118" s="49">
        <f t="shared" si="325"/>
        <v>0.83407722999932377</v>
      </c>
      <c r="DT118" s="49">
        <f t="shared" si="325"/>
        <v>0.85624036400556536</v>
      </c>
      <c r="DU118" s="49">
        <f t="shared" si="325"/>
        <v>0.81962793205715823</v>
      </c>
      <c r="DV118" s="49">
        <f t="shared" si="325"/>
        <v>0.77368351415718439</v>
      </c>
      <c r="DW118" s="49">
        <f t="shared" si="325"/>
        <v>0.81875159524687335</v>
      </c>
      <c r="DX118" s="49">
        <f t="shared" si="325"/>
        <v>0.78957781721900555</v>
      </c>
      <c r="DY118" s="49">
        <f t="shared" si="325"/>
        <v>0.79036329711337938</v>
      </c>
      <c r="DZ118" s="49">
        <f t="shared" si="325"/>
        <v>0.8</v>
      </c>
      <c r="EA118" s="49">
        <f t="shared" si="325"/>
        <v>1.5668896004006725</v>
      </c>
      <c r="EB118" s="49">
        <v>0.84499999999999997</v>
      </c>
      <c r="EC118" s="49">
        <f>EC105/EC103</f>
        <v>1.3074898136702835</v>
      </c>
      <c r="ED118" s="49">
        <f>ED105/ED103</f>
        <v>1.3279192695819317</v>
      </c>
      <c r="EE118" s="49">
        <f>EE105/EE103</f>
        <v>1.409632459399585</v>
      </c>
      <c r="EF118" s="49">
        <f>EF105/EF103</f>
        <v>0.83679044627002552</v>
      </c>
      <c r="EG118" s="49"/>
      <c r="EH118" s="49"/>
      <c r="EI118" s="49"/>
      <c r="EJ118" s="49"/>
      <c r="EK118" s="49"/>
      <c r="EL118" s="49"/>
      <c r="EM118" s="49">
        <f t="shared" ref="EM118" si="326">+EM105/EM103</f>
        <v>0.79371638462547556</v>
      </c>
      <c r="EN118" s="49">
        <f>+EN105/EN103</f>
        <v>0.62276375188095634</v>
      </c>
      <c r="EO118" s="49">
        <f>+EO105/EO103</f>
        <v>0.65918995641917555</v>
      </c>
      <c r="EP118" s="49">
        <f>+EP105/EP103</f>
        <v>0.74</v>
      </c>
      <c r="EQ118" s="49">
        <f t="shared" ref="EQ118:EW118" si="327">+EQ105/EQ103</f>
        <v>0.73</v>
      </c>
      <c r="ER118" s="49">
        <f t="shared" si="327"/>
        <v>0.74</v>
      </c>
      <c r="ES118" s="49">
        <f t="shared" si="327"/>
        <v>0.75</v>
      </c>
      <c r="ET118" s="49">
        <f t="shared" si="327"/>
        <v>0.76</v>
      </c>
      <c r="EU118" s="49">
        <f t="shared" si="327"/>
        <v>0.77</v>
      </c>
      <c r="EV118" s="49">
        <f t="shared" si="327"/>
        <v>0.78</v>
      </c>
      <c r="EW118" s="49">
        <f t="shared" si="327"/>
        <v>0.79000000000000015</v>
      </c>
      <c r="EX118" s="49"/>
      <c r="EY118" s="49"/>
      <c r="EZ118" s="49"/>
      <c r="FA118" s="49"/>
      <c r="FB118" s="49"/>
      <c r="FC118" s="49"/>
      <c r="FD118" s="49"/>
      <c r="FE118" s="49"/>
      <c r="FF118" s="49"/>
      <c r="FG118" s="49"/>
      <c r="FH118" s="91"/>
      <c r="FI118" s="49">
        <f>+FI140/22.73-1</f>
        <v>-0.89551151194777479</v>
      </c>
      <c r="FJ118" s="92"/>
      <c r="FK118" s="49"/>
      <c r="FL118" s="22" t="s">
        <v>806</v>
      </c>
    </row>
    <row r="119" spans="2:204">
      <c r="B119" s="4" t="s">
        <v>807</v>
      </c>
      <c r="AE119" s="49">
        <f>AE106/AE103</f>
        <v>0.40662090070716678</v>
      </c>
      <c r="AF119" s="49">
        <f>AF106/AF103</f>
        <v>0.45374623032576378</v>
      </c>
      <c r="AG119" s="49">
        <f>AG106/AG103</f>
        <v>0.4068220304814128</v>
      </c>
      <c r="AH119" s="49">
        <f>AH106/AH103</f>
        <v>0.34615754758185707</v>
      </c>
      <c r="AK119" s="49">
        <f t="shared" ref="AK119:BV119" si="328">AK106/AK103</f>
        <v>0.31242797307285747</v>
      </c>
      <c r="AL119" s="49">
        <f t="shared" si="328"/>
        <v>0.33981762049053799</v>
      </c>
      <c r="AM119" s="49">
        <f t="shared" si="328"/>
        <v>0.25932659109658102</v>
      </c>
      <c r="AN119" s="49">
        <f t="shared" si="328"/>
        <v>0.3137235708692247</v>
      </c>
      <c r="AO119" s="49">
        <f t="shared" si="328"/>
        <v>0.2932805829645499</v>
      </c>
      <c r="AP119" s="49">
        <f t="shared" si="328"/>
        <v>0.34811937701740597</v>
      </c>
      <c r="AQ119" s="49">
        <f t="shared" si="328"/>
        <v>0.26551226551226553</v>
      </c>
      <c r="AR119" s="49">
        <f t="shared" si="328"/>
        <v>0.3396788163118008</v>
      </c>
      <c r="AS119" s="49">
        <f t="shared" si="328"/>
        <v>0.30443514644351466</v>
      </c>
      <c r="AT119" s="49">
        <f t="shared" si="328"/>
        <v>0.34888375673595073</v>
      </c>
      <c r="AU119" s="49">
        <f t="shared" si="328"/>
        <v>0.27268066854036976</v>
      </c>
      <c r="AV119" s="49">
        <f t="shared" si="328"/>
        <v>0.28952688205398641</v>
      </c>
      <c r="AW119" s="49">
        <f t="shared" si="328"/>
        <v>0.28201332346410068</v>
      </c>
      <c r="AX119" s="49">
        <f t="shared" si="328"/>
        <v>0.28511087645195354</v>
      </c>
      <c r="AY119" s="49">
        <f t="shared" si="328"/>
        <v>0.24397287849202348</v>
      </c>
      <c r="AZ119" s="49">
        <f t="shared" si="328"/>
        <v>0.27779633630548745</v>
      </c>
      <c r="BA119" s="49">
        <f t="shared" si="328"/>
        <v>0.27794535895888994</v>
      </c>
      <c r="BB119" s="49">
        <f t="shared" si="328"/>
        <v>0.32354721549636806</v>
      </c>
      <c r="BC119" s="49">
        <f t="shared" si="328"/>
        <v>0.25565359668088589</v>
      </c>
      <c r="BD119" s="49">
        <f t="shared" si="328"/>
        <v>0.26847276651331858</v>
      </c>
      <c r="BE119" s="49">
        <f t="shared" si="328"/>
        <v>0.27586825273477195</v>
      </c>
      <c r="BF119" s="49">
        <f t="shared" si="328"/>
        <v>0.31399671951886277</v>
      </c>
      <c r="BG119" s="49">
        <f t="shared" si="328"/>
        <v>0.27171747660730455</v>
      </c>
      <c r="BH119" s="49">
        <f t="shared" si="328"/>
        <v>0.27885752915328715</v>
      </c>
      <c r="BI119" s="49">
        <f t="shared" si="328"/>
        <v>0.26447047906275373</v>
      </c>
      <c r="BJ119" s="106">
        <f t="shared" si="328"/>
        <v>0.31930013137465663</v>
      </c>
      <c r="BK119" s="49">
        <f t="shared" si="328"/>
        <v>0.26644630241752543</v>
      </c>
      <c r="BL119" s="49">
        <f t="shared" si="328"/>
        <v>0.26147306900444978</v>
      </c>
      <c r="BM119" s="49">
        <f t="shared" si="328"/>
        <v>0.26681453921007442</v>
      </c>
      <c r="BN119" s="49">
        <f t="shared" si="328"/>
        <v>0.30554280091833386</v>
      </c>
      <c r="BO119" s="49">
        <f t="shared" si="328"/>
        <v>0.25881481481481483</v>
      </c>
      <c r="BP119" s="49">
        <f t="shared" si="328"/>
        <v>0.27364526323903493</v>
      </c>
      <c r="BQ119" s="49">
        <f t="shared" si="328"/>
        <v>0.26645992366412213</v>
      </c>
      <c r="BR119" s="49">
        <f t="shared" si="328"/>
        <v>0.30334247387534274</v>
      </c>
      <c r="BS119" s="49">
        <f t="shared" si="328"/>
        <v>0.2673512747875354</v>
      </c>
      <c r="BT119" s="49">
        <f t="shared" si="328"/>
        <v>0.27444496929617385</v>
      </c>
      <c r="BU119" s="49">
        <f t="shared" si="328"/>
        <v>0.27016464729529838</v>
      </c>
      <c r="BV119" s="49">
        <f t="shared" si="328"/>
        <v>0.30517423110942982</v>
      </c>
      <c r="BW119" s="49"/>
      <c r="BX119" s="49"/>
      <c r="BY119" s="49"/>
      <c r="BZ119" s="49"/>
      <c r="CA119" s="49"/>
      <c r="CB119" s="49"/>
      <c r="CC119" s="49"/>
      <c r="CD119" s="49"/>
      <c r="CE119" s="49"/>
      <c r="CF119" s="49"/>
      <c r="CG119" s="49"/>
      <c r="CH119" s="49"/>
      <c r="CI119" s="49"/>
      <c r="CJ119" s="49"/>
      <c r="CK119" s="138">
        <f t="shared" ref="CK119:CL119" si="329">CK106/CK103</f>
        <v>0.26103632398285326</v>
      </c>
      <c r="CL119" s="138">
        <f t="shared" si="329"/>
        <v>0.2831858407079646</v>
      </c>
      <c r="CM119" s="138">
        <f t="shared" ref="CM119:CO119" si="330">CM106/CM103</f>
        <v>0.25311520525953674</v>
      </c>
      <c r="CN119" s="138">
        <f t="shared" si="330"/>
        <v>0.26722209365116101</v>
      </c>
      <c r="CO119" s="138">
        <f t="shared" si="330"/>
        <v>0.25201072386058981</v>
      </c>
      <c r="CP119" s="138">
        <f t="shared" ref="CP119" si="331">CP106/CP103</f>
        <v>0.31961677399089056</v>
      </c>
      <c r="CQ119" s="138">
        <f t="shared" ref="CQ119:CR119" si="332">CQ106/CQ103</f>
        <v>0.22812266267763651</v>
      </c>
      <c r="CR119" s="138">
        <f t="shared" si="332"/>
        <v>0.23798627002288331</v>
      </c>
      <c r="CS119" s="138">
        <f t="shared" ref="CS119:CT119" si="333">CS106/CS103</f>
        <v>0.25863578865427655</v>
      </c>
      <c r="CT119" s="138">
        <f t="shared" si="333"/>
        <v>0.30785106200017198</v>
      </c>
      <c r="CU119" s="138">
        <f>CU106/CU103</f>
        <v>0.182079969136653</v>
      </c>
      <c r="CV119" s="138">
        <f t="shared" ref="CV119:CY119" si="334">CV106/CV103</f>
        <v>0.14699190433356263</v>
      </c>
      <c r="CW119" s="138">
        <f t="shared" si="334"/>
        <v>0.11286372504254701</v>
      </c>
      <c r="CX119" s="138">
        <f t="shared" si="334"/>
        <v>0.16533814398388991</v>
      </c>
      <c r="CY119" s="138">
        <f t="shared" si="334"/>
        <v>9.7266711870747508E-2</v>
      </c>
      <c r="CZ119" s="138">
        <f t="shared" ref="CZ119:DA119" si="335">CZ106/CZ103</f>
        <v>0.10453539424262301</v>
      </c>
      <c r="DA119" s="138">
        <f t="shared" si="335"/>
        <v>0.14307927448780355</v>
      </c>
      <c r="DB119" s="138">
        <f t="shared" ref="DB119:DF119" si="336">DB106/DB103</f>
        <v>0.18174331947132211</v>
      </c>
      <c r="DC119" s="138">
        <f t="shared" si="336"/>
        <v>0.15244876056854173</v>
      </c>
      <c r="DD119" s="138">
        <f t="shared" si="336"/>
        <v>0.18766860128650059</v>
      </c>
      <c r="DE119" s="138">
        <f t="shared" si="336"/>
        <v>0.22014308410430936</v>
      </c>
      <c r="DF119" s="138">
        <f t="shared" si="336"/>
        <v>0.3080001509065835</v>
      </c>
      <c r="DG119" s="49"/>
      <c r="DH119" s="49"/>
      <c r="DL119" s="49"/>
      <c r="DM119" s="49">
        <f t="shared" ref="DM119:EJ119" si="337">DM106/DM103</f>
        <v>0.39914754920396139</v>
      </c>
      <c r="DN119" s="49">
        <f t="shared" si="337"/>
        <v>0.38469214649236605</v>
      </c>
      <c r="DO119" s="49">
        <f t="shared" si="337"/>
        <v>0.38616663718379624</v>
      </c>
      <c r="DP119" s="49">
        <f t="shared" si="337"/>
        <v>0.39635316698656431</v>
      </c>
      <c r="DQ119" s="49">
        <f t="shared" si="337"/>
        <v>0.41110454813939751</v>
      </c>
      <c r="DR119" s="49">
        <f t="shared" si="337"/>
        <v>0.39487006878889269</v>
      </c>
      <c r="DS119" s="49">
        <f t="shared" si="337"/>
        <v>0.38689389328464191</v>
      </c>
      <c r="DT119" s="49">
        <f t="shared" si="337"/>
        <v>0.3653969089610048</v>
      </c>
      <c r="DU119" s="49">
        <f t="shared" si="337"/>
        <v>0.4866091489170486</v>
      </c>
      <c r="DV119" s="49">
        <f t="shared" si="337"/>
        <v>0.49970230219634826</v>
      </c>
      <c r="DW119" s="49">
        <f t="shared" si="337"/>
        <v>0.43402058931964493</v>
      </c>
      <c r="DX119" s="49">
        <f t="shared" si="337"/>
        <v>0.44554685908813174</v>
      </c>
      <c r="DY119" s="49">
        <f t="shared" si="337"/>
        <v>0.42775216770936231</v>
      </c>
      <c r="DZ119" s="49">
        <f t="shared" si="337"/>
        <v>0.45555017087239635</v>
      </c>
      <c r="EA119" s="49">
        <f t="shared" si="337"/>
        <v>0.50241476764569093</v>
      </c>
      <c r="EB119" s="49">
        <f t="shared" si="337"/>
        <v>0.39870578319149513</v>
      </c>
      <c r="EC119" s="49">
        <f t="shared" si="337"/>
        <v>0.44545163210181754</v>
      </c>
      <c r="ED119" s="49">
        <f t="shared" si="337"/>
        <v>0.46511292647765495</v>
      </c>
      <c r="EE119" s="49">
        <f t="shared" si="337"/>
        <v>0.47781440973130757</v>
      </c>
      <c r="EF119" s="49">
        <f t="shared" si="337"/>
        <v>0.28270923175990792</v>
      </c>
      <c r="EG119" s="49">
        <f t="shared" si="337"/>
        <v>0</v>
      </c>
      <c r="EH119" s="49">
        <f t="shared" si="337"/>
        <v>0</v>
      </c>
      <c r="EI119" s="49">
        <f t="shared" si="337"/>
        <v>0</v>
      </c>
      <c r="EJ119" s="49">
        <f t="shared" si="337"/>
        <v>0</v>
      </c>
      <c r="EK119" s="49"/>
      <c r="EL119" s="49"/>
      <c r="EM119" s="49">
        <f t="shared" ref="EM119:EN119" si="338">+EM106/EM103</f>
        <v>0.25779439415803052</v>
      </c>
      <c r="EN119" s="49">
        <f t="shared" si="338"/>
        <v>0.14852178958859918</v>
      </c>
      <c r="EO119" s="49">
        <f t="shared" ref="EO119:EP119" si="339">+EO106/EO103</f>
        <v>0.13043260965175324</v>
      </c>
      <c r="EP119" s="49">
        <f t="shared" si="339"/>
        <v>0.214375581904547</v>
      </c>
      <c r="EQ119" s="49">
        <f t="shared" ref="EQ119:EW119" si="340">+EQ106/EQ103</f>
        <v>0.2409212521884479</v>
      </c>
      <c r="ER119" s="49">
        <f t="shared" si="340"/>
        <v>0.23809027942503627</v>
      </c>
      <c r="ES119" s="49">
        <f t="shared" si="340"/>
        <v>0.24572213225042949</v>
      </c>
      <c r="ET119" s="49">
        <f t="shared" si="340"/>
        <v>0.24726495297872234</v>
      </c>
      <c r="EU119" s="49">
        <f t="shared" si="340"/>
        <v>0.24181513240006952</v>
      </c>
      <c r="EV119" s="49">
        <f t="shared" si="340"/>
        <v>0.29220370982849431</v>
      </c>
      <c r="EW119" s="49">
        <f t="shared" si="340"/>
        <v>0.28985903492795034</v>
      </c>
      <c r="EX119" s="49"/>
      <c r="EY119" s="49"/>
      <c r="EZ119" s="49"/>
      <c r="FA119" s="49"/>
      <c r="FB119" s="49"/>
      <c r="FC119" s="49"/>
      <c r="FD119" s="49"/>
      <c r="FE119" s="49"/>
      <c r="FF119" s="49"/>
      <c r="FG119" s="49"/>
      <c r="FH119" s="91"/>
      <c r="FI119" s="49"/>
      <c r="FJ119" s="92"/>
      <c r="FK119" s="49"/>
      <c r="FL119" s="14" t="s">
        <v>808</v>
      </c>
    </row>
    <row r="120" spans="2:204">
      <c r="B120" s="4" t="s">
        <v>809</v>
      </c>
      <c r="AE120" s="49">
        <f>AF107/AF103</f>
        <v>0.19245319210153344</v>
      </c>
      <c r="AF120" s="49">
        <f>AG107/AG103</f>
        <v>0.1903072332876381</v>
      </c>
      <c r="AG120" s="49">
        <f>AH107/AH103</f>
        <v>0.17233848818874323</v>
      </c>
      <c r="AH120" s="49">
        <f>AI107/AI103</f>
        <v>0.14133369654918235</v>
      </c>
      <c r="AK120" s="49">
        <f t="shared" ref="AK120:BV120" si="341">AK107/AK103</f>
        <v>0.14170925362220932</v>
      </c>
      <c r="AL120" s="49">
        <f t="shared" si="341"/>
        <v>0.1443599565490824</v>
      </c>
      <c r="AM120" s="49">
        <f t="shared" si="341"/>
        <v>0.11786183506981576</v>
      </c>
      <c r="AN120" s="49">
        <f t="shared" si="341"/>
        <v>0.13883450796136779</v>
      </c>
      <c r="AO120" s="49">
        <f t="shared" si="341"/>
        <v>0.14871225507826549</v>
      </c>
      <c r="AP120" s="49">
        <f t="shared" si="341"/>
        <v>0.1840561020092028</v>
      </c>
      <c r="AQ120" s="49">
        <f t="shared" si="341"/>
        <v>0.13099246432579767</v>
      </c>
      <c r="AR120" s="49">
        <f t="shared" si="341"/>
        <v>0.1654637315048719</v>
      </c>
      <c r="AS120" s="49">
        <f t="shared" si="341"/>
        <v>0.14476987447698744</v>
      </c>
      <c r="AT120" s="49">
        <f t="shared" si="341"/>
        <v>0.16628175519630484</v>
      </c>
      <c r="AU120" s="49">
        <f t="shared" si="341"/>
        <v>0.1310211015163173</v>
      </c>
      <c r="AV120" s="49">
        <f t="shared" si="341"/>
        <v>0.14640848012957267</v>
      </c>
      <c r="AW120" s="49">
        <f t="shared" si="341"/>
        <v>0.14548893823505221</v>
      </c>
      <c r="AX120" s="49">
        <f t="shared" si="341"/>
        <v>0.17967671188368126</v>
      </c>
      <c r="AY120" s="49">
        <f t="shared" si="341"/>
        <v>0.14414228015500469</v>
      </c>
      <c r="AZ120" s="49">
        <f t="shared" si="341"/>
        <v>0.14094078827263701</v>
      </c>
      <c r="BA120" s="49">
        <f t="shared" si="341"/>
        <v>0.13953287942773421</v>
      </c>
      <c r="BB120" s="49">
        <f t="shared" si="341"/>
        <v>0.16943099273607748</v>
      </c>
      <c r="BC120" s="49">
        <f t="shared" si="341"/>
        <v>0.12832349675685151</v>
      </c>
      <c r="BD120" s="49">
        <f t="shared" si="341"/>
        <v>0.12392798318850458</v>
      </c>
      <c r="BE120" s="49">
        <f t="shared" si="341"/>
        <v>0.12911710203837648</v>
      </c>
      <c r="BF120" s="49">
        <f t="shared" si="341"/>
        <v>0.15308911973756151</v>
      </c>
      <c r="BG120" s="49">
        <f t="shared" si="341"/>
        <v>0.12176275279203139</v>
      </c>
      <c r="BH120" s="49">
        <f t="shared" si="341"/>
        <v>0.11599346515689257</v>
      </c>
      <c r="BI120" s="49">
        <f t="shared" si="341"/>
        <v>0.1179677531608862</v>
      </c>
      <c r="BJ120" s="106">
        <f t="shared" si="341"/>
        <v>0.13895855726740713</v>
      </c>
      <c r="BK120" s="49">
        <f t="shared" si="341"/>
        <v>0.1137468403655454</v>
      </c>
      <c r="BL120" s="49">
        <f t="shared" si="341"/>
        <v>0.11051338247990967</v>
      </c>
      <c r="BM120" s="49">
        <f t="shared" si="341"/>
        <v>0.13845163136805952</v>
      </c>
      <c r="BN120" s="49">
        <f t="shared" si="341"/>
        <v>0.13119055428009183</v>
      </c>
      <c r="BO120" s="49">
        <f t="shared" si="341"/>
        <v>0.12651851851851853</v>
      </c>
      <c r="BP120" s="49">
        <f t="shared" si="341"/>
        <v>0.11724350574269637</v>
      </c>
      <c r="BQ120" s="49">
        <f t="shared" si="341"/>
        <v>0.12921437659033078</v>
      </c>
      <c r="BR120" s="49">
        <f t="shared" si="341"/>
        <v>0.13266137997480174</v>
      </c>
      <c r="BS120" s="49">
        <f t="shared" si="341"/>
        <v>0.14270538243626063</v>
      </c>
      <c r="BT120" s="49">
        <f t="shared" si="341"/>
        <v>0.13493937962525587</v>
      </c>
      <c r="BU120" s="49">
        <f t="shared" si="341"/>
        <v>0.1310109077454073</v>
      </c>
      <c r="BV120" s="49">
        <f t="shared" si="341"/>
        <v>0.13346246608499374</v>
      </c>
      <c r="BW120" s="49"/>
      <c r="BX120" s="49"/>
      <c r="BY120" s="49"/>
      <c r="BZ120" s="49"/>
      <c r="CA120" s="49"/>
      <c r="CB120" s="49"/>
      <c r="CC120" s="49"/>
      <c r="CD120" s="49"/>
      <c r="CE120" s="49"/>
      <c r="CF120" s="49"/>
      <c r="CG120" s="49"/>
      <c r="CH120" s="49"/>
      <c r="CI120" s="49"/>
      <c r="CJ120" s="49"/>
      <c r="CK120" s="138">
        <f t="shared" ref="CK120:CL120" si="342">CK107/CK103</f>
        <v>0.15025945702038054</v>
      </c>
      <c r="CL120" s="138">
        <f t="shared" si="342"/>
        <v>0.17385098487011133</v>
      </c>
      <c r="CM120" s="138">
        <f t="shared" ref="CM120:CO120" si="343">CM107/CM103</f>
        <v>0.1294243559360905</v>
      </c>
      <c r="CN120" s="138">
        <f t="shared" si="343"/>
        <v>0.14078531204196559</v>
      </c>
      <c r="CO120" s="138">
        <f t="shared" si="343"/>
        <v>0.15297271723702885</v>
      </c>
      <c r="CP120" s="138">
        <f t="shared" ref="CP120" si="344">CP107/CP103</f>
        <v>0.19868069734568872</v>
      </c>
      <c r="CQ120" s="138">
        <f t="shared" ref="CQ120:CR120" si="345">CQ107/CQ103</f>
        <v>0.1435219812183163</v>
      </c>
      <c r="CR120" s="138">
        <f t="shared" si="345"/>
        <v>0.16060683108738028</v>
      </c>
      <c r="CS120" s="138">
        <f t="shared" ref="CS120:CT120" si="346">CS107/CS103</f>
        <v>0.22380072005449062</v>
      </c>
      <c r="CT120" s="138">
        <f t="shared" si="346"/>
        <v>0.26382320061914177</v>
      </c>
      <c r="CU120" s="138">
        <f>CU107/CU103</f>
        <v>0.13723166799856706</v>
      </c>
      <c r="CV120" s="138">
        <f t="shared" ref="CV120:CY120" si="347">CV107/CV103</f>
        <v>0.11836605111381554</v>
      </c>
      <c r="CW120" s="138">
        <f t="shared" si="347"/>
        <v>0.1112863725042547</v>
      </c>
      <c r="CX120" s="138">
        <f t="shared" si="347"/>
        <v>0.14696257761369358</v>
      </c>
      <c r="CY120" s="138">
        <f t="shared" si="347"/>
        <v>8.94339357946176E-2</v>
      </c>
      <c r="CZ120" s="138">
        <f t="shared" ref="CZ120:DA120" si="348">CZ107/CZ103</f>
        <v>0.10132723904000458</v>
      </c>
      <c r="DA120" s="138">
        <f t="shared" si="348"/>
        <v>0.11909284471105848</v>
      </c>
      <c r="DB120" s="138">
        <f t="shared" ref="DB120:DF120" si="349">DB107/DB103</f>
        <v>0.14884506114382179</v>
      </c>
      <c r="DC120" s="138">
        <f t="shared" si="349"/>
        <v>0.14017223778237309</v>
      </c>
      <c r="DD120" s="138">
        <f t="shared" si="349"/>
        <v>0.18190911662632867</v>
      </c>
      <c r="DE120" s="138">
        <f t="shared" si="349"/>
        <v>0.18323734323717752</v>
      </c>
      <c r="DF120" s="138">
        <f t="shared" si="349"/>
        <v>0.25224751824361108</v>
      </c>
      <c r="DG120" s="49"/>
      <c r="DH120" s="49"/>
      <c r="DL120" s="49"/>
      <c r="DM120" s="49">
        <f t="shared" ref="DM120:EE120" si="350">DM107/DM103</f>
        <v>0.14115582299109941</v>
      </c>
      <c r="DN120" s="49">
        <f t="shared" si="350"/>
        <v>0.14389781458936235</v>
      </c>
      <c r="DO120" s="49">
        <f t="shared" si="350"/>
        <v>0.14894746152485405</v>
      </c>
      <c r="DP120" s="49">
        <f t="shared" si="350"/>
        <v>0.15419065898912349</v>
      </c>
      <c r="DQ120" s="49">
        <f t="shared" si="350"/>
        <v>0.1682663910218547</v>
      </c>
      <c r="DR120" s="49">
        <f t="shared" si="350"/>
        <v>0.14742789987344782</v>
      </c>
      <c r="DS120" s="49">
        <f t="shared" si="350"/>
        <v>0.14996280516670049</v>
      </c>
      <c r="DT120" s="49">
        <f t="shared" si="350"/>
        <v>0.18410860000752077</v>
      </c>
      <c r="DU120" s="49">
        <f t="shared" si="350"/>
        <v>0.23155387795452503</v>
      </c>
      <c r="DV120" s="49">
        <f t="shared" si="350"/>
        <v>0.24077136808679545</v>
      </c>
      <c r="DW120" s="49">
        <f t="shared" si="350"/>
        <v>0.21306826238620571</v>
      </c>
      <c r="DX120" s="49">
        <f t="shared" si="350"/>
        <v>0.21112048648491374</v>
      </c>
      <c r="DY120" s="49">
        <f t="shared" si="350"/>
        <v>0.20851168916694107</v>
      </c>
      <c r="DZ120" s="49">
        <f t="shared" si="350"/>
        <v>0.2198424711273754</v>
      </c>
      <c r="EA120" s="49">
        <f t="shared" si="350"/>
        <v>0.2678782241619862</v>
      </c>
      <c r="EB120" s="49">
        <f t="shared" si="350"/>
        <v>0.21060931509828978</v>
      </c>
      <c r="EC120" s="49">
        <f t="shared" si="350"/>
        <v>0.21375268964885777</v>
      </c>
      <c r="ED120" s="49">
        <f t="shared" si="350"/>
        <v>0.19822200864968764</v>
      </c>
      <c r="EE120" s="49">
        <f t="shared" si="350"/>
        <v>0.21380268750617804</v>
      </c>
      <c r="EF120" s="49"/>
      <c r="EG120" s="49"/>
      <c r="EH120" s="49"/>
      <c r="EI120" s="49"/>
      <c r="EJ120" s="49"/>
      <c r="EK120" s="49"/>
      <c r="EL120" s="49"/>
      <c r="EM120" s="49">
        <f t="shared" ref="EM120:EN120" si="351">+EM107/EM103</f>
        <v>0.19655428746337839</v>
      </c>
      <c r="EN120" s="49">
        <f t="shared" si="351"/>
        <v>0.12801567709511491</v>
      </c>
      <c r="EO120" s="49">
        <f t="shared" ref="EO120:EP120" si="352">+EO107/EO103</f>
        <v>0.11411978729359083</v>
      </c>
      <c r="EP120" s="49">
        <f t="shared" si="352"/>
        <v>0.18756425922325182</v>
      </c>
      <c r="EQ120" s="49">
        <f t="shared" ref="EQ120:EW120" si="353">+EQ107/EQ103</f>
        <v>0.21078994070315807</v>
      </c>
      <c r="ER120" s="49">
        <f t="shared" si="353"/>
        <v>0</v>
      </c>
      <c r="ES120" s="49">
        <f t="shared" si="353"/>
        <v>0</v>
      </c>
      <c r="ET120" s="49">
        <f t="shared" si="353"/>
        <v>0</v>
      </c>
      <c r="EU120" s="49">
        <f t="shared" si="353"/>
        <v>0</v>
      </c>
      <c r="EV120" s="49">
        <f t="shared" si="353"/>
        <v>0</v>
      </c>
      <c r="EW120" s="49">
        <f t="shared" si="353"/>
        <v>0</v>
      </c>
      <c r="EX120" s="49"/>
      <c r="EY120" s="49"/>
      <c r="EZ120" s="49"/>
      <c r="FA120" s="49"/>
      <c r="FB120" s="49"/>
      <c r="FC120" s="49"/>
      <c r="FD120" s="49"/>
      <c r="FE120" s="49"/>
      <c r="FF120" s="49"/>
      <c r="FG120" s="49"/>
      <c r="FH120" s="91"/>
      <c r="FI120" s="49"/>
      <c r="FJ120" s="92"/>
      <c r="FK120" s="49"/>
      <c r="FL120" s="14" t="s">
        <v>810</v>
      </c>
    </row>
    <row r="121" spans="2:204">
      <c r="B121" s="4" t="s">
        <v>798</v>
      </c>
      <c r="AE121" s="49">
        <f>AE108/AE103</f>
        <v>0.23741780736942225</v>
      </c>
      <c r="AF121" s="49">
        <f>AF108/AF103</f>
        <v>0.16710179985294277</v>
      </c>
      <c r="AG121" s="49">
        <f>AG108/AG103</f>
        <v>0.23756148697685664</v>
      </c>
      <c r="AH121" s="49">
        <f>AH108/AH103</f>
        <v>0.31005381876327881</v>
      </c>
      <c r="AK121" s="49">
        <f t="shared" ref="AK121:BV121" si="354">AK108/AK103</f>
        <v>0.39421877111134074</v>
      </c>
      <c r="AL121" s="49">
        <f t="shared" si="354"/>
        <v>0.34816477045337602</v>
      </c>
      <c r="AM121" s="49">
        <f t="shared" si="354"/>
        <v>0.49517247700815792</v>
      </c>
      <c r="AN121" s="49">
        <f t="shared" si="354"/>
        <v>0.4099125554685461</v>
      </c>
      <c r="AO121" s="49">
        <f t="shared" si="354"/>
        <v>0.40460366854837443</v>
      </c>
      <c r="AP121" s="49">
        <f t="shared" si="354"/>
        <v>0.29864857646493248</v>
      </c>
      <c r="AQ121" s="49">
        <f t="shared" si="354"/>
        <v>0.4597562930896264</v>
      </c>
      <c r="AR121" s="49">
        <f t="shared" si="354"/>
        <v>0.3239805124503789</v>
      </c>
      <c r="AS121" s="49">
        <f t="shared" si="354"/>
        <v>0.39933054393305439</v>
      </c>
      <c r="AT121" s="49">
        <f t="shared" si="354"/>
        <v>0.31039260969976906</v>
      </c>
      <c r="AU121" s="49">
        <f t="shared" si="354"/>
        <v>0.45231899750779947</v>
      </c>
      <c r="AV121" s="49">
        <f t="shared" si="354"/>
        <v>0.4045741800615934</v>
      </c>
      <c r="AW121" s="49">
        <f t="shared" si="354"/>
        <v>0.42774899251583187</v>
      </c>
      <c r="AX121" s="49">
        <f t="shared" si="354"/>
        <v>0.41791893428641053</v>
      </c>
      <c r="AY121" s="49">
        <f t="shared" si="354"/>
        <v>0.49860556137469664</v>
      </c>
      <c r="AZ121" s="49">
        <f t="shared" si="354"/>
        <v>0.4377688119993719</v>
      </c>
      <c r="BA121" s="49">
        <f t="shared" si="354"/>
        <v>0.42850986813755065</v>
      </c>
      <c r="BB121" s="49">
        <f t="shared" si="354"/>
        <v>0.33232445520581116</v>
      </c>
      <c r="BC121" s="49">
        <f t="shared" si="354"/>
        <v>0.44451586513177116</v>
      </c>
      <c r="BD121" s="49">
        <f t="shared" si="354"/>
        <v>0.43999545635258702</v>
      </c>
      <c r="BE121" s="49">
        <f t="shared" si="354"/>
        <v>0.41813617072150161</v>
      </c>
      <c r="BF121" s="49">
        <f t="shared" si="354"/>
        <v>0.32651722252597049</v>
      </c>
      <c r="BG121" s="49">
        <f t="shared" si="354"/>
        <v>0.41986115303350435</v>
      </c>
      <c r="BH121" s="49">
        <f t="shared" si="354"/>
        <v>0.42166638499239478</v>
      </c>
      <c r="BI121" s="49">
        <f t="shared" si="354"/>
        <v>0.42471871012643547</v>
      </c>
      <c r="BJ121" s="106">
        <f t="shared" si="354"/>
        <v>0.34097694971933595</v>
      </c>
      <c r="BK121" s="49">
        <f t="shared" si="354"/>
        <v>0.43282131051915224</v>
      </c>
      <c r="BL121" s="49">
        <f t="shared" si="354"/>
        <v>0.45101945938766025</v>
      </c>
      <c r="BM121" s="49">
        <f t="shared" si="354"/>
        <v>0.41120492272467085</v>
      </c>
      <c r="BN121" s="49">
        <f t="shared" si="354"/>
        <v>0.35952771400459166</v>
      </c>
      <c r="BO121" s="49">
        <f t="shared" si="354"/>
        <v>0.42096296296296298</v>
      </c>
      <c r="BP121" s="49">
        <f t="shared" si="354"/>
        <v>0.43999075001927079</v>
      </c>
      <c r="BQ121" s="49">
        <f t="shared" si="354"/>
        <v>0.43113867684478374</v>
      </c>
      <c r="BR121" s="49">
        <f t="shared" si="354"/>
        <v>0.36596753872378268</v>
      </c>
      <c r="BS121" s="49">
        <f t="shared" si="354"/>
        <v>0.41412889518413598</v>
      </c>
      <c r="BT121" s="49">
        <f t="shared" si="354"/>
        <v>0.40796724925208627</v>
      </c>
      <c r="BU121" s="49">
        <f t="shared" si="354"/>
        <v>0.39882444495929437</v>
      </c>
      <c r="BV121" s="49">
        <f t="shared" si="354"/>
        <v>0.36136330280557649</v>
      </c>
      <c r="BW121" s="49"/>
      <c r="BX121" s="49"/>
      <c r="BY121" s="49"/>
      <c r="BZ121" s="49"/>
      <c r="CA121" s="49"/>
      <c r="CB121" s="49"/>
      <c r="CC121" s="49"/>
      <c r="CD121" s="49"/>
      <c r="CE121" s="49"/>
      <c r="CF121" s="49"/>
      <c r="CG121" s="49"/>
      <c r="CH121" s="49"/>
      <c r="CI121" s="49"/>
      <c r="CJ121" s="49"/>
      <c r="CK121" s="138">
        <f t="shared" ref="CK121:CL121" si="355">CK108/CK103</f>
        <v>0.38768143190193277</v>
      </c>
      <c r="CL121" s="138">
        <f t="shared" si="355"/>
        <v>0.32572081073365688</v>
      </c>
      <c r="CM121" s="138">
        <f t="shared" ref="CM121:CO121" si="356">CM108/CM103</f>
        <v>0.43284152587722652</v>
      </c>
      <c r="CN121" s="138">
        <f t="shared" si="356"/>
        <v>0.39481601481138623</v>
      </c>
      <c r="CO121" s="138">
        <f t="shared" si="356"/>
        <v>0.40111969720864216</v>
      </c>
      <c r="CP121" s="138">
        <f t="shared" ref="CP121" si="357">CP108/CP103</f>
        <v>0.27752473692476831</v>
      </c>
      <c r="CQ121" s="138">
        <f t="shared" ref="CQ121:CR121" si="358">CQ108/CQ103</f>
        <v>0.43305908750934929</v>
      </c>
      <c r="CR121" s="138">
        <f t="shared" si="358"/>
        <v>0.41189931350114417</v>
      </c>
      <c r="CS121" s="138">
        <f t="shared" ref="CS121:CT121" si="359">CS108/CS103</f>
        <v>0.32227303687846648</v>
      </c>
      <c r="CT121" s="138">
        <f t="shared" si="359"/>
        <v>0.18393670994926478</v>
      </c>
      <c r="CU121" s="138">
        <f>CU108/CU103</f>
        <v>0.39637355672517838</v>
      </c>
      <c r="CV121" s="138">
        <f t="shared" ref="CV121:CY121" si="360">CV108/CV103</f>
        <v>0.36695063230858777</v>
      </c>
      <c r="CW121" s="138">
        <f t="shared" si="360"/>
        <v>0.36494956622805197</v>
      </c>
      <c r="CX121" s="138">
        <f t="shared" si="360"/>
        <v>0.28033227051518711</v>
      </c>
      <c r="CY121" s="138">
        <f t="shared" si="360"/>
        <v>0.42524569976696514</v>
      </c>
      <c r="CZ121" s="138">
        <f t="shared" ref="CZ121:DA121" si="361">CZ108/CZ103</f>
        <v>0.48323468556474364</v>
      </c>
      <c r="DA121" s="138">
        <f t="shared" si="361"/>
        <v>0.4711058495083445</v>
      </c>
      <c r="DB121" s="138">
        <f t="shared" ref="DB121:DF121" si="362">DB108/DB103</f>
        <v>0.27928521431218345</v>
      </c>
      <c r="DC121" s="138">
        <f t="shared" si="362"/>
        <v>0.44737900164908523</v>
      </c>
      <c r="DD121" s="138">
        <f t="shared" si="362"/>
        <v>0.37042228208717076</v>
      </c>
      <c r="DE121" s="138">
        <f t="shared" si="362"/>
        <v>0.33661957265851306</v>
      </c>
      <c r="DF121" s="138">
        <f t="shared" si="362"/>
        <v>0.17975233084980546</v>
      </c>
      <c r="DG121" s="49"/>
      <c r="DH121" s="49"/>
      <c r="DL121" s="49"/>
      <c r="DM121" s="49">
        <f t="shared" ref="DM121:EJ121" si="363">DM108/DM103</f>
        <v>0.24382599974927918</v>
      </c>
      <c r="DN121" s="49">
        <f t="shared" si="363"/>
        <v>0.25546352659415228</v>
      </c>
      <c r="DO121" s="49">
        <f t="shared" si="363"/>
        <v>0.27242172297894923</v>
      </c>
      <c r="DP121" s="49">
        <f t="shared" si="363"/>
        <v>0.26759436980166346</v>
      </c>
      <c r="DQ121" s="49">
        <f t="shared" si="363"/>
        <v>0.26602185469580625</v>
      </c>
      <c r="DR121" s="49">
        <f t="shared" si="363"/>
        <v>0.25811183190541992</v>
      </c>
      <c r="DS121" s="49">
        <f t="shared" si="363"/>
        <v>0.29722053154798134</v>
      </c>
      <c r="DT121" s="49">
        <f t="shared" si="363"/>
        <v>0.30673485503703984</v>
      </c>
      <c r="DU121" s="49">
        <f t="shared" si="363"/>
        <v>0.10146490518558461</v>
      </c>
      <c r="DV121" s="49">
        <f t="shared" si="363"/>
        <v>3.3209843874040752E-2</v>
      </c>
      <c r="DW121" s="49">
        <f t="shared" si="363"/>
        <v>0.17166274354102265</v>
      </c>
      <c r="DX121" s="49">
        <f t="shared" si="363"/>
        <v>0.13291047164596001</v>
      </c>
      <c r="DY121" s="49">
        <f t="shared" si="363"/>
        <v>0.15409944023707606</v>
      </c>
      <c r="DZ121" s="49">
        <f t="shared" si="363"/>
        <v>0.12460735800022828</v>
      </c>
      <c r="EA121" s="49">
        <f t="shared" si="363"/>
        <v>0.79659660859299541</v>
      </c>
      <c r="EB121" s="49">
        <f t="shared" si="363"/>
        <v>0.58156189673454961</v>
      </c>
      <c r="EC121" s="49">
        <f t="shared" si="363"/>
        <v>0.64828549191960816</v>
      </c>
      <c r="ED121" s="49">
        <f t="shared" si="363"/>
        <v>0.66458433445458909</v>
      </c>
      <c r="EE121" s="49">
        <f t="shared" si="363"/>
        <v>0.71801536216209938</v>
      </c>
      <c r="EF121" s="49">
        <f t="shared" si="363"/>
        <v>0</v>
      </c>
      <c r="EG121" s="49">
        <f t="shared" si="363"/>
        <v>0</v>
      </c>
      <c r="EH121" s="49">
        <f t="shared" si="363"/>
        <v>0</v>
      </c>
      <c r="EI121" s="49">
        <f t="shared" si="363"/>
        <v>0</v>
      </c>
      <c r="EJ121" s="49">
        <f t="shared" si="363"/>
        <v>0</v>
      </c>
      <c r="EK121" s="49"/>
      <c r="EL121" s="49"/>
      <c r="EM121" s="49">
        <f t="shared" ref="EM121:EN121" si="364">+EM108/EM103</f>
        <v>0.33936770300406666</v>
      </c>
      <c r="EN121" s="49">
        <f t="shared" si="364"/>
        <v>0.3462262851972423</v>
      </c>
      <c r="EO121" s="49">
        <f t="shared" ref="EO121:EP121" si="365">+EO108/EO103</f>
        <v>0.41463755947383141</v>
      </c>
      <c r="EP121" s="49">
        <f t="shared" si="365"/>
        <v>0.33806015887220126</v>
      </c>
      <c r="EQ121" s="49">
        <f t="shared" ref="EQ121:EW121" si="366">+EQ108/EQ103</f>
        <v>0.27828880710839399</v>
      </c>
      <c r="ER121" s="49">
        <f t="shared" si="366"/>
        <v>0.50190972057496375</v>
      </c>
      <c r="ES121" s="49">
        <f t="shared" si="366"/>
        <v>0.50427786774957051</v>
      </c>
      <c r="ET121" s="49">
        <f t="shared" si="366"/>
        <v>0.5127350470212777</v>
      </c>
      <c r="EU121" s="49">
        <f t="shared" si="366"/>
        <v>0.52818486759993044</v>
      </c>
      <c r="EV121" s="49">
        <f t="shared" si="366"/>
        <v>0.48779629017150572</v>
      </c>
      <c r="EW121" s="49">
        <f t="shared" si="366"/>
        <v>0.50014096507204975</v>
      </c>
      <c r="EX121" s="49"/>
      <c r="EY121" s="49"/>
      <c r="EZ121" s="49"/>
      <c r="FA121" s="49"/>
      <c r="FB121" s="49"/>
      <c r="FC121" s="49"/>
      <c r="FD121" s="49"/>
      <c r="FE121" s="49"/>
      <c r="FF121" s="49"/>
      <c r="FG121" s="49"/>
      <c r="FH121" s="91"/>
      <c r="FI121" s="49"/>
      <c r="FJ121" s="92"/>
      <c r="FK121" s="49"/>
      <c r="FL121" s="14" t="s">
        <v>811</v>
      </c>
    </row>
    <row r="122" spans="2:204">
      <c r="B122" s="4" t="s">
        <v>812</v>
      </c>
      <c r="AE122" s="49" t="e">
        <f>AE113/AE112</f>
        <v>#DIV/0!</v>
      </c>
      <c r="AF122" s="49" t="e">
        <f>AF113/AF112</f>
        <v>#DIV/0!</v>
      </c>
      <c r="AG122" s="49" t="e">
        <f>AG113/AG112</f>
        <v>#DIV/0!</v>
      </c>
      <c r="AH122" s="49" t="e">
        <f>AH113/AH112</f>
        <v>#DIV/0!</v>
      </c>
      <c r="AK122" s="49">
        <f t="shared" ref="AK122:BR122" si="367">AK113/AK112</f>
        <v>0.11614061798520427</v>
      </c>
      <c r="AL122" s="49">
        <f t="shared" si="367"/>
        <v>0.11877261877261878</v>
      </c>
      <c r="AM122" s="49">
        <f t="shared" si="367"/>
        <v>3.910681234700579E-2</v>
      </c>
      <c r="AN122" s="49">
        <f t="shared" si="367"/>
        <v>0.22598974968431995</v>
      </c>
      <c r="AO122" s="49">
        <f t="shared" si="367"/>
        <v>0.12994309326180725</v>
      </c>
      <c r="AP122" s="49">
        <f t="shared" si="367"/>
        <v>0.217</v>
      </c>
      <c r="AQ122" s="49">
        <f t="shared" si="367"/>
        <v>0.2154146977350497</v>
      </c>
      <c r="AR122" s="49">
        <f t="shared" si="367"/>
        <v>0.31481942714819428</v>
      </c>
      <c r="AS122" s="49">
        <f t="shared" si="367"/>
        <v>0.21587114515812217</v>
      </c>
      <c r="AT122" s="49">
        <f t="shared" si="367"/>
        <v>0.18847457627118644</v>
      </c>
      <c r="AU122" s="49">
        <f t="shared" si="367"/>
        <v>0.19305912368860498</v>
      </c>
      <c r="AV122" s="49">
        <f t="shared" si="367"/>
        <v>0.17386744316252739</v>
      </c>
      <c r="AW122" s="49">
        <f t="shared" si="367"/>
        <v>0.22228371149234458</v>
      </c>
      <c r="AX122" s="49">
        <f t="shared" si="367"/>
        <v>0.23393227366966138</v>
      </c>
      <c r="AY122" s="49">
        <f t="shared" si="367"/>
        <v>0.2655526354087302</v>
      </c>
      <c r="AZ122" s="49">
        <f t="shared" si="367"/>
        <v>0.2391476896290306</v>
      </c>
      <c r="BA122" s="49">
        <f t="shared" si="367"/>
        <v>0.31658193195150569</v>
      </c>
      <c r="BB122" s="49">
        <f t="shared" si="367"/>
        <v>0.28029739776951673</v>
      </c>
      <c r="BC122" s="49">
        <f t="shared" si="367"/>
        <v>0.28646748681898065</v>
      </c>
      <c r="BD122" s="49">
        <f t="shared" si="367"/>
        <v>0.30316205533596841</v>
      </c>
      <c r="BE122" s="49">
        <f t="shared" si="367"/>
        <v>0.27636946386946387</v>
      </c>
      <c r="BF122" s="49">
        <f t="shared" si="367"/>
        <v>0.22608695652173913</v>
      </c>
      <c r="BG122" s="49">
        <f t="shared" si="367"/>
        <v>0.2771137671536078</v>
      </c>
      <c r="BH122" s="49">
        <f t="shared" si="367"/>
        <v>0.2603051391862955</v>
      </c>
      <c r="BI122" s="49">
        <f t="shared" si="367"/>
        <v>0.30521407376006782</v>
      </c>
      <c r="BJ122" s="106">
        <f>BJ113/BJ112</f>
        <v>0.29937555753791256</v>
      </c>
      <c r="BK122" s="49">
        <f>BK113/BK112</f>
        <v>0.2860958366064415</v>
      </c>
      <c r="BL122" s="49">
        <f>BL113/BL112</f>
        <v>0.28629456897848654</v>
      </c>
      <c r="BM122" s="49">
        <f>BM113/BM112</f>
        <v>0.28124438050710304</v>
      </c>
      <c r="BN122" s="49">
        <f t="shared" ref="BN122:BP122" si="368">BN113/BN112</f>
        <v>0.29792452830188682</v>
      </c>
      <c r="BO122" s="49">
        <f t="shared" si="368"/>
        <v>0.27250744047619047</v>
      </c>
      <c r="BP122" s="49">
        <f t="shared" si="368"/>
        <v>0.28081207330219188</v>
      </c>
      <c r="BQ122" s="49">
        <f t="shared" si="367"/>
        <v>0.27750929368029742</v>
      </c>
      <c r="BR122" s="49">
        <f t="shared" si="367"/>
        <v>0.28663164039696437</v>
      </c>
      <c r="BS122" s="49">
        <f t="shared" ref="BS122:BV122" si="369">BS113/BS112</f>
        <v>0.26123057270598254</v>
      </c>
      <c r="BT122" s="49">
        <f t="shared" si="369"/>
        <v>0.27648285010422591</v>
      </c>
      <c r="BU122" s="49">
        <f t="shared" si="369"/>
        <v>0.27</v>
      </c>
      <c r="BV122" s="49">
        <f t="shared" si="369"/>
        <v>0.27</v>
      </c>
      <c r="BW122" s="49"/>
      <c r="BX122" s="49"/>
      <c r="BY122" s="49"/>
      <c r="BZ122" s="49"/>
      <c r="CA122" s="49"/>
      <c r="CB122" s="49"/>
      <c r="CC122" s="49"/>
      <c r="CD122" s="49"/>
      <c r="CE122" s="49"/>
      <c r="CF122" s="49"/>
      <c r="CG122" s="49"/>
      <c r="CH122" s="49"/>
      <c r="CI122" s="49"/>
      <c r="CJ122" s="49"/>
      <c r="CK122" s="138">
        <f t="shared" ref="CK122:CL122" si="370">CK113/CK112</f>
        <v>0.13402829486224871</v>
      </c>
      <c r="CL122" s="138">
        <f t="shared" si="370"/>
        <v>0.15014288854693339</v>
      </c>
      <c r="CM122" s="138">
        <f t="shared" ref="CM122:CO122" si="371">CM113/CM112</f>
        <v>0.15197515956529239</v>
      </c>
      <c r="CN122" s="138">
        <f t="shared" si="371"/>
        <v>0.17880413951705634</v>
      </c>
      <c r="CO122" s="138">
        <f t="shared" si="371"/>
        <v>0.15173095944609297</v>
      </c>
      <c r="CP122" s="138">
        <f t="shared" ref="CP122" si="372">CP113/CP112</f>
        <v>0.11236573946571192</v>
      </c>
      <c r="CQ122" s="138">
        <f t="shared" ref="CQ122:CR122" si="373">CQ113/CQ112</f>
        <v>0.14971280340930146</v>
      </c>
      <c r="CR122" s="138">
        <f t="shared" si="373"/>
        <v>0.14345910745067994</v>
      </c>
      <c r="CS122" s="138">
        <f t="shared" ref="CS122:CT122" si="374">CS113/CS112</f>
        <v>6.6859344894026979E-2</v>
      </c>
      <c r="CT122" s="138">
        <f t="shared" si="374"/>
        <v>-3.9273441335297005E-2</v>
      </c>
      <c r="CU122" s="138">
        <f>CU113/CU112</f>
        <v>0.17699271518494947</v>
      </c>
      <c r="CV122" s="138">
        <f t="shared" ref="CV122:CY122" si="375">CV113/CV112</f>
        <v>0.18399198167239406</v>
      </c>
      <c r="CW122" s="138">
        <f t="shared" si="375"/>
        <v>0.18287566742944317</v>
      </c>
      <c r="CX122" s="138">
        <f t="shared" si="375"/>
        <v>0.10850202429149798</v>
      </c>
      <c r="CY122" s="138">
        <f t="shared" si="375"/>
        <v>0.18017771452551684</v>
      </c>
      <c r="CZ122" s="138">
        <f t="shared" ref="CZ122:DA122" si="376">CZ113/CZ112</f>
        <v>0.1569347388369062</v>
      </c>
      <c r="DA122" s="138">
        <f t="shared" si="376"/>
        <v>4.1592872859979597E-2</v>
      </c>
      <c r="DB122" s="138">
        <f t="shared" ref="DB122:DF122" si="377">DB113/DB112</f>
        <v>0.10915445624411883</v>
      </c>
      <c r="DC122" s="138">
        <f t="shared" si="377"/>
        <v>0.15</v>
      </c>
      <c r="DD122" s="138">
        <f t="shared" si="377"/>
        <v>0.15</v>
      </c>
      <c r="DE122" s="138">
        <f t="shared" si="377"/>
        <v>0.15</v>
      </c>
      <c r="DF122" s="138">
        <f t="shared" si="377"/>
        <v>0.15</v>
      </c>
      <c r="DG122" s="49"/>
      <c r="DH122" s="49"/>
      <c r="DL122" s="49"/>
      <c r="DM122" s="49">
        <f t="shared" ref="DM122:DY122" si="378">DM113/DM112</f>
        <v>0.30636160714285715</v>
      </c>
      <c r="DN122" s="49">
        <f t="shared" si="378"/>
        <v>0.30865746549560852</v>
      </c>
      <c r="DO122" s="49">
        <f t="shared" si="378"/>
        <v>0.29387893134934057</v>
      </c>
      <c r="DP122" s="49">
        <f t="shared" si="378"/>
        <v>0.26913503422526447</v>
      </c>
      <c r="DQ122" s="49">
        <f t="shared" si="378"/>
        <v>0.14892136395267919</v>
      </c>
      <c r="DR122" s="49">
        <f t="shared" si="378"/>
        <v>0.31065049629164249</v>
      </c>
      <c r="DS122" s="49">
        <f t="shared" si="378"/>
        <v>0.26579322869373462</v>
      </c>
      <c r="DT122" s="49">
        <f t="shared" si="378"/>
        <v>0.33805752396832012</v>
      </c>
      <c r="DU122" s="40">
        <f t="shared" si="378"/>
        <v>1.8442569759896172</v>
      </c>
      <c r="DV122" s="49">
        <f t="shared" si="378"/>
        <v>-27.31782945736434</v>
      </c>
      <c r="DW122" s="49">
        <f t="shared" si="378"/>
        <v>0.85390907361613089</v>
      </c>
      <c r="DX122" s="49">
        <f t="shared" si="378"/>
        <v>1.2205270457697641</v>
      </c>
      <c r="DY122" s="49">
        <f t="shared" si="378"/>
        <v>0.64861963190184047</v>
      </c>
      <c r="DZ122" s="49">
        <v>0.21</v>
      </c>
      <c r="EA122" s="49">
        <v>0.22500000000000001</v>
      </c>
      <c r="EB122" s="49">
        <f>EB113/EB112</f>
        <v>0.2747543696396883</v>
      </c>
      <c r="EC122" s="49">
        <f>EC113/EC112</f>
        <v>0.27576129311588976</v>
      </c>
      <c r="ED122" s="49">
        <v>0.28999999999999998</v>
      </c>
      <c r="EE122" s="49">
        <v>0.28999999999999998</v>
      </c>
      <c r="EF122" s="49">
        <v>0.27500000000000002</v>
      </c>
      <c r="EG122" s="49">
        <v>0.27500000000000002</v>
      </c>
      <c r="EH122" s="49">
        <v>0.27</v>
      </c>
      <c r="EI122" s="49">
        <v>0.27</v>
      </c>
      <c r="EJ122" s="49">
        <v>0.27</v>
      </c>
      <c r="EK122" s="49"/>
      <c r="EL122" s="49"/>
      <c r="EM122" s="49">
        <f t="shared" ref="EM122" si="379">+EM113/EM112</f>
        <v>0.1022135051835248</v>
      </c>
      <c r="EN122" s="49">
        <f>+EN113/EN112</f>
        <v>0.16399455097977572</v>
      </c>
      <c r="EO122" s="49"/>
      <c r="EP122" s="49"/>
      <c r="EQ122" s="49"/>
      <c r="ER122" s="49"/>
      <c r="ES122" s="49"/>
      <c r="ET122" s="49"/>
      <c r="EU122" s="49"/>
      <c r="EV122" s="49"/>
      <c r="EW122" s="49"/>
      <c r="EX122" s="49"/>
      <c r="EY122" s="49"/>
      <c r="EZ122" s="49"/>
      <c r="FA122" s="49"/>
      <c r="FB122" s="49"/>
      <c r="FC122" s="49"/>
      <c r="FD122" s="49"/>
      <c r="FE122" s="49"/>
      <c r="FF122" s="49"/>
      <c r="FG122" s="49"/>
      <c r="FH122" s="91"/>
      <c r="FI122" s="49"/>
      <c r="FJ122" s="92"/>
      <c r="FK122" s="49"/>
      <c r="FL122" s="4" t="s">
        <v>813</v>
      </c>
    </row>
    <row r="123" spans="2:204">
      <c r="B123" s="4" t="s">
        <v>814</v>
      </c>
      <c r="AE123" s="49" t="e">
        <f>AE114/#REF!</f>
        <v>#REF!</v>
      </c>
      <c r="AF123" s="49" t="e">
        <f>AF114/#REF!</f>
        <v>#REF!</v>
      </c>
      <c r="AG123" s="49" t="e">
        <f>AG114/#REF!</f>
        <v>#REF!</v>
      </c>
      <c r="AH123" s="49" t="e">
        <f>AH114/#REF!</f>
        <v>#REF!</v>
      </c>
      <c r="AK123" s="49">
        <f t="shared" ref="AK123:BV123" si="380">AK114/AK103</f>
        <v>0.35988428004864054</v>
      </c>
      <c r="AL123" s="49">
        <f t="shared" si="380"/>
        <v>0.32715396489623233</v>
      </c>
      <c r="AM123" s="49">
        <f t="shared" si="380"/>
        <v>0.4917351584221944</v>
      </c>
      <c r="AN123" s="49">
        <f t="shared" si="380"/>
        <v>0.34000587314017233</v>
      </c>
      <c r="AO123" s="49">
        <f t="shared" si="380"/>
        <v>0.37536161628797943</v>
      </c>
      <c r="AP123" s="49">
        <f t="shared" si="380"/>
        <v>0.23706831136920345</v>
      </c>
      <c r="AQ123" s="49">
        <f t="shared" si="380"/>
        <v>0.38600288600288601</v>
      </c>
      <c r="AR123" s="49">
        <f t="shared" si="380"/>
        <v>0.24819559725730783</v>
      </c>
      <c r="AS123" s="49">
        <f t="shared" si="380"/>
        <v>0.33405857740585776</v>
      </c>
      <c r="AT123" s="49">
        <f t="shared" si="380"/>
        <v>0.2764434180138568</v>
      </c>
      <c r="AU123" s="49">
        <f t="shared" si="380"/>
        <v>0.38648849289978415</v>
      </c>
      <c r="AV123" s="49">
        <f t="shared" si="380"/>
        <v>0.34652780029914648</v>
      </c>
      <c r="AW123" s="49">
        <f t="shared" si="380"/>
        <v>0.34673904103955916</v>
      </c>
      <c r="AX123" s="49">
        <f t="shared" si="380"/>
        <v>0.36016570546665583</v>
      </c>
      <c r="AY123" s="49">
        <f t="shared" si="380"/>
        <v>0.36980857181035631</v>
      </c>
      <c r="AZ123" s="49">
        <f t="shared" si="380"/>
        <v>0.34551046991752493</v>
      </c>
      <c r="BA123" s="49">
        <f t="shared" si="380"/>
        <v>0.30121520296475052</v>
      </c>
      <c r="BB123" s="49">
        <f t="shared" si="380"/>
        <v>0.23438256658595641</v>
      </c>
      <c r="BC123" s="49">
        <f t="shared" si="380"/>
        <v>0.30842049903582069</v>
      </c>
      <c r="BD123" s="49">
        <f t="shared" si="380"/>
        <v>0.30039188958936786</v>
      </c>
      <c r="BE123" s="49">
        <f t="shared" si="380"/>
        <v>0.296909558252137</v>
      </c>
      <c r="BF123" s="49">
        <f t="shared" si="380"/>
        <v>0.24816839803171131</v>
      </c>
      <c r="BG123" s="49">
        <f t="shared" si="380"/>
        <v>0.29574403863567761</v>
      </c>
      <c r="BH123" s="49">
        <f t="shared" si="380"/>
        <v>0.31136274012731679</v>
      </c>
      <c r="BI123" s="49">
        <f t="shared" si="380"/>
        <v>0.28517573367358773</v>
      </c>
      <c r="BJ123" s="106">
        <f t="shared" si="380"/>
        <v>0.23450376209243998</v>
      </c>
      <c r="BK123" s="49">
        <f t="shared" si="380"/>
        <v>0.29451033767580531</v>
      </c>
      <c r="BL123" s="49">
        <f t="shared" si="380"/>
        <v>0.31506940293551172</v>
      </c>
      <c r="BM123" s="49">
        <f t="shared" si="380"/>
        <v>0.28599026903262736</v>
      </c>
      <c r="BN123" s="49">
        <f t="shared" si="380"/>
        <v>0.24408002623811087</v>
      </c>
      <c r="BO123" s="49">
        <f t="shared" si="380"/>
        <v>0.28970370370370369</v>
      </c>
      <c r="BP123" s="49">
        <f t="shared" si="380"/>
        <v>0.30856394049179064</v>
      </c>
      <c r="BQ123" s="49">
        <f t="shared" si="380"/>
        <v>0.30908078880407125</v>
      </c>
      <c r="BR123" s="49">
        <f t="shared" si="380"/>
        <v>0.2716964351886163</v>
      </c>
      <c r="BS123" s="49">
        <f t="shared" si="380"/>
        <v>0.30718838526912179</v>
      </c>
      <c r="BT123" s="49">
        <f t="shared" si="380"/>
        <v>0.30058258541961896</v>
      </c>
      <c r="BU123" s="49">
        <f t="shared" si="380"/>
        <v>0.29114184482028493</v>
      </c>
      <c r="BV123" s="49">
        <f t="shared" si="380"/>
        <v>0.26379521104807085</v>
      </c>
      <c r="BW123" s="49"/>
      <c r="BX123" s="49"/>
      <c r="BY123" s="49"/>
      <c r="BZ123" s="49"/>
      <c r="CA123" s="49"/>
      <c r="CB123" s="49"/>
      <c r="CC123" s="49"/>
      <c r="CD123" s="49"/>
      <c r="CE123" s="49"/>
      <c r="CF123" s="49"/>
      <c r="CG123" s="49"/>
      <c r="CH123" s="49"/>
      <c r="CI123" s="49"/>
      <c r="CJ123" s="49"/>
      <c r="CK123" s="138">
        <f t="shared" ref="CK123:CL123" si="381">CK114/CK103</f>
        <v>0.34985335037978493</v>
      </c>
      <c r="CL123" s="138">
        <f t="shared" si="381"/>
        <v>0.275906365972024</v>
      </c>
      <c r="CM123" s="138">
        <f t="shared" ref="CM123:CO123" si="382">CM114/CM103</f>
        <v>0.37581224677012459</v>
      </c>
      <c r="CN123" s="138">
        <f t="shared" si="382"/>
        <v>0.3305561984108617</v>
      </c>
      <c r="CO123" s="138">
        <f t="shared" si="382"/>
        <v>0.33811701624349472</v>
      </c>
      <c r="CP123" s="138">
        <f t="shared" ref="CP123" si="383">CP114/CP103</f>
        <v>0.25310193183602953</v>
      </c>
      <c r="CQ123" s="138">
        <f t="shared" ref="CQ123:CR123" si="384">CQ114/CQ103</f>
        <v>0.38136790492811434</v>
      </c>
      <c r="CR123" s="138">
        <f t="shared" si="384"/>
        <v>0.3790151707771845</v>
      </c>
      <c r="CS123" s="138">
        <f t="shared" ref="CS123:CT123" si="385">CS114/CS103</f>
        <v>0.47124647270604264</v>
      </c>
      <c r="CT123" s="138">
        <f t="shared" si="385"/>
        <v>0.18204488778054864</v>
      </c>
      <c r="CU123" s="138">
        <f>CU114/CU103</f>
        <v>0.3206619085673344</v>
      </c>
      <c r="CV123" s="138">
        <f t="shared" ref="CV123:CY123" si="386">CV114/CV103</f>
        <v>0.30155034657918406</v>
      </c>
      <c r="CW123" s="138">
        <f t="shared" si="386"/>
        <v>0.35573450666223899</v>
      </c>
      <c r="CX123" s="138">
        <f t="shared" si="386"/>
        <v>0.27714381607652289</v>
      </c>
      <c r="CY123" s="138">
        <f t="shared" si="386"/>
        <v>0.35019133796285468</v>
      </c>
      <c r="CZ123" s="138">
        <f t="shared" ref="CZ123:DA123" si="387">CZ114/CZ103</f>
        <v>0.41052851653461586</v>
      </c>
      <c r="DA123" s="138">
        <f t="shared" si="387"/>
        <v>0.47331454469957335</v>
      </c>
      <c r="DB123" s="138">
        <f t="shared" ref="DB123:DF123" si="388">DB114/DB103</f>
        <v>0.27286202495162021</v>
      </c>
      <c r="DC123" s="138">
        <f t="shared" si="388"/>
        <v>0.39757736594275617</v>
      </c>
      <c r="DD123" s="138">
        <f t="shared" si="388"/>
        <v>0.33319437783082223</v>
      </c>
      <c r="DE123" s="138">
        <f t="shared" si="388"/>
        <v>0.30538377594761951</v>
      </c>
      <c r="DF123" s="138">
        <f t="shared" si="388"/>
        <v>0.17255991833686388</v>
      </c>
      <c r="DG123" s="49"/>
      <c r="DH123" s="49"/>
      <c r="DL123" s="49"/>
      <c r="DM123" s="49">
        <f t="shared" ref="DM123:EJ123" si="389">DM114/DM103</f>
        <v>0.15582299109941081</v>
      </c>
      <c r="DN123" s="49">
        <f t="shared" si="389"/>
        <v>0.16495359744536472</v>
      </c>
      <c r="DO123" s="49">
        <f t="shared" si="389"/>
        <v>0.18468070051300195</v>
      </c>
      <c r="DP123" s="49">
        <f t="shared" si="389"/>
        <v>0.1878598848368522</v>
      </c>
      <c r="DQ123" s="49">
        <f t="shared" si="389"/>
        <v>0.27089486119314826</v>
      </c>
      <c r="DR123" s="49">
        <f t="shared" si="389"/>
        <v>0.15952216348162515</v>
      </c>
      <c r="DS123" s="49">
        <f t="shared" si="389"/>
        <v>0.1913843240684385</v>
      </c>
      <c r="DT123" s="49">
        <f t="shared" si="389"/>
        <v>0.17914488775241605</v>
      </c>
      <c r="DU123" s="49">
        <f t="shared" si="389"/>
        <v>-5.8461400197717263E-2</v>
      </c>
      <c r="DV123" s="49">
        <f t="shared" si="389"/>
        <v>-0.12083223074887536</v>
      </c>
      <c r="DW123" s="49">
        <f t="shared" si="389"/>
        <v>2.1780437310342873E-2</v>
      </c>
      <c r="DX123" s="49">
        <f t="shared" si="389"/>
        <v>-2.3131310192324478E-2</v>
      </c>
      <c r="DY123" s="49">
        <f t="shared" si="389"/>
        <v>6.2863571506969598E-2</v>
      </c>
      <c r="DZ123" s="49">
        <f t="shared" si="389"/>
        <v>0.13474220467519307</v>
      </c>
      <c r="EA123" s="49">
        <f t="shared" si="389"/>
        <v>0.6799722748899939</v>
      </c>
      <c r="EB123" s="49">
        <f t="shared" si="389"/>
        <v>0.42731626743522116</v>
      </c>
      <c r="EC123" s="49">
        <f t="shared" si="389"/>
        <v>0.45948358741931056</v>
      </c>
      <c r="ED123" s="49">
        <f t="shared" si="389"/>
        <v>0.46153411821239787</v>
      </c>
      <c r="EE123" s="49">
        <f t="shared" si="389"/>
        <v>0.49278205150568966</v>
      </c>
      <c r="EF123" s="49">
        <f t="shared" si="389"/>
        <v>0</v>
      </c>
      <c r="EG123" s="49">
        <f t="shared" si="389"/>
        <v>0</v>
      </c>
      <c r="EH123" s="49">
        <f t="shared" si="389"/>
        <v>0</v>
      </c>
      <c r="EI123" s="49">
        <f t="shared" si="389"/>
        <v>0</v>
      </c>
      <c r="EJ123" s="49">
        <f t="shared" si="389"/>
        <v>0</v>
      </c>
      <c r="EK123" s="49"/>
      <c r="EL123" s="49"/>
      <c r="EM123" s="49"/>
      <c r="EN123" s="49"/>
      <c r="EO123" s="49"/>
      <c r="EP123" s="49"/>
      <c r="EQ123" s="49"/>
      <c r="ER123" s="49"/>
      <c r="ES123" s="49"/>
      <c r="ET123" s="49"/>
      <c r="EU123" s="49"/>
      <c r="EV123" s="49"/>
      <c r="EW123" s="49"/>
      <c r="EX123" s="49"/>
      <c r="EY123" s="49"/>
      <c r="EZ123" s="49"/>
      <c r="FA123" s="49"/>
      <c r="FB123" s="49"/>
      <c r="FC123" s="49"/>
      <c r="FD123" s="49"/>
      <c r="FE123" s="49"/>
      <c r="FF123" s="49"/>
      <c r="FG123" s="49"/>
      <c r="FH123" s="91"/>
      <c r="FI123" s="49"/>
      <c r="FJ123" s="92"/>
      <c r="FK123" s="49"/>
      <c r="FL123" s="14" t="s">
        <v>815</v>
      </c>
    </row>
    <row r="124" spans="2:204">
      <c r="B124" s="14" t="s">
        <v>1591</v>
      </c>
      <c r="AE124" s="49"/>
      <c r="AF124" s="49"/>
      <c r="AG124" s="49"/>
      <c r="AH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106"/>
      <c r="BK124" s="49"/>
      <c r="BL124" s="49"/>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138"/>
      <c r="CL124" s="138"/>
      <c r="CM124" s="138"/>
      <c r="CN124" s="138"/>
      <c r="CO124" s="138"/>
      <c r="CP124" s="138"/>
      <c r="CQ124" s="138"/>
      <c r="CR124" s="138"/>
      <c r="CS124" s="138"/>
      <c r="CT124" s="138"/>
      <c r="CU124" s="138"/>
      <c r="CV124" s="138"/>
      <c r="CW124" s="138"/>
      <c r="CX124" s="138"/>
      <c r="CY124" s="138"/>
      <c r="CZ124" s="138"/>
      <c r="DA124" s="138"/>
      <c r="DB124" s="138"/>
      <c r="DC124" s="138"/>
      <c r="DD124" s="138"/>
      <c r="DE124" s="138"/>
      <c r="DF124" s="138"/>
      <c r="DG124" s="49"/>
      <c r="DH124" s="49"/>
      <c r="DL124" s="49"/>
      <c r="DM124" s="49"/>
      <c r="DN124" s="49"/>
      <c r="DO124" s="49"/>
      <c r="DP124" s="49"/>
      <c r="DQ124" s="49"/>
      <c r="DR124" s="49"/>
      <c r="DS124" s="49"/>
      <c r="DT124" s="49"/>
      <c r="DU124" s="49"/>
      <c r="DV124" s="49"/>
      <c r="DW124" s="49"/>
      <c r="DX124" s="49"/>
      <c r="DY124" s="49"/>
      <c r="DZ124" s="49"/>
      <c r="EA124" s="49"/>
      <c r="EB124" s="49"/>
      <c r="EC124" s="49"/>
      <c r="ED124" s="49"/>
      <c r="EE124" s="49"/>
      <c r="EF124" s="49"/>
      <c r="EG124" s="49"/>
      <c r="EH124" s="49"/>
      <c r="EI124" s="49"/>
      <c r="EJ124" s="49"/>
      <c r="EK124" s="49"/>
      <c r="EL124" s="49"/>
      <c r="EM124" s="49">
        <f>(EM3+EM6)/EM103</f>
        <v>3.3670033670033669E-3</v>
      </c>
      <c r="EN124" s="49">
        <f t="shared" ref="EN124:EW124" si="390">(EN3+EN6)/EN103</f>
        <v>0.45311378187790746</v>
      </c>
      <c r="EO124" s="49">
        <f t="shared" si="390"/>
        <v>0.56714045819839276</v>
      </c>
      <c r="EP124" s="49">
        <f t="shared" si="390"/>
        <v>0.31317780781197357</v>
      </c>
      <c r="EQ124" s="49">
        <f t="shared" si="390"/>
        <v>0.19553219257470489</v>
      </c>
      <c r="ER124" s="49">
        <f t="shared" si="390"/>
        <v>0.16887923301232446</v>
      </c>
      <c r="ES124" s="49">
        <f t="shared" si="390"/>
        <v>9.6829202138545928E-2</v>
      </c>
      <c r="ET124" s="49">
        <f t="shared" si="390"/>
        <v>5.4131758716597859E-2</v>
      </c>
      <c r="EU124" s="49">
        <f t="shared" si="390"/>
        <v>2.9410373688927429E-2</v>
      </c>
      <c r="EV124" s="49">
        <f t="shared" si="390"/>
        <v>1.9743779321673767E-2</v>
      </c>
      <c r="EW124" s="49">
        <f t="shared" si="390"/>
        <v>1.0880751695395006E-2</v>
      </c>
      <c r="EX124" s="49"/>
      <c r="EY124" s="49"/>
      <c r="EZ124" s="49"/>
      <c r="FA124" s="49"/>
      <c r="FB124" s="49"/>
      <c r="FC124" s="49"/>
      <c r="FD124" s="49"/>
      <c r="FE124" s="49"/>
      <c r="FF124" s="49"/>
      <c r="FG124" s="49"/>
      <c r="FH124" s="91"/>
      <c r="FI124" s="49"/>
      <c r="FJ124" s="92"/>
      <c r="FK124" s="49"/>
      <c r="FL124" s="14"/>
    </row>
    <row r="125" spans="2:204">
      <c r="AP125" s="62"/>
      <c r="FL125" s="14" t="s">
        <v>816</v>
      </c>
    </row>
    <row r="126" spans="2:204">
      <c r="B126" s="14" t="s">
        <v>817</v>
      </c>
      <c r="AP126" s="62"/>
      <c r="BA126" s="40">
        <v>-0.05</v>
      </c>
      <c r="BB126" s="40">
        <v>0.04</v>
      </c>
      <c r="BC126" s="40">
        <v>7.0000000000000007E-2</v>
      </c>
      <c r="EB126" s="40">
        <v>-0.04</v>
      </c>
      <c r="FL126" s="4" t="s">
        <v>818</v>
      </c>
    </row>
    <row r="127" spans="2:204" s="5" customFormat="1">
      <c r="B127" s="5" t="s">
        <v>819</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0">
        <f t="shared" ref="AL127:BV127" si="391">AL103/AH103-1</f>
        <v>3.5866837425878817E-2</v>
      </c>
      <c r="AM127" s="50">
        <f t="shared" si="391"/>
        <v>4.8913957904351379E-2</v>
      </c>
      <c r="AN127" s="50">
        <f t="shared" si="391"/>
        <v>0.32599266654408199</v>
      </c>
      <c r="AO127" s="50">
        <f t="shared" si="391"/>
        <v>1.6507578226210073E-2</v>
      </c>
      <c r="AP127" s="50">
        <f t="shared" si="391"/>
        <v>-6.3468355154079115E-2</v>
      </c>
      <c r="AQ127" s="50">
        <f t="shared" si="391"/>
        <v>-4.7175287970912638E-2</v>
      </c>
      <c r="AR127" s="50">
        <f t="shared" si="391"/>
        <v>-9.5862699034194754E-2</v>
      </c>
      <c r="AS127" s="50">
        <f t="shared" si="391"/>
        <v>-6.5661699166523313E-2</v>
      </c>
      <c r="AT127" s="50">
        <f t="shared" si="391"/>
        <v>-8.7525849504377362E-3</v>
      </c>
      <c r="AU127" s="50">
        <f t="shared" si="391"/>
        <v>2.2288760622093395E-3</v>
      </c>
      <c r="AV127" s="50">
        <f t="shared" si="391"/>
        <v>0.15171905449296297</v>
      </c>
      <c r="AW127" s="50">
        <f t="shared" si="391"/>
        <v>1.7489539748954064E-2</v>
      </c>
      <c r="AX127" s="50">
        <f t="shared" si="391"/>
        <v>-5.2270977675134667E-2</v>
      </c>
      <c r="AY127" s="50">
        <f t="shared" si="391"/>
        <v>-7.2161831377442143E-2</v>
      </c>
      <c r="AZ127" s="50">
        <f t="shared" si="391"/>
        <v>-7.9591613559320984E-2</v>
      </c>
      <c r="BA127" s="50">
        <f t="shared" si="391"/>
        <v>-4.572744469117529E-2</v>
      </c>
      <c r="BB127" s="50">
        <f t="shared" si="391"/>
        <v>0.34188936723255625</v>
      </c>
      <c r="BC127" s="50">
        <f t="shared" si="391"/>
        <v>0.475303134146289</v>
      </c>
      <c r="BD127" s="50">
        <f t="shared" si="391"/>
        <v>0.49851718545671497</v>
      </c>
      <c r="BE127" s="50">
        <f t="shared" si="391"/>
        <v>0.44178229768163413</v>
      </c>
      <c r="BF127" s="50">
        <f t="shared" si="391"/>
        <v>0.10714285714285721</v>
      </c>
      <c r="BG127" s="50">
        <f t="shared" si="391"/>
        <v>-3.2022439081400123E-2</v>
      </c>
      <c r="BH127" s="50">
        <f t="shared" si="391"/>
        <v>8.1785653433292804E-3</v>
      </c>
      <c r="BI127" s="50">
        <f t="shared" si="391"/>
        <v>3.0665311734114464E-2</v>
      </c>
      <c r="BJ127" s="107">
        <f t="shared" si="391"/>
        <v>-8.4417714598141069E-2</v>
      </c>
      <c r="BK127" s="107">
        <f t="shared" si="391"/>
        <v>-6.8578327799577399E-2</v>
      </c>
      <c r="BL127" s="107">
        <f t="shared" si="391"/>
        <v>-0.15176609768463745</v>
      </c>
      <c r="BM127" s="107">
        <f t="shared" si="391"/>
        <v>-0.18942118083748982</v>
      </c>
      <c r="BN127" s="107">
        <f t="shared" si="391"/>
        <v>-8.9633345276483922E-2</v>
      </c>
      <c r="BO127" s="107">
        <f t="shared" si="391"/>
        <v>-0.12502430488041993</v>
      </c>
      <c r="BP127" s="107">
        <f t="shared" si="391"/>
        <v>-0.13840738526930996</v>
      </c>
      <c r="BQ127" s="107">
        <f t="shared" si="391"/>
        <v>-0.10017172295363486</v>
      </c>
      <c r="BR127" s="107">
        <f t="shared" si="391"/>
        <v>-0.11492292554936046</v>
      </c>
      <c r="BS127" s="107">
        <f t="shared" si="391"/>
        <v>-0.16325925925925922</v>
      </c>
      <c r="BT127" s="107">
        <f t="shared" si="391"/>
        <v>-2.0889539813458757E-2</v>
      </c>
      <c r="BU127" s="107">
        <f t="shared" si="391"/>
        <v>-6.302719465648865E-2</v>
      </c>
      <c r="BV127" s="107">
        <f t="shared" si="391"/>
        <v>-5.5702215963833068E-2</v>
      </c>
      <c r="BW127" s="107"/>
      <c r="BX127" s="107"/>
      <c r="BY127" s="107"/>
      <c r="BZ127" s="107"/>
      <c r="CA127" s="107"/>
      <c r="CB127" s="107"/>
      <c r="CC127" s="107"/>
      <c r="CD127" s="107"/>
      <c r="CE127" s="107"/>
      <c r="CF127" s="107"/>
      <c r="CG127" s="107"/>
      <c r="CH127" s="107"/>
      <c r="CI127" s="107"/>
      <c r="CJ127" s="107"/>
      <c r="CK127" s="107"/>
      <c r="CL127" s="107"/>
      <c r="CM127" s="107"/>
      <c r="CN127" s="139"/>
      <c r="CO127" s="139">
        <f t="shared" ref="CO127:CS127" si="392">CO103/CK103-1</f>
        <v>-4.6251034067834818E-2</v>
      </c>
      <c r="CP127" s="139">
        <f t="shared" si="392"/>
        <v>-9.1207536397373667E-2</v>
      </c>
      <c r="CQ127" s="139">
        <f t="shared" si="392"/>
        <v>-8.0116199067349569E-2</v>
      </c>
      <c r="CR127" s="139">
        <f t="shared" si="392"/>
        <v>-8.9794029159916633E-2</v>
      </c>
      <c r="CS127" s="139">
        <f t="shared" si="392"/>
        <v>-0.18963885822425486</v>
      </c>
      <c r="CT127" s="139">
        <f>CT103/CP103-1</f>
        <v>-8.6775561488927289E-2</v>
      </c>
      <c r="CU127" s="139">
        <f>CU103/CQ103-1</f>
        <v>0.20631596443114764</v>
      </c>
      <c r="CV127" s="139">
        <f>CV103/CR103-1</f>
        <v>0.60174591067039573</v>
      </c>
      <c r="CW127" s="139">
        <f t="shared" ref="CW127:DA127" si="393">CW103/CS103-1</f>
        <v>1.3441665855794493</v>
      </c>
      <c r="CX127" s="139">
        <f t="shared" si="393"/>
        <v>1.0497033278871788</v>
      </c>
      <c r="CY127" s="139">
        <f t="shared" si="393"/>
        <v>0.76784976163575736</v>
      </c>
      <c r="CZ127" s="139">
        <f t="shared" si="393"/>
        <v>0.46789777236890884</v>
      </c>
      <c r="DA127" s="139">
        <f t="shared" si="393"/>
        <v>-6.0321281806483662E-2</v>
      </c>
      <c r="DB127" s="139">
        <f t="shared" ref="DB127:DF127" si="394">DB103/CX103-1</f>
        <v>1.8920959892599454E-2</v>
      </c>
      <c r="DC127" s="139">
        <f t="shared" si="394"/>
        <v>-0.33006967663494569</v>
      </c>
      <c r="DD127" s="139">
        <f t="shared" si="394"/>
        <v>-0.41512771341441446</v>
      </c>
      <c r="DE127" s="139">
        <f t="shared" si="394"/>
        <v>-0.31756548781242</v>
      </c>
      <c r="DF127" s="139">
        <f t="shared" si="394"/>
        <v>-0.38042080536912748</v>
      </c>
      <c r="DG127" s="107"/>
      <c r="DH127" s="107"/>
      <c r="DL127" s="52"/>
      <c r="DM127" s="52"/>
      <c r="DN127" s="56">
        <f t="shared" ref="DN127:EL127" si="395">DN103/DM103-1</f>
        <v>0.25623668045631187</v>
      </c>
      <c r="DO127" s="56">
        <f t="shared" si="395"/>
        <v>0.12823071549745535</v>
      </c>
      <c r="DP127" s="56">
        <f t="shared" si="395"/>
        <v>0.10596143640544842</v>
      </c>
      <c r="DQ127" s="56">
        <f t="shared" si="395"/>
        <v>8.3173384516954663E-2</v>
      </c>
      <c r="DR127" s="56">
        <f t="shared" si="395"/>
        <v>1.0212709460789791</v>
      </c>
      <c r="DS127" s="56">
        <f t="shared" si="395"/>
        <v>8.0285607249094504E-2</v>
      </c>
      <c r="DT127" s="56">
        <f t="shared" si="395"/>
        <v>-0.10079799824169877</v>
      </c>
      <c r="DU127" s="56">
        <f t="shared" si="395"/>
        <v>-0.16316323844620761</v>
      </c>
      <c r="DV127" s="56">
        <f t="shared" si="395"/>
        <v>0.35849734879122863</v>
      </c>
      <c r="DW127" s="56">
        <f t="shared" si="395"/>
        <v>0.16634691717385541</v>
      </c>
      <c r="DX127" s="56">
        <f t="shared" si="395"/>
        <v>-2.5297070417741985E-2</v>
      </c>
      <c r="DY127" s="56">
        <f t="shared" si="395"/>
        <v>6.0374174401349956E-2</v>
      </c>
      <c r="DZ127" s="56">
        <f t="shared" si="395"/>
        <v>-8.1620568543518845E-2</v>
      </c>
      <c r="EA127" s="56">
        <f t="shared" si="395"/>
        <v>-0.16481970706394067</v>
      </c>
      <c r="EB127" s="56">
        <f t="shared" si="395"/>
        <v>0.31574428504990526</v>
      </c>
      <c r="EC127" s="56">
        <f t="shared" si="395"/>
        <v>0.18779738437695426</v>
      </c>
      <c r="ED127" s="56">
        <f t="shared" si="395"/>
        <v>-4.7292038639381029E-2</v>
      </c>
      <c r="EE127" s="56">
        <f t="shared" si="395"/>
        <v>-0.17356559346468048</v>
      </c>
      <c r="EF127" s="56">
        <f t="shared" si="395"/>
        <v>0.4899029543961253</v>
      </c>
      <c r="EG127" s="56">
        <f t="shared" si="395"/>
        <v>-5.3158623919448922E-2</v>
      </c>
      <c r="EH127" s="56">
        <f t="shared" si="395"/>
        <v>-0.1329587896653901</v>
      </c>
      <c r="EI127" s="56">
        <f t="shared" si="395"/>
        <v>-0.26137702699914322</v>
      </c>
      <c r="EJ127" s="56">
        <f t="shared" si="395"/>
        <v>-6.4851868998751505E-2</v>
      </c>
      <c r="EK127" s="56">
        <f t="shared" si="395"/>
        <v>-0.1779029564027047</v>
      </c>
      <c r="EL127" s="56">
        <f t="shared" si="395"/>
        <v>1.1540613056770272</v>
      </c>
      <c r="EM127" s="56">
        <f t="shared" ref="EM127" si="396">EM103/EL103-1</f>
        <v>-0.11119315973571708</v>
      </c>
      <c r="EN127" s="56">
        <f t="shared" ref="EN127" si="397">EN103/EM103-1</f>
        <v>0.77842494206130586</v>
      </c>
      <c r="EO127" s="56">
        <f>EO103/EN103-1</f>
        <v>0.22992417164157053</v>
      </c>
      <c r="EP127" s="56">
        <f t="shared" ref="EP127:FB127" si="398">EP103/EO103-1</f>
        <v>-0.36114813582023886</v>
      </c>
      <c r="EQ127" s="56">
        <f t="shared" si="398"/>
        <v>-0.19916561132939514</v>
      </c>
      <c r="ER127" s="56">
        <f t="shared" si="398"/>
        <v>-8.9298700084592619E-2</v>
      </c>
      <c r="ES127" s="56">
        <f t="shared" si="398"/>
        <v>-0.12795298689600199</v>
      </c>
      <c r="ET127" s="56">
        <f t="shared" si="398"/>
        <v>-0.10561559023523659</v>
      </c>
      <c r="EU127" s="56">
        <f t="shared" si="398"/>
        <v>-7.9716577403134647E-2</v>
      </c>
      <c r="EV127" s="56">
        <f t="shared" si="398"/>
        <v>-0.25519898673497265</v>
      </c>
      <c r="EW127" s="56">
        <f t="shared" si="398"/>
        <v>-9.2719883956647764E-2</v>
      </c>
      <c r="EX127" s="56">
        <f t="shared" si="398"/>
        <v>-0.18067638713342449</v>
      </c>
      <c r="EY127" s="56">
        <f t="shared" si="398"/>
        <v>-6.7977663693546964E-2</v>
      </c>
      <c r="EZ127" s="56">
        <f t="shared" si="398"/>
        <v>-6.1081163544908113E-2</v>
      </c>
      <c r="FA127" s="56">
        <f t="shared" si="398"/>
        <v>-5.5754415074249386E-2</v>
      </c>
      <c r="FB127" s="56">
        <f t="shared" si="398"/>
        <v>-5.0880570146182524E-2</v>
      </c>
      <c r="FC127" s="56"/>
      <c r="FD127" s="56"/>
      <c r="FE127" s="56"/>
      <c r="FF127" s="56"/>
      <c r="FG127" s="56"/>
      <c r="FH127" s="93"/>
      <c r="FI127" s="56">
        <v>0</v>
      </c>
      <c r="FJ127" s="94"/>
      <c r="FK127" s="56"/>
      <c r="FL127" s="14" t="s">
        <v>820</v>
      </c>
    </row>
    <row r="128" spans="2:204" s="5" customFormat="1">
      <c r="B128" s="5" t="s">
        <v>1397</v>
      </c>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107"/>
      <c r="BK128" s="107"/>
      <c r="BL128" s="107"/>
      <c r="BM128" s="107"/>
      <c r="BN128" s="107"/>
      <c r="BO128" s="107"/>
      <c r="BP128" s="107"/>
      <c r="BQ128" s="107"/>
      <c r="BR128" s="107"/>
      <c r="BS128" s="107"/>
      <c r="BT128" s="107"/>
      <c r="BU128" s="107"/>
      <c r="BV128" s="107"/>
      <c r="BW128" s="107"/>
      <c r="BX128" s="107"/>
      <c r="BY128" s="107"/>
      <c r="BZ128" s="107"/>
      <c r="CA128" s="107"/>
      <c r="CB128" s="107"/>
      <c r="CC128" s="107"/>
      <c r="CD128" s="107"/>
      <c r="CE128" s="107"/>
      <c r="CF128" s="107"/>
      <c r="CG128" s="107"/>
      <c r="CH128" s="107"/>
      <c r="CI128" s="107"/>
      <c r="CJ128" s="107"/>
      <c r="CK128" s="107"/>
      <c r="CL128" s="107"/>
      <c r="CM128" s="107"/>
      <c r="CN128" s="139"/>
      <c r="CO128" s="139"/>
      <c r="CP128" s="139">
        <v>-0.01</v>
      </c>
      <c r="CQ128" s="139"/>
      <c r="CR128" s="139"/>
      <c r="CS128" s="139"/>
      <c r="CT128" s="139"/>
      <c r="CU128" s="139"/>
      <c r="CV128" s="139"/>
      <c r="CW128" s="139"/>
      <c r="CX128" s="139">
        <v>1.06</v>
      </c>
      <c r="CY128" s="139">
        <v>0.82</v>
      </c>
      <c r="CZ128" s="139">
        <v>0.53</v>
      </c>
      <c r="DA128" s="139">
        <v>-0.02</v>
      </c>
      <c r="DB128" s="139">
        <v>0.05</v>
      </c>
      <c r="DC128" s="139"/>
      <c r="DD128" s="139"/>
      <c r="DE128" s="139"/>
      <c r="DF128" s="139"/>
      <c r="DG128" s="107"/>
      <c r="DH128" s="107"/>
      <c r="DL128" s="52"/>
      <c r="DM128" s="52"/>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v>0.92</v>
      </c>
      <c r="EO128" s="56"/>
      <c r="EP128" s="56"/>
      <c r="EQ128" s="56"/>
      <c r="ER128" s="56"/>
      <c r="ES128" s="56"/>
      <c r="ET128" s="56"/>
      <c r="EU128" s="56"/>
      <c r="EV128" s="56"/>
      <c r="EW128" s="56"/>
      <c r="EX128" s="56"/>
      <c r="EY128" s="56"/>
      <c r="EZ128" s="56"/>
      <c r="FA128" s="56"/>
      <c r="FB128" s="56"/>
      <c r="FC128" s="56"/>
      <c r="FD128" s="56"/>
      <c r="FE128" s="56"/>
      <c r="FF128" s="56"/>
      <c r="FG128" s="56"/>
      <c r="FH128" s="93"/>
      <c r="FI128" s="56"/>
      <c r="FJ128" s="94"/>
      <c r="FK128" s="56"/>
      <c r="FL128" s="194" t="s">
        <v>829</v>
      </c>
    </row>
    <row r="129" spans="2:170" s="5" customFormat="1">
      <c r="B129" s="5" t="s">
        <v>821</v>
      </c>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0"/>
      <c r="AM129" s="50"/>
      <c r="AN129" s="50"/>
      <c r="AO129" s="50"/>
      <c r="AP129" s="50"/>
      <c r="AQ129" s="58">
        <f t="shared" ref="AQ129:BV129" si="399">AQ106/AM106-1</f>
        <v>-2.444771723122241E-2</v>
      </c>
      <c r="AR129" s="58">
        <f t="shared" si="399"/>
        <v>-2.1060842433697324E-2</v>
      </c>
      <c r="AS129" s="58">
        <f t="shared" si="399"/>
        <v>-3.0125299920021331E-2</v>
      </c>
      <c r="AT129" s="58">
        <f t="shared" si="399"/>
        <v>-6.576063130206089E-3</v>
      </c>
      <c r="AU129" s="58">
        <f t="shared" si="399"/>
        <v>2.9287439613526534E-2</v>
      </c>
      <c r="AV129" s="58">
        <f t="shared" si="399"/>
        <v>-1.8326693227091684E-2</v>
      </c>
      <c r="AW129" s="58">
        <f t="shared" si="399"/>
        <v>-5.7449147883452456E-2</v>
      </c>
      <c r="AX129" s="58">
        <f t="shared" si="399"/>
        <v>-0.22550750220653137</v>
      </c>
      <c r="AY129" s="58">
        <f t="shared" si="399"/>
        <v>-0.16984452918744497</v>
      </c>
      <c r="AZ129" s="58">
        <f t="shared" si="399"/>
        <v>-0.11688311688311692</v>
      </c>
      <c r="BA129" s="58">
        <f t="shared" si="399"/>
        <v>-5.9492563429571321E-2</v>
      </c>
      <c r="BB129" s="58">
        <f t="shared" si="399"/>
        <v>0.52279202279202286</v>
      </c>
      <c r="BC129" s="58">
        <f t="shared" si="399"/>
        <v>0.54593639575971742</v>
      </c>
      <c r="BD129" s="58">
        <f t="shared" si="399"/>
        <v>0.44822303921568629</v>
      </c>
      <c r="BE129" s="58">
        <f t="shared" si="399"/>
        <v>0.43100775193798446</v>
      </c>
      <c r="BF129" s="58">
        <f t="shared" si="399"/>
        <v>7.4462114125350753E-2</v>
      </c>
      <c r="BG129" s="58">
        <f t="shared" si="399"/>
        <v>2.8799999999999937E-2</v>
      </c>
      <c r="BH129" s="58">
        <f t="shared" si="399"/>
        <v>4.7175798603765529E-2</v>
      </c>
      <c r="BI129" s="58">
        <f t="shared" si="399"/>
        <v>-1.1917659804983716E-2</v>
      </c>
      <c r="BJ129" s="129">
        <f t="shared" si="399"/>
        <v>-6.8953508619188586E-2</v>
      </c>
      <c r="BK129" s="129">
        <f t="shared" si="399"/>
        <v>-8.6647411686291975E-2</v>
      </c>
      <c r="BL129" s="129">
        <f t="shared" si="399"/>
        <v>-0.20464646464646463</v>
      </c>
      <c r="BM129" s="129">
        <f t="shared" si="399"/>
        <v>-0.18223684210526314</v>
      </c>
      <c r="BN129" s="129">
        <f t="shared" si="399"/>
        <v>-0.1288573031606508</v>
      </c>
      <c r="BO129" s="129">
        <f t="shared" si="399"/>
        <v>-0.15008513743614693</v>
      </c>
      <c r="BP129" s="129">
        <f t="shared" si="399"/>
        <v>-9.8298196596393161E-2</v>
      </c>
      <c r="BQ129" s="129">
        <f t="shared" si="399"/>
        <v>-0.10136765888978283</v>
      </c>
      <c r="BR129" s="129">
        <f t="shared" si="399"/>
        <v>-0.12129669386002573</v>
      </c>
      <c r="BS129" s="129">
        <f t="shared" si="399"/>
        <v>-0.13566113337149399</v>
      </c>
      <c r="BT129" s="129">
        <f t="shared" si="399"/>
        <v>-1.802816901408455E-2</v>
      </c>
      <c r="BU129" s="129">
        <f t="shared" si="399"/>
        <v>-5.0000000000000044E-2</v>
      </c>
      <c r="BV129" s="129">
        <f t="shared" si="399"/>
        <v>-5.0000000000000044E-2</v>
      </c>
      <c r="BW129" s="129"/>
      <c r="BX129" s="129"/>
      <c r="BY129" s="129"/>
      <c r="BZ129" s="129"/>
      <c r="CA129" s="129"/>
      <c r="CB129" s="129"/>
      <c r="CC129" s="129"/>
      <c r="CD129" s="129"/>
      <c r="CE129" s="129"/>
      <c r="CF129" s="129"/>
      <c r="CG129" s="129"/>
      <c r="CH129" s="129"/>
      <c r="CI129" s="129"/>
      <c r="CJ129" s="129"/>
      <c r="CK129" s="129"/>
      <c r="CL129" s="129"/>
      <c r="CM129" s="129"/>
      <c r="CN129" s="140"/>
      <c r="CO129" s="140">
        <f t="shared" ref="CO129:CS129" si="400">+CO106/CK106-1</f>
        <v>-7.9227888216652276E-2</v>
      </c>
      <c r="CP129" s="140">
        <f t="shared" si="400"/>
        <v>2.5705645161290258E-2</v>
      </c>
      <c r="CQ129" s="140">
        <f t="shared" si="400"/>
        <v>-0.17094533373603138</v>
      </c>
      <c r="CR129" s="140">
        <f t="shared" si="400"/>
        <v>-0.18937644341801385</v>
      </c>
      <c r="CS129" s="140">
        <f t="shared" si="400"/>
        <v>-0.16833541927409257</v>
      </c>
      <c r="CT129" s="140">
        <f t="shared" ref="CT129:DA129" si="401">+CT106/CP106-1</f>
        <v>-0.12039312039312045</v>
      </c>
      <c r="CU129" s="140">
        <f t="shared" si="401"/>
        <v>-3.715846994535521E-2</v>
      </c>
      <c r="CV129" s="140">
        <f t="shared" si="401"/>
        <v>-1.0683760683760646E-2</v>
      </c>
      <c r="CW129" s="140">
        <f t="shared" si="401"/>
        <v>2.2949586155003754E-2</v>
      </c>
      <c r="CX129" s="140">
        <f t="shared" si="401"/>
        <v>0.10083798882681561</v>
      </c>
      <c r="CY129" s="140">
        <f t="shared" si="401"/>
        <v>-5.5618615209988675E-2</v>
      </c>
      <c r="CZ129" s="140">
        <f t="shared" si="401"/>
        <v>4.3916486681065514E-2</v>
      </c>
      <c r="DA129" s="140">
        <f t="shared" si="401"/>
        <v>0.19124678190511224</v>
      </c>
      <c r="DB129" s="140">
        <f t="shared" ref="DB129:DF129" si="402">+DB106/CX106-1</f>
        <v>0.1200202994163917</v>
      </c>
      <c r="DC129" s="140">
        <f t="shared" si="402"/>
        <v>5.0000000000000044E-2</v>
      </c>
      <c r="DD129" s="140">
        <f t="shared" si="402"/>
        <v>5.0000000000000044E-2</v>
      </c>
      <c r="DE129" s="140">
        <f t="shared" si="402"/>
        <v>5.0000000000000044E-2</v>
      </c>
      <c r="DF129" s="140">
        <f t="shared" si="402"/>
        <v>5.0000000000000044E-2</v>
      </c>
      <c r="DG129" s="129"/>
      <c r="DH129" s="129"/>
      <c r="DL129" s="52"/>
      <c r="DM129" s="52"/>
      <c r="DN129" s="52"/>
      <c r="DO129" s="52"/>
      <c r="DP129" s="52"/>
      <c r="DQ129" s="52"/>
      <c r="DR129" s="52"/>
      <c r="DS129" s="52"/>
      <c r="DT129" s="52"/>
      <c r="DU129" s="52"/>
      <c r="DV129" s="52"/>
      <c r="DW129" s="52"/>
      <c r="DX129" s="52"/>
      <c r="DY129" s="52"/>
      <c r="DZ129" s="52"/>
      <c r="EA129" s="52"/>
      <c r="EB129" s="45"/>
      <c r="EC129" s="45"/>
      <c r="ED129" s="45"/>
      <c r="EE129" s="45"/>
      <c r="EF129" s="45"/>
      <c r="EG129" s="45"/>
      <c r="EH129" s="45"/>
      <c r="EI129" s="45"/>
      <c r="EJ129" s="45"/>
      <c r="EK129" s="45"/>
      <c r="EL129" s="45"/>
      <c r="EM129" s="56"/>
      <c r="EN129" s="56">
        <f t="shared" ref="EN129:EO129" si="403">+EN106/EM106-1</f>
        <v>2.4595030107709359E-2</v>
      </c>
      <c r="EO129" s="56">
        <f t="shared" si="403"/>
        <v>8.0125817399221866E-2</v>
      </c>
      <c r="EP129" s="56">
        <f>+EP106/EO106-1</f>
        <v>5.0000000000000044E-2</v>
      </c>
      <c r="EQ129" s="56">
        <f t="shared" ref="EQ129:EW129" si="404">+EQ106/EP106-1</f>
        <v>-9.9999999999999978E-2</v>
      </c>
      <c r="ER129" s="56">
        <f t="shared" si="404"/>
        <v>-9.9999999999999978E-2</v>
      </c>
      <c r="ES129" s="56">
        <f t="shared" si="404"/>
        <v>-9.9999999999999978E-2</v>
      </c>
      <c r="ET129" s="56">
        <f t="shared" si="404"/>
        <v>-9.9999999999999978E-2</v>
      </c>
      <c r="EU129" s="56">
        <f t="shared" si="404"/>
        <v>-9.9999999999999978E-2</v>
      </c>
      <c r="EV129" s="56">
        <f t="shared" si="404"/>
        <v>-9.9999999999999978E-2</v>
      </c>
      <c r="EW129" s="56">
        <f t="shared" si="404"/>
        <v>-9.9999999999999978E-2</v>
      </c>
      <c r="EX129" s="45"/>
      <c r="EY129" s="45"/>
      <c r="EZ129" s="45"/>
      <c r="FA129" s="45"/>
      <c r="FB129" s="45"/>
      <c r="FC129" s="45"/>
      <c r="FD129" s="45"/>
      <c r="FE129" s="45"/>
      <c r="FF129" s="45"/>
      <c r="FG129" s="45"/>
      <c r="FH129" s="87"/>
      <c r="FI129" s="45"/>
      <c r="FJ129" s="88"/>
      <c r="FK129" s="45"/>
      <c r="FL129" s="14" t="s">
        <v>822</v>
      </c>
    </row>
    <row r="130" spans="2:170">
      <c r="B130" s="14" t="s">
        <v>823</v>
      </c>
      <c r="AB130" s="58"/>
      <c r="AC130" s="58"/>
      <c r="AD130" s="58"/>
      <c r="AE130" s="58"/>
      <c r="AF130" s="58"/>
      <c r="AG130" s="58"/>
      <c r="AH130" s="58"/>
      <c r="AI130" s="58"/>
      <c r="AJ130" s="58"/>
      <c r="AK130" s="58"/>
      <c r="AL130" s="58"/>
      <c r="AM130" s="58"/>
      <c r="AN130" s="58"/>
      <c r="AO130" s="58"/>
      <c r="AP130" s="130"/>
      <c r="AQ130" s="58"/>
      <c r="AR130" s="58"/>
      <c r="AS130" s="58"/>
      <c r="AT130" s="58"/>
      <c r="AU130" s="58"/>
      <c r="AV130" s="58"/>
      <c r="AW130" s="58"/>
      <c r="AX130" s="58"/>
      <c r="AY130" s="58"/>
      <c r="AZ130" s="58"/>
      <c r="BA130" s="58"/>
      <c r="BB130" s="129">
        <f t="shared" ref="BB130:BV130" si="405">BB5/AX5-1</f>
        <v>-0.52404643449419575</v>
      </c>
      <c r="BC130" s="129">
        <f t="shared" si="405"/>
        <v>6.8044788975021531E-2</v>
      </c>
      <c r="BD130" s="129">
        <f t="shared" si="405"/>
        <v>0.14852319059742336</v>
      </c>
      <c r="BE130" s="129">
        <f t="shared" si="405"/>
        <v>0.30571428571428561</v>
      </c>
      <c r="BF130" s="131">
        <f t="shared" si="405"/>
        <v>2.6550522648083623</v>
      </c>
      <c r="BG130" s="129">
        <f t="shared" si="405"/>
        <v>0.42555831265508681</v>
      </c>
      <c r="BH130" s="129">
        <f t="shared" si="405"/>
        <v>8.4444444444444544E-2</v>
      </c>
      <c r="BI130" s="129">
        <f t="shared" si="405"/>
        <v>0.20787746170678334</v>
      </c>
      <c r="BJ130" s="129">
        <f t="shared" si="405"/>
        <v>-0.12678741658722592</v>
      </c>
      <c r="BK130" s="129">
        <f t="shared" si="405"/>
        <v>-6.0922541340295955E-2</v>
      </c>
      <c r="BL130" s="129">
        <f t="shared" si="405"/>
        <v>2.4590163934426146E-2</v>
      </c>
      <c r="BM130" s="129">
        <f t="shared" si="405"/>
        <v>-0.14039855072463769</v>
      </c>
      <c r="BN130" s="129">
        <f t="shared" si="405"/>
        <v>0.18886462882096078</v>
      </c>
      <c r="BO130" s="129">
        <f t="shared" si="405"/>
        <v>-0.14087117701575536</v>
      </c>
      <c r="BP130" s="129">
        <f t="shared" si="405"/>
        <v>-3.1000000000000028E-2</v>
      </c>
      <c r="BQ130" s="129">
        <f t="shared" si="405"/>
        <v>1.0537407797681864E-2</v>
      </c>
      <c r="BR130" s="129">
        <f t="shared" si="405"/>
        <v>2.7548209366391241E-2</v>
      </c>
      <c r="BS130" s="129">
        <f t="shared" si="405"/>
        <v>0</v>
      </c>
      <c r="BT130" s="129">
        <f t="shared" si="405"/>
        <v>0.13209494324045412</v>
      </c>
      <c r="BU130" s="129">
        <f t="shared" si="405"/>
        <v>1.0000000000000009E-2</v>
      </c>
      <c r="BV130" s="129">
        <f t="shared" si="405"/>
        <v>1.0000000000000009E-2</v>
      </c>
      <c r="BW130" s="129"/>
      <c r="BX130" s="129"/>
      <c r="BY130" s="129"/>
      <c r="BZ130" s="129"/>
      <c r="CA130" s="129"/>
      <c r="CB130" s="129"/>
      <c r="CC130" s="129"/>
      <c r="CD130" s="129"/>
      <c r="CE130" s="129"/>
      <c r="CF130" s="129"/>
      <c r="CG130" s="129"/>
      <c r="CH130" s="129"/>
      <c r="CI130" s="129"/>
      <c r="CJ130" s="129"/>
      <c r="CK130" s="129"/>
      <c r="CL130" s="129"/>
      <c r="CM130" s="129"/>
      <c r="CN130" s="140"/>
      <c r="CO130" s="140">
        <f t="shared" ref="CO130" si="406">+CO5/CK5-1</f>
        <v>-3.4337349397590367E-2</v>
      </c>
      <c r="CP130" s="140">
        <f t="shared" ref="CP130" si="407">+CP5/CL5-1</f>
        <v>4.4312169312169303E-2</v>
      </c>
      <c r="CQ130" s="140">
        <f t="shared" ref="CQ130" si="408">+CQ5/CM5-1</f>
        <v>-2.4226110363391617E-2</v>
      </c>
      <c r="CR130" s="140">
        <f t="shared" ref="CR130" si="409">+CR5/CN5-1</f>
        <v>-5.3435114503816772E-2</v>
      </c>
      <c r="CS130" s="140">
        <f t="shared" ref="CS130" si="410">+CS5/CO5-1</f>
        <v>-4.3044291952588853E-2</v>
      </c>
      <c r="CT130" s="140">
        <f t="shared" ref="CT130:CZ130" si="411">+CT5/CP5-1</f>
        <v>0.10829639012032932</v>
      </c>
      <c r="CU130" s="140">
        <f t="shared" si="411"/>
        <v>-0.11448275862068968</v>
      </c>
      <c r="CV130" s="140">
        <f t="shared" si="411"/>
        <v>0.11200716845878134</v>
      </c>
      <c r="CW130" s="140">
        <f t="shared" si="411"/>
        <v>-5.6714471968709268E-2</v>
      </c>
      <c r="CX130" s="140">
        <f t="shared" si="411"/>
        <v>-0.25600000000000001</v>
      </c>
      <c r="CY130" s="140">
        <f t="shared" si="411"/>
        <v>0.21884735202492211</v>
      </c>
      <c r="CZ130" s="140">
        <f t="shared" si="411"/>
        <v>0.15149073327961315</v>
      </c>
      <c r="DA130" s="140">
        <f>+DA5/CW5-1</f>
        <v>0.11057360055286791</v>
      </c>
      <c r="DB130" s="140">
        <f t="shared" ref="DB130:DF130" si="412">+DB5/CX5-1</f>
        <v>0.33333333333333326</v>
      </c>
      <c r="DC130" s="140">
        <f t="shared" si="412"/>
        <v>0</v>
      </c>
      <c r="DD130" s="140">
        <f t="shared" si="412"/>
        <v>0</v>
      </c>
      <c r="DE130" s="140">
        <f t="shared" si="412"/>
        <v>0</v>
      </c>
      <c r="DF130" s="140">
        <f t="shared" si="412"/>
        <v>0</v>
      </c>
      <c r="DG130" s="129"/>
      <c r="DH130" s="129"/>
      <c r="DR130" s="40"/>
      <c r="DS130" s="40"/>
      <c r="DT130" s="40"/>
      <c r="DU130" s="40"/>
      <c r="DV130" s="40">
        <f t="shared" ref="DV130:EJ130" si="413">DV5/DU5-1</f>
        <v>0.46038610038610051</v>
      </c>
      <c r="DW130" s="40">
        <f t="shared" si="413"/>
        <v>0.1142131979695431</v>
      </c>
      <c r="DX130" s="40">
        <f t="shared" si="413"/>
        <v>0.43156795747911936</v>
      </c>
      <c r="DY130" s="40">
        <f t="shared" si="413"/>
        <v>0.3003381290194258</v>
      </c>
      <c r="DZ130" s="40">
        <f t="shared" si="413"/>
        <v>0.24356294294600533</v>
      </c>
      <c r="EA130" s="40">
        <f t="shared" si="413"/>
        <v>0.11357113571135713</v>
      </c>
      <c r="EB130" s="40">
        <f t="shared" si="413"/>
        <v>-0.32795839469808552</v>
      </c>
      <c r="EC130" s="40">
        <f t="shared" si="413"/>
        <v>1.010119078599546</v>
      </c>
      <c r="ED130" s="40">
        <f t="shared" si="413"/>
        <v>0.12973562278550022</v>
      </c>
      <c r="EE130" s="40">
        <f t="shared" si="413"/>
        <v>-6.755126658624877E-3</v>
      </c>
      <c r="EF130" s="40">
        <f t="shared" si="413"/>
        <v>-3.4734029633228025E-2</v>
      </c>
      <c r="EG130" s="40">
        <f t="shared" si="413"/>
        <v>3.7438349270256799E-2</v>
      </c>
      <c r="EH130" s="40">
        <f t="shared" si="413"/>
        <v>4.0000000000000036E-2</v>
      </c>
      <c r="EI130" s="40">
        <f t="shared" si="413"/>
        <v>-1</v>
      </c>
      <c r="EJ130" s="40" t="e">
        <f t="shared" si="413"/>
        <v>#DIV/0!</v>
      </c>
      <c r="EK130" s="40"/>
      <c r="EL130" s="40"/>
      <c r="EM130" s="40">
        <f t="shared" ref="EM130" si="414">EM5/EL5-1</f>
        <v>5.1308363263213863E-4</v>
      </c>
      <c r="EN130" s="40">
        <f t="shared" ref="EN130" si="415">EN5/EM5-1</f>
        <v>-9.8461538461538489E-2</v>
      </c>
      <c r="EO130" s="40">
        <f t="shared" ref="EO130" si="416">EO5/EN5-1</f>
        <v>0.201554797117937</v>
      </c>
      <c r="EP130" s="40">
        <f t="shared" ref="EP130" si="417">EP5/EO5-1</f>
        <v>0</v>
      </c>
      <c r="EQ130" s="40">
        <f t="shared" ref="EQ130" si="418">EQ5/EP5-1</f>
        <v>1.0000000000000009E-2</v>
      </c>
      <c r="ER130" s="40">
        <f t="shared" ref="ER130" si="419">ER5/EQ5-1</f>
        <v>1.0000000000000009E-2</v>
      </c>
      <c r="ES130" s="40">
        <f t="shared" ref="ES130" si="420">ES5/ER5-1</f>
        <v>1.0000000000000009E-2</v>
      </c>
      <c r="ET130" s="40">
        <f t="shared" ref="ET130" si="421">ET5/ES5-1</f>
        <v>1.0000000000000009E-2</v>
      </c>
      <c r="EU130" s="40">
        <f t="shared" ref="EU130" si="422">EU5/ET5-1</f>
        <v>1.0000000000000009E-2</v>
      </c>
      <c r="EV130" s="40">
        <f t="shared" ref="EV130" si="423">EV5/EU5-1</f>
        <v>1.0000000000000009E-2</v>
      </c>
      <c r="EW130" s="40">
        <f t="shared" ref="EW130" si="424">EW5/EV5-1</f>
        <v>1.0000000000000009E-2</v>
      </c>
      <c r="EX130" s="40">
        <f t="shared" ref="EX130" si="425">EX5/EW5-1</f>
        <v>1.0000000000000009E-2</v>
      </c>
      <c r="EY130" s="40">
        <f t="shared" ref="EY130" si="426">EY5/EX5-1</f>
        <v>1.0000000000000009E-2</v>
      </c>
      <c r="EZ130" s="40">
        <f t="shared" ref="EZ130" si="427">EZ5/EY5-1</f>
        <v>1.0000000000000009E-2</v>
      </c>
      <c r="FA130" s="40">
        <f t="shared" ref="FA130" si="428">FA5/EZ5-1</f>
        <v>1.0000000000000009E-2</v>
      </c>
      <c r="FB130" s="40">
        <f t="shared" ref="FB130" si="429">FB5/FA5-1</f>
        <v>1.0000000000000009E-2</v>
      </c>
      <c r="FC130" s="40"/>
      <c r="FD130" s="40"/>
      <c r="FE130" s="40"/>
      <c r="FF130" s="40"/>
      <c r="FG130" s="40"/>
      <c r="FH130" s="95"/>
      <c r="FI130" s="40"/>
      <c r="FJ130" s="96"/>
      <c r="FK130" s="40"/>
      <c r="FL130" s="14" t="s">
        <v>824</v>
      </c>
    </row>
    <row r="131" spans="2:170">
      <c r="B131" s="14" t="s">
        <v>1583</v>
      </c>
      <c r="AB131" s="58"/>
      <c r="AC131" s="58"/>
      <c r="AD131" s="58"/>
      <c r="AE131" s="58"/>
      <c r="AF131" s="58"/>
      <c r="AG131" s="58"/>
      <c r="AH131" s="58"/>
      <c r="AI131" s="58"/>
      <c r="AJ131" s="58"/>
      <c r="AK131" s="58"/>
      <c r="AL131" s="58"/>
      <c r="AM131" s="58"/>
      <c r="AN131" s="58"/>
      <c r="AO131" s="58"/>
      <c r="AP131" s="130"/>
      <c r="AQ131" s="58"/>
      <c r="AR131" s="58"/>
      <c r="AS131" s="58"/>
      <c r="AT131" s="58"/>
      <c r="AU131" s="58"/>
      <c r="AV131" s="58"/>
      <c r="AW131" s="58"/>
      <c r="AX131" s="58"/>
      <c r="AY131" s="58"/>
      <c r="AZ131" s="58"/>
      <c r="BA131" s="58"/>
      <c r="BB131" s="129"/>
      <c r="BC131" s="129"/>
      <c r="BD131" s="129"/>
      <c r="BE131" s="129"/>
      <c r="BF131" s="131"/>
      <c r="BG131" s="129"/>
      <c r="BH131" s="129"/>
      <c r="BI131" s="129"/>
      <c r="BJ131" s="129"/>
      <c r="BK131" s="129"/>
      <c r="BL131" s="129"/>
      <c r="BM131" s="129"/>
      <c r="BN131" s="129"/>
      <c r="BO131" s="129"/>
      <c r="BP131" s="129"/>
      <c r="BQ131" s="129"/>
      <c r="BR131" s="129"/>
      <c r="BS131" s="129"/>
      <c r="BT131" s="129"/>
      <c r="BU131" s="129"/>
      <c r="BV131" s="129"/>
      <c r="BW131" s="129"/>
      <c r="BX131" s="129"/>
      <c r="BY131" s="129"/>
      <c r="BZ131" s="129"/>
      <c r="CA131" s="129"/>
      <c r="CB131" s="129"/>
      <c r="CC131" s="129"/>
      <c r="CD131" s="129"/>
      <c r="CE131" s="129"/>
      <c r="CF131" s="129"/>
      <c r="CG131" s="129"/>
      <c r="CH131" s="129"/>
      <c r="CI131" s="129"/>
      <c r="CJ131" s="129"/>
      <c r="CK131" s="129"/>
      <c r="CL131" s="129"/>
      <c r="CM131" s="129"/>
      <c r="CN131" s="140"/>
      <c r="CO131" s="140">
        <f t="shared" ref="CO131" si="430">+CO4/CK4-1</f>
        <v>0.17816091954022983</v>
      </c>
      <c r="CP131" s="140">
        <f t="shared" ref="CP131" si="431">+CP4/CL4-1</f>
        <v>0.20769230769230762</v>
      </c>
      <c r="CQ131" s="140">
        <f t="shared" ref="CQ131" si="432">+CQ4/CM4-1</f>
        <v>0.28585558852621173</v>
      </c>
      <c r="CR131" s="140">
        <f t="shared" ref="CR131" si="433">+CR4/CN4-1</f>
        <v>0.17235023041474662</v>
      </c>
      <c r="CS131" s="140">
        <f t="shared" ref="CS131" si="434">+CS4/CO4-1</f>
        <v>8.6829268292683004E-2</v>
      </c>
      <c r="CT131" s="140">
        <f t="shared" ref="CT131:CZ131" si="435">+CT4/CP4-1</f>
        <v>0.14831665150136497</v>
      </c>
      <c r="CU131" s="140">
        <f t="shared" si="435"/>
        <v>0.26384615384615384</v>
      </c>
      <c r="CV131" s="140">
        <f t="shared" si="435"/>
        <v>0.16430817610062887</v>
      </c>
      <c r="CW131" s="140">
        <f t="shared" si="435"/>
        <v>0.20825852782764809</v>
      </c>
      <c r="CX131" s="140">
        <f t="shared" si="435"/>
        <v>0.18858954041204434</v>
      </c>
      <c r="CY131" s="140">
        <f t="shared" si="435"/>
        <v>9.1296409007912249E-2</v>
      </c>
      <c r="CZ131" s="140">
        <f t="shared" si="435"/>
        <v>0.1782579338284942</v>
      </c>
      <c r="DA131" s="140">
        <f>+DA4/CW4-1</f>
        <v>8.7667161961366924E-2</v>
      </c>
      <c r="DB131" s="140">
        <f t="shared" ref="DB131:DF131" si="436">+DB4/CX4-1</f>
        <v>-1.4000000000000012E-2</v>
      </c>
      <c r="DC131" s="140">
        <f t="shared" si="436"/>
        <v>3.0000000000000027E-2</v>
      </c>
      <c r="DD131" s="140">
        <f t="shared" si="436"/>
        <v>3.0000000000000027E-2</v>
      </c>
      <c r="DE131" s="140">
        <f t="shared" si="436"/>
        <v>3.0000000000000027E-2</v>
      </c>
      <c r="DF131" s="140">
        <f t="shared" si="436"/>
        <v>3.0000000000000027E-2</v>
      </c>
      <c r="DG131" s="129"/>
      <c r="DH131" s="129"/>
      <c r="DR131" s="40"/>
      <c r="DS131" s="40"/>
      <c r="DT131" s="40"/>
      <c r="DU131" s="40"/>
      <c r="DV131" s="40"/>
      <c r="DW131" s="40"/>
      <c r="DX131" s="40"/>
      <c r="DY131" s="40"/>
      <c r="DZ131" s="40"/>
      <c r="EA131" s="40"/>
      <c r="EB131" s="40"/>
      <c r="EC131" s="40"/>
      <c r="ED131" s="40"/>
      <c r="EE131" s="40"/>
      <c r="EF131" s="40"/>
      <c r="EG131" s="40" t="e">
        <f t="shared" ref="EG131:EN131" si="437">+EG4/EF4-1</f>
        <v>#DIV/0!</v>
      </c>
      <c r="EH131" s="40" t="e">
        <f t="shared" si="437"/>
        <v>#DIV/0!</v>
      </c>
      <c r="EI131" s="40" t="e">
        <f t="shared" si="437"/>
        <v>#DIV/0!</v>
      </c>
      <c r="EJ131" s="40" t="e">
        <f t="shared" si="437"/>
        <v>#DIV/0!</v>
      </c>
      <c r="EK131" s="40"/>
      <c r="EL131" s="40"/>
      <c r="EM131" s="40">
        <f t="shared" si="437"/>
        <v>0.17251184834123223</v>
      </c>
      <c r="EN131" s="40">
        <f t="shared" si="437"/>
        <v>0.20654810024252224</v>
      </c>
      <c r="EO131" s="40">
        <f t="shared" ref="EO131:FB131" si="438">+EO4/EN4-1</f>
        <v>8.559463986599658E-2</v>
      </c>
      <c r="EP131" s="40">
        <f t="shared" si="438"/>
        <v>3.0000000000000027E-2</v>
      </c>
      <c r="EQ131" s="40">
        <f t="shared" si="438"/>
        <v>1.0000000000000009E-2</v>
      </c>
      <c r="ER131" s="40">
        <f t="shared" si="438"/>
        <v>1.0000000000000009E-2</v>
      </c>
      <c r="ES131" s="40">
        <f t="shared" si="438"/>
        <v>1.0000000000000009E-2</v>
      </c>
      <c r="ET131" s="40">
        <f t="shared" si="438"/>
        <v>1.0000000000000009E-2</v>
      </c>
      <c r="EU131" s="40">
        <f t="shared" si="438"/>
        <v>1.0000000000000009E-2</v>
      </c>
      <c r="EV131" s="40">
        <f t="shared" si="438"/>
        <v>-0.9</v>
      </c>
      <c r="EW131" s="40">
        <f t="shared" si="438"/>
        <v>-0.9</v>
      </c>
      <c r="EX131" s="40">
        <f t="shared" si="438"/>
        <v>-0.9</v>
      </c>
      <c r="EY131" s="40">
        <f t="shared" si="438"/>
        <v>-0.9</v>
      </c>
      <c r="EZ131" s="40">
        <f t="shared" si="438"/>
        <v>-0.9</v>
      </c>
      <c r="FA131" s="40">
        <f t="shared" si="438"/>
        <v>-0.9</v>
      </c>
      <c r="FB131" s="40">
        <f t="shared" si="438"/>
        <v>-0.9</v>
      </c>
      <c r="FC131" s="40"/>
      <c r="FD131" s="40"/>
      <c r="FE131" s="40"/>
      <c r="FF131" s="40"/>
      <c r="FG131" s="40"/>
      <c r="FH131" s="95"/>
      <c r="FI131" s="40"/>
      <c r="FJ131" s="96"/>
      <c r="FK131" s="40"/>
      <c r="FL131" s="194" t="s">
        <v>826</v>
      </c>
      <c r="FM131" s="194" t="s">
        <v>827</v>
      </c>
      <c r="FN131" s="194" t="s">
        <v>828</v>
      </c>
    </row>
    <row r="132" spans="2:170">
      <c r="B132" s="14" t="s">
        <v>1584</v>
      </c>
      <c r="AB132" s="58"/>
      <c r="AC132" s="58"/>
      <c r="AD132" s="58"/>
      <c r="AE132" s="58"/>
      <c r="AF132" s="58"/>
      <c r="AG132" s="58"/>
      <c r="AH132" s="58"/>
      <c r="AI132" s="58"/>
      <c r="AJ132" s="58"/>
      <c r="AK132" s="58"/>
      <c r="AL132" s="58"/>
      <c r="AM132" s="58"/>
      <c r="AN132" s="58"/>
      <c r="AO132" s="58"/>
      <c r="AP132" s="130"/>
      <c r="AQ132" s="58"/>
      <c r="AR132" s="58"/>
      <c r="AS132" s="58"/>
      <c r="AT132" s="58"/>
      <c r="AU132" s="58"/>
      <c r="AV132" s="58"/>
      <c r="AW132" s="58"/>
      <c r="AX132" s="58"/>
      <c r="AY132" s="58"/>
      <c r="AZ132" s="58"/>
      <c r="BA132" s="58"/>
      <c r="BB132" s="129"/>
      <c r="BC132" s="129"/>
      <c r="BD132" s="129"/>
      <c r="BE132" s="129"/>
      <c r="BF132" s="131"/>
      <c r="BG132" s="129"/>
      <c r="BH132" s="129"/>
      <c r="BI132" s="129"/>
      <c r="BJ132" s="129"/>
      <c r="BK132" s="129"/>
      <c r="BL132" s="129"/>
      <c r="BM132" s="129"/>
      <c r="BN132" s="129"/>
      <c r="BO132" s="129"/>
      <c r="BP132" s="129"/>
      <c r="BQ132" s="129"/>
      <c r="BR132" s="129"/>
      <c r="BS132" s="129"/>
      <c r="BT132" s="129"/>
      <c r="BU132" s="129"/>
      <c r="BV132" s="129"/>
      <c r="BW132" s="129"/>
      <c r="BX132" s="129"/>
      <c r="BY132" s="129"/>
      <c r="BZ132" s="129"/>
      <c r="CA132" s="129"/>
      <c r="CB132" s="129"/>
      <c r="CC132" s="129"/>
      <c r="CD132" s="129"/>
      <c r="CE132" s="129"/>
      <c r="CF132" s="129"/>
      <c r="CG132" s="129"/>
      <c r="CH132" s="129"/>
      <c r="CI132" s="129"/>
      <c r="CJ132" s="129"/>
      <c r="CK132" s="129"/>
      <c r="CL132" s="129"/>
      <c r="CM132" s="129"/>
      <c r="CN132" s="140"/>
      <c r="CO132" s="140">
        <f t="shared" ref="CO132" si="439">+CO7/CK7-1</f>
        <v>0.25170731707317073</v>
      </c>
      <c r="CP132" s="140">
        <f t="shared" ref="CP132" si="440">+CP7/CL7-1</f>
        <v>0.13239187996469548</v>
      </c>
      <c r="CQ132" s="140">
        <f t="shared" ref="CQ132" si="441">+CQ7/CM7-1</f>
        <v>0.10150044130626656</v>
      </c>
      <c r="CR132" s="140">
        <f t="shared" ref="CR132" si="442">+CR7/CN7-1</f>
        <v>6.9785884218873884E-2</v>
      </c>
      <c r="CS132" s="140">
        <f t="shared" ref="CS132" si="443">+CS7/CO7-1</f>
        <v>5.7677318784099763E-2</v>
      </c>
      <c r="CT132" s="140">
        <f t="shared" ref="CT132:CZ132" si="444">+CT7/CP7-1</f>
        <v>0.11925175370226038</v>
      </c>
      <c r="CU132" s="140">
        <f t="shared" si="444"/>
        <v>4.8076923076922906E-3</v>
      </c>
      <c r="CV132" s="140">
        <f t="shared" si="444"/>
        <v>4.0770941438102337E-2</v>
      </c>
      <c r="CW132" s="140">
        <f t="shared" si="444"/>
        <v>1.7686072218128235E-2</v>
      </c>
      <c r="CX132" s="140">
        <f t="shared" si="444"/>
        <v>-2.6462395543175532E-2</v>
      </c>
      <c r="CY132" s="140">
        <f t="shared" si="444"/>
        <v>-1.3556618819776767E-2</v>
      </c>
      <c r="CZ132" s="140">
        <f t="shared" si="444"/>
        <v>-5.9829059829059839E-2</v>
      </c>
      <c r="DA132" s="140">
        <f>+DA7/CW7-1</f>
        <v>-7.0963070238957315E-2</v>
      </c>
      <c r="DB132" s="140">
        <f t="shared" ref="DB132:DF132" si="445">+DB7/CX7-1</f>
        <v>-8.5121602288984244E-2</v>
      </c>
      <c r="DC132" s="140">
        <f t="shared" si="445"/>
        <v>3.0000000000000027E-2</v>
      </c>
      <c r="DD132" s="140">
        <f t="shared" si="445"/>
        <v>3.0000000000000027E-2</v>
      </c>
      <c r="DE132" s="140">
        <f t="shared" si="445"/>
        <v>3.0000000000000027E-2</v>
      </c>
      <c r="DF132" s="140">
        <f t="shared" si="445"/>
        <v>3.0000000000000027E-2</v>
      </c>
      <c r="DG132" s="129"/>
      <c r="DH132" s="129"/>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f>+EM7/EL7-1</f>
        <v>8.6693548387096753E-2</v>
      </c>
      <c r="EN132" s="40">
        <f>+EN7/EM7-1</f>
        <v>8.7198515769943974E-3</v>
      </c>
      <c r="EO132" s="40">
        <f t="shared" ref="EO132:FB132" si="446">+EO7/EN7-1</f>
        <v>-5.848813684016918E-2</v>
      </c>
      <c r="EP132" s="40">
        <f t="shared" si="446"/>
        <v>3.0000000000000027E-2</v>
      </c>
      <c r="EQ132" s="40">
        <f t="shared" si="446"/>
        <v>-0.20000000000000007</v>
      </c>
      <c r="ER132" s="40">
        <f t="shared" si="446"/>
        <v>-0.19999999999999996</v>
      </c>
      <c r="ES132" s="40">
        <f t="shared" si="446"/>
        <v>-0.19999999999999996</v>
      </c>
      <c r="ET132" s="40">
        <f t="shared" si="446"/>
        <v>-0.20000000000000007</v>
      </c>
      <c r="EU132" s="40">
        <f t="shared" si="446"/>
        <v>-0.19999999999999996</v>
      </c>
      <c r="EV132" s="40">
        <f t="shared" si="446"/>
        <v>-0.19999999999999984</v>
      </c>
      <c r="EW132" s="40">
        <f t="shared" si="446"/>
        <v>-0.20000000000000007</v>
      </c>
      <c r="EX132" s="40">
        <f t="shared" si="446"/>
        <v>-0.19999999999999996</v>
      </c>
      <c r="EY132" s="40">
        <f t="shared" si="446"/>
        <v>-0.19999999999999996</v>
      </c>
      <c r="EZ132" s="40">
        <f t="shared" si="446"/>
        <v>-0.19999999999999996</v>
      </c>
      <c r="FA132" s="40">
        <f t="shared" si="446"/>
        <v>-0.19999999999999996</v>
      </c>
      <c r="FB132" s="40">
        <f t="shared" si="446"/>
        <v>-0.19999999999999996</v>
      </c>
      <c r="FC132" s="40"/>
      <c r="FD132" s="40"/>
      <c r="FE132" s="40"/>
      <c r="FF132" s="40"/>
      <c r="FG132" s="40"/>
      <c r="FH132" s="95"/>
      <c r="FI132" s="40"/>
      <c r="FJ132" s="96"/>
      <c r="FK132" s="40"/>
      <c r="FL132" s="194" t="s">
        <v>830</v>
      </c>
    </row>
    <row r="133" spans="2:170">
      <c r="B133" s="4" t="s">
        <v>831</v>
      </c>
      <c r="AP133" s="62"/>
      <c r="AQ133" s="58"/>
      <c r="AU133" s="40"/>
      <c r="AV133" s="40"/>
      <c r="AW133" s="40"/>
      <c r="AX133" s="40"/>
      <c r="AY133" s="40"/>
      <c r="AZ133" s="40"/>
      <c r="BA133" s="40">
        <f t="shared" ref="BA133:BV133" si="447">BA115/AW115-1</f>
        <v>-0.17420264038294131</v>
      </c>
      <c r="BB133" s="40">
        <f t="shared" si="447"/>
        <v>-0.25005146061640426</v>
      </c>
      <c r="BC133" s="40">
        <f t="shared" si="447"/>
        <v>3.0115825326443746E-2</v>
      </c>
      <c r="BD133" s="40">
        <f t="shared" si="447"/>
        <v>8.9782924742309422E-2</v>
      </c>
      <c r="BE133" s="40">
        <f t="shared" si="447"/>
        <v>0.1905317804991129</v>
      </c>
      <c r="BF133" s="49">
        <f t="shared" si="447"/>
        <v>0.14298496854616127</v>
      </c>
      <c r="BG133" s="49">
        <f t="shared" si="447"/>
        <v>-6.8226424134842034E-2</v>
      </c>
      <c r="BH133" s="49">
        <f t="shared" si="447"/>
        <v>6.3041256341257235E-2</v>
      </c>
      <c r="BI133" s="49">
        <f t="shared" si="447"/>
        <v>2.3142600317022088E-2</v>
      </c>
      <c r="BJ133" s="49">
        <f t="shared" si="447"/>
        <v>-9.4201066151374802E-2</v>
      </c>
      <c r="BK133" s="49">
        <f t="shared" si="447"/>
        <v>-1.9116396000473102E-2</v>
      </c>
      <c r="BL133" s="49">
        <f t="shared" si="447"/>
        <v>-9.6342969881243801E-2</v>
      </c>
      <c r="BM133" s="49">
        <f t="shared" si="447"/>
        <v>-0.15440830303008635</v>
      </c>
      <c r="BN133" s="49">
        <f t="shared" si="447"/>
        <v>-1.5042545384986616E-2</v>
      </c>
      <c r="BO133" s="49">
        <f t="shared" si="447"/>
        <v>-0.10034890350494774</v>
      </c>
      <c r="BP133" s="49">
        <f t="shared" si="447"/>
        <v>-0.10640144219206737</v>
      </c>
      <c r="BQ133" s="49">
        <f t="shared" si="447"/>
        <v>9.6961392919689748E-2</v>
      </c>
      <c r="BR133" s="49">
        <f t="shared" si="447"/>
        <v>0.11181057618255252</v>
      </c>
      <c r="BS133" s="49">
        <f t="shared" si="447"/>
        <v>-4.1143200257615087E-3</v>
      </c>
      <c r="BT133" s="49">
        <f t="shared" si="447"/>
        <v>5.3396250143242785E-2</v>
      </c>
      <c r="BU133" s="49">
        <f t="shared" si="447"/>
        <v>-0.10353621642312449</v>
      </c>
      <c r="BV133" s="49">
        <f t="shared" si="447"/>
        <v>-8.3163409710856562E-2</v>
      </c>
      <c r="BW133" s="49"/>
      <c r="BX133" s="49"/>
      <c r="BY133" s="49"/>
      <c r="BZ133" s="49"/>
      <c r="CA133" s="49"/>
      <c r="CB133" s="49"/>
      <c r="CC133" s="49"/>
      <c r="CD133" s="49"/>
      <c r="CE133" s="49"/>
      <c r="CF133" s="49"/>
      <c r="CG133" s="49"/>
      <c r="CH133" s="49"/>
      <c r="CI133" s="49"/>
      <c r="CJ133" s="49"/>
      <c r="CK133" s="49"/>
      <c r="CL133" s="49"/>
      <c r="CM133" s="49"/>
      <c r="CN133" s="138"/>
      <c r="CO133" s="138"/>
      <c r="CP133" s="138"/>
      <c r="CQ133" s="138"/>
      <c r="CR133" s="138"/>
      <c r="CS133" s="138"/>
      <c r="CT133" s="138"/>
      <c r="CU133" s="138"/>
      <c r="CV133" s="138"/>
      <c r="CW133" s="138"/>
      <c r="CX133" s="138"/>
      <c r="CY133" s="138"/>
      <c r="CZ133" s="138"/>
      <c r="DA133" s="138"/>
      <c r="DB133" s="138"/>
      <c r="DC133" s="138"/>
      <c r="DD133" s="138"/>
      <c r="DE133" s="138"/>
      <c r="DF133" s="138"/>
      <c r="DG133" s="49"/>
      <c r="DH133" s="49"/>
      <c r="DZ133" s="56"/>
      <c r="EA133" s="56"/>
      <c r="EB133" s="56"/>
      <c r="EC133" s="56">
        <f>EC115/EB115-1</f>
        <v>0.11160714285714279</v>
      </c>
      <c r="ED133" s="56">
        <f>ED115/EC115-1</f>
        <v>-2.0080321285140701E-2</v>
      </c>
      <c r="EE133" s="56">
        <f>EE115/ED115-1</f>
        <v>-7.377049180327877E-2</v>
      </c>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93"/>
      <c r="FI133" s="56"/>
      <c r="FJ133" s="94"/>
      <c r="FK133" s="56"/>
      <c r="FL133" s="194" t="s">
        <v>825</v>
      </c>
    </row>
    <row r="134" spans="2:170">
      <c r="B134" s="4" t="s">
        <v>832</v>
      </c>
      <c r="AP134" s="62"/>
      <c r="AQ134" s="58"/>
      <c r="AU134" s="40">
        <f t="shared" ref="AU134:BJ134" si="448">AU111/AU137*4</f>
        <v>7.8984819734345346E-2</v>
      </c>
      <c r="AV134" s="40">
        <f t="shared" si="448"/>
        <v>4.2269187986651836E-2</v>
      </c>
      <c r="AW134" s="40">
        <f t="shared" si="448"/>
        <v>4.643554429845391E-2</v>
      </c>
      <c r="AX134" s="40" t="e">
        <f t="shared" si="448"/>
        <v>#DIV/0!</v>
      </c>
      <c r="AY134" s="40">
        <f t="shared" si="448"/>
        <v>1.1571254567600487E-2</v>
      </c>
      <c r="AZ134" s="40">
        <f t="shared" si="448"/>
        <v>3.2474946086515286E-2</v>
      </c>
      <c r="BA134" s="40">
        <f t="shared" si="448"/>
        <v>2.1784152795888623E-2</v>
      </c>
      <c r="BB134" s="40">
        <f t="shared" si="448"/>
        <v>5.253104106972302E-2</v>
      </c>
      <c r="BC134" s="40">
        <f t="shared" si="448"/>
        <v>5.3204965796807703E-2</v>
      </c>
      <c r="BD134" s="40" t="e">
        <f t="shared" si="448"/>
        <v>#DIV/0!</v>
      </c>
      <c r="BE134" s="40" t="e">
        <f t="shared" si="448"/>
        <v>#DIV/0!</v>
      </c>
      <c r="BF134" s="40" t="e">
        <f t="shared" si="448"/>
        <v>#DIV/0!</v>
      </c>
      <c r="BG134" s="40" t="e">
        <f t="shared" si="448"/>
        <v>#DIV/0!</v>
      </c>
      <c r="BH134" s="40" t="e">
        <f t="shared" si="448"/>
        <v>#DIV/0!</v>
      </c>
      <c r="BI134" s="40" t="e">
        <f t="shared" si="448"/>
        <v>#DIV/0!</v>
      </c>
      <c r="BJ134" s="40">
        <f t="shared" si="448"/>
        <v>0.15654118524040253</v>
      </c>
      <c r="BK134" s="49">
        <f t="shared" ref="BK134:BR134" si="449">BK109/BK137*4</f>
        <v>0.28040313549832024</v>
      </c>
      <c r="BL134" s="49">
        <f t="shared" si="449"/>
        <v>0.15496368038740921</v>
      </c>
      <c r="BM134" s="49" t="e">
        <f t="shared" si="449"/>
        <v>#DIV/0!</v>
      </c>
      <c r="BN134" s="49" t="e">
        <f t="shared" si="449"/>
        <v>#DIV/0!</v>
      </c>
      <c r="BO134" s="49" t="e">
        <f t="shared" si="449"/>
        <v>#DIV/0!</v>
      </c>
      <c r="BP134" s="49">
        <f t="shared" si="449"/>
        <v>-4.3451652386780906E-2</v>
      </c>
      <c r="BQ134" s="49">
        <f t="shared" si="449"/>
        <v>-1.3063763608087092E-2</v>
      </c>
      <c r="BR134" s="49">
        <f t="shared" si="449"/>
        <v>6.5233265720081132E-2</v>
      </c>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138"/>
      <c r="CO134" s="138"/>
      <c r="CP134" s="138"/>
      <c r="CQ134" s="138"/>
      <c r="CR134" s="138"/>
      <c r="CS134" s="138"/>
      <c r="CT134" s="138"/>
      <c r="CU134" s="138"/>
      <c r="CV134" s="138"/>
      <c r="CW134" s="138"/>
      <c r="CX134" s="138"/>
      <c r="CY134" s="138"/>
      <c r="CZ134" s="138"/>
      <c r="DA134" s="138"/>
      <c r="DB134" s="138"/>
      <c r="DC134" s="138"/>
      <c r="DD134" s="138"/>
      <c r="DE134" s="138"/>
      <c r="DF134" s="138"/>
      <c r="DG134" s="49"/>
      <c r="DH134" s="49"/>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93"/>
      <c r="FI134" s="56"/>
      <c r="FJ134" s="94"/>
      <c r="FK134" s="56"/>
    </row>
    <row r="135" spans="2:170">
      <c r="B135" s="4" t="s">
        <v>833</v>
      </c>
      <c r="AP135" s="62"/>
      <c r="AQ135" s="47"/>
      <c r="AR135" s="47"/>
      <c r="AT135" s="47"/>
      <c r="AU135" s="47"/>
      <c r="AV135" s="44"/>
      <c r="AW135" s="44">
        <f>(AW139/AW103)*91.25</f>
        <v>74.30432190147215</v>
      </c>
      <c r="AY135" s="44">
        <f t="shared" ref="AY135:BL135" si="450">(AY139/AY103)*91.25</f>
        <v>75.488053518856177</v>
      </c>
      <c r="AZ135" s="44">
        <f t="shared" si="450"/>
        <v>81.125849655499351</v>
      </c>
      <c r="BA135" s="44">
        <f t="shared" si="450"/>
        <v>82.984572955270195</v>
      </c>
      <c r="BB135" s="44">
        <f t="shared" si="450"/>
        <v>80.893235472154956</v>
      </c>
      <c r="BC135" s="44">
        <f t="shared" si="450"/>
        <v>72.576623035119511</v>
      </c>
      <c r="BD135" s="44">
        <f t="shared" si="450"/>
        <v>0</v>
      </c>
      <c r="BE135" s="44">
        <f t="shared" si="450"/>
        <v>0</v>
      </c>
      <c r="BF135" s="44">
        <f t="shared" si="450"/>
        <v>0</v>
      </c>
      <c r="BG135" s="44">
        <f t="shared" si="450"/>
        <v>0</v>
      </c>
      <c r="BH135" s="44">
        <f t="shared" si="450"/>
        <v>0</v>
      </c>
      <c r="BI135" s="44">
        <f t="shared" si="450"/>
        <v>0</v>
      </c>
      <c r="BJ135" s="44">
        <f t="shared" si="450"/>
        <v>74.15084199211752</v>
      </c>
      <c r="BK135" s="44">
        <f t="shared" si="450"/>
        <v>83.875008101626804</v>
      </c>
      <c r="BL135" s="44">
        <f t="shared" si="450"/>
        <v>78.0688384140267</v>
      </c>
      <c r="BM135" s="44"/>
      <c r="BN135" s="44"/>
      <c r="BO135" s="44"/>
      <c r="BP135" s="44">
        <f>(BP139/BP103)*91.25</f>
        <v>81.050932706390199</v>
      </c>
      <c r="BQ135" s="44">
        <f>(BQ139/BQ103)*91.25</f>
        <v>82.50665951017811</v>
      </c>
      <c r="BR135" s="44">
        <f>(BR139/BR103)*91.25</f>
        <v>63.279200326095008</v>
      </c>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115"/>
      <c r="CO135" s="115"/>
      <c r="CP135" s="115"/>
      <c r="CQ135" s="115"/>
      <c r="CR135" s="115"/>
      <c r="CS135" s="115"/>
      <c r="CT135" s="115"/>
      <c r="CU135" s="115"/>
      <c r="CV135" s="115"/>
      <c r="CW135" s="115"/>
      <c r="CX135" s="115"/>
      <c r="CY135" s="115"/>
      <c r="CZ135" s="115"/>
      <c r="DA135" s="115"/>
      <c r="DB135" s="115"/>
      <c r="DC135" s="115"/>
      <c r="DD135" s="115"/>
      <c r="DE135" s="115"/>
      <c r="DF135" s="115"/>
      <c r="DG135" s="44"/>
      <c r="DH135" s="44"/>
    </row>
    <row r="136" spans="2:170">
      <c r="AP136" s="62"/>
      <c r="AQ136" s="47"/>
      <c r="AR136" s="47"/>
      <c r="AT136" s="47"/>
      <c r="AU136" s="47"/>
      <c r="AV136" s="44"/>
      <c r="AW136" s="44"/>
      <c r="AY136" s="44"/>
      <c r="AZ136" s="44"/>
      <c r="BA136" s="44"/>
      <c r="BB136" s="44"/>
      <c r="FH136" s="83" t="s">
        <v>834</v>
      </c>
      <c r="FI136" s="40">
        <v>0.05</v>
      </c>
      <c r="FL136" s="14" t="s">
        <v>835</v>
      </c>
    </row>
    <row r="137" spans="2:170">
      <c r="B137" s="4" t="s">
        <v>836</v>
      </c>
      <c r="AP137" s="62"/>
      <c r="AQ137" s="51">
        <f t="shared" ref="AQ137:BA137" si="451">AQ138-AQ148</f>
        <v>20.340000000000003</v>
      </c>
      <c r="AR137" s="51">
        <f t="shared" si="451"/>
        <v>19.651</v>
      </c>
      <c r="AS137" s="51">
        <f t="shared" si="451"/>
        <v>19.2</v>
      </c>
      <c r="AT137" s="44">
        <f t="shared" si="451"/>
        <v>17809</v>
      </c>
      <c r="AU137" s="44">
        <f t="shared" si="451"/>
        <v>16864</v>
      </c>
      <c r="AV137" s="44">
        <f t="shared" si="451"/>
        <v>17980</v>
      </c>
      <c r="AW137" s="44">
        <f t="shared" si="451"/>
        <v>18951</v>
      </c>
      <c r="AX137" s="44">
        <f t="shared" si="451"/>
        <v>0</v>
      </c>
      <c r="AY137" s="44">
        <f t="shared" si="451"/>
        <v>19704</v>
      </c>
      <c r="AZ137" s="44">
        <f t="shared" si="451"/>
        <v>23649</v>
      </c>
      <c r="BA137" s="44">
        <f t="shared" si="451"/>
        <v>26074</v>
      </c>
      <c r="BB137" s="44">
        <f>+BB138-BB148</f>
        <v>-8376</v>
      </c>
      <c r="BC137" s="44">
        <f>+BC138-BC148</f>
        <v>-15788</v>
      </c>
      <c r="BD137" s="44"/>
      <c r="BE137" s="44"/>
      <c r="BF137" s="44"/>
      <c r="BG137" s="44"/>
      <c r="BH137" s="44"/>
      <c r="BI137" s="44"/>
      <c r="BJ137" s="65">
        <f>BJ138-BJ148</f>
        <v>-2683</v>
      </c>
      <c r="BK137" s="65">
        <f>BK138-BK148</f>
        <v>-4465</v>
      </c>
      <c r="BL137" s="65">
        <f>BL138-BL148</f>
        <v>-3717</v>
      </c>
      <c r="BM137" s="44"/>
      <c r="BN137" s="44"/>
      <c r="BO137" s="44"/>
      <c r="BP137" s="65">
        <f>BP138-BP148</f>
        <v>13072</v>
      </c>
      <c r="BQ137" s="65">
        <f>BQ138-BQ148</f>
        <v>12860</v>
      </c>
      <c r="BR137" s="65">
        <f>BR138-BR148</f>
        <v>12325</v>
      </c>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115"/>
      <c r="CO137" s="115"/>
      <c r="CP137" s="115"/>
      <c r="CQ137" s="115"/>
      <c r="CR137" s="115"/>
      <c r="CS137" s="115"/>
      <c r="CT137" s="115"/>
      <c r="CU137" s="115"/>
      <c r="CV137" s="115"/>
      <c r="CW137" s="115"/>
      <c r="CX137" s="115"/>
      <c r="CY137" s="115">
        <f>+CY138-CY148</f>
        <v>8333</v>
      </c>
      <c r="CZ137" s="115">
        <f>+CZ138-CZ148</f>
        <v>11982</v>
      </c>
      <c r="DA137" s="115">
        <f>+DA138-DA148</f>
        <v>13342</v>
      </c>
      <c r="DB137" s="115"/>
      <c r="DC137" s="115"/>
      <c r="DD137" s="115"/>
      <c r="DE137" s="115"/>
      <c r="DF137" s="115"/>
      <c r="DG137" s="44"/>
      <c r="DH137" s="44"/>
      <c r="DZ137" s="44"/>
      <c r="EA137" s="44"/>
      <c r="FH137" s="81" t="s">
        <v>837</v>
      </c>
      <c r="FI137" s="49">
        <v>0.09</v>
      </c>
      <c r="FL137" s="14" t="s">
        <v>838</v>
      </c>
    </row>
    <row r="138" spans="2:170" s="20" customFormat="1">
      <c r="B138" s="20" t="s">
        <v>310</v>
      </c>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68"/>
      <c r="AQ138" s="44">
        <f>2.492+19.978+0.462+4.817</f>
        <v>27.749000000000002</v>
      </c>
      <c r="AR138" s="44">
        <f>2.138+20.115+0.54+5.067</f>
        <v>27.86</v>
      </c>
      <c r="AS138" s="44">
        <v>27.9</v>
      </c>
      <c r="AT138" s="44">
        <f>3406+22069+617+4856</f>
        <v>30948</v>
      </c>
      <c r="AU138" s="44">
        <f>2013+26615+777+4511</f>
        <v>33916</v>
      </c>
      <c r="AV138" s="44">
        <f>820+25359+1041+7105</f>
        <v>34325</v>
      </c>
      <c r="AW138" s="44">
        <f>1265+24752+849+8430</f>
        <v>35296</v>
      </c>
      <c r="AX138" s="44"/>
      <c r="AY138" s="44">
        <f>1247+32805+793+13536</f>
        <v>48381</v>
      </c>
      <c r="AZ138" s="44">
        <f>2244+47403+935+12576</f>
        <v>63158</v>
      </c>
      <c r="BA138" s="44">
        <f>4234+48239+12166+791</f>
        <v>65430</v>
      </c>
      <c r="BB138" s="44">
        <f>1978+23991+1195+13122</f>
        <v>40286</v>
      </c>
      <c r="BC138" s="44">
        <f>1759+15503+12081+919</f>
        <v>30262</v>
      </c>
      <c r="BD138" s="44"/>
      <c r="BE138" s="44"/>
      <c r="BF138" s="44"/>
      <c r="BG138" s="44"/>
      <c r="BH138" s="44"/>
      <c r="BI138" s="44"/>
      <c r="BJ138" s="65">
        <f>3182+23270+9814</f>
        <v>36266</v>
      </c>
      <c r="BK138" s="65">
        <f>2934+21038+10632</f>
        <v>34604</v>
      </c>
      <c r="BL138" s="44">
        <f>3031+21275+10548</f>
        <v>34854</v>
      </c>
      <c r="BM138" s="44"/>
      <c r="BN138" s="44"/>
      <c r="BO138" s="44"/>
      <c r="BP138" s="44">
        <f>2436+31275+16107</f>
        <v>49818</v>
      </c>
      <c r="BQ138" s="44">
        <f>2052+31627+15731</f>
        <v>49410</v>
      </c>
      <c r="BR138" s="44">
        <f>2183+30225+16406</f>
        <v>48814</v>
      </c>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115"/>
      <c r="CO138" s="115"/>
      <c r="CP138" s="115"/>
      <c r="CQ138" s="115"/>
      <c r="CR138" s="115"/>
      <c r="CS138" s="115"/>
      <c r="CT138" s="115"/>
      <c r="CU138" s="115"/>
      <c r="CV138" s="115"/>
      <c r="CW138" s="115"/>
      <c r="CX138" s="115"/>
      <c r="CY138" s="115">
        <f>2470+21427+15995+4742</f>
        <v>44634</v>
      </c>
      <c r="CZ138" s="115">
        <f>1780+31524+14799+4163</f>
        <v>52266</v>
      </c>
      <c r="DA138" s="115">
        <f>1298+34825+9826+4062</f>
        <v>50011</v>
      </c>
      <c r="DB138" s="115"/>
      <c r="DC138" s="115"/>
      <c r="DD138" s="115"/>
      <c r="DE138" s="115"/>
      <c r="DF138" s="115"/>
      <c r="DG138" s="44"/>
      <c r="DH138" s="44"/>
      <c r="DL138" s="44"/>
      <c r="DM138" s="44"/>
      <c r="DN138" s="44"/>
      <c r="DO138" s="44"/>
      <c r="DP138" s="44"/>
      <c r="DQ138" s="44"/>
      <c r="DR138" s="44"/>
      <c r="DS138" s="44"/>
      <c r="DT138" s="44"/>
      <c r="DU138" s="44"/>
      <c r="DV138" s="44"/>
      <c r="DW138" s="44"/>
      <c r="DX138" s="44"/>
      <c r="DY138" s="44"/>
      <c r="DZ138" s="44"/>
      <c r="EA138" s="44"/>
      <c r="EB138" s="44"/>
      <c r="EC138" s="44"/>
      <c r="ED138" s="44"/>
      <c r="EE138" s="44"/>
      <c r="EF138" s="44"/>
      <c r="EG138" s="44"/>
      <c r="EH138" s="44"/>
      <c r="EI138" s="44"/>
      <c r="EJ138" s="44"/>
      <c r="EK138" s="44"/>
      <c r="EL138" s="44"/>
      <c r="EM138" s="44"/>
      <c r="EN138" s="44"/>
      <c r="EO138" s="44"/>
      <c r="EP138" s="44"/>
      <c r="EQ138" s="44"/>
      <c r="ER138" s="44"/>
      <c r="ES138" s="44"/>
      <c r="ET138" s="44"/>
      <c r="EU138" s="44"/>
      <c r="EV138" s="44"/>
      <c r="EW138" s="44"/>
      <c r="EX138" s="44"/>
      <c r="EY138" s="44"/>
      <c r="EZ138" s="44"/>
      <c r="FA138" s="44"/>
      <c r="FB138" s="44"/>
      <c r="FC138" s="44"/>
      <c r="FD138" s="44"/>
      <c r="FE138" s="44"/>
      <c r="FF138" s="44"/>
      <c r="FG138" s="44"/>
      <c r="FH138" s="81" t="s">
        <v>839</v>
      </c>
      <c r="FI138" s="44">
        <v>-0.02</v>
      </c>
      <c r="FJ138" s="82"/>
      <c r="FK138" s="44"/>
      <c r="FL138" s="111" t="s">
        <v>840</v>
      </c>
    </row>
    <row r="139" spans="2:170" s="20" customFormat="1">
      <c r="B139" s="20" t="s">
        <v>841</v>
      </c>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68"/>
      <c r="AQ139" s="44">
        <v>10455</v>
      </c>
      <c r="AR139" s="44">
        <v>9947</v>
      </c>
      <c r="AS139" s="44"/>
      <c r="AT139" s="44">
        <v>9843</v>
      </c>
      <c r="AU139" s="44">
        <v>10432</v>
      </c>
      <c r="AV139" s="44">
        <v>10245</v>
      </c>
      <c r="AW139" s="44">
        <v>9901</v>
      </c>
      <c r="AX139" s="44"/>
      <c r="AY139" s="44">
        <v>9596</v>
      </c>
      <c r="AZ139" s="44">
        <v>10446</v>
      </c>
      <c r="BA139" s="44">
        <v>10552</v>
      </c>
      <c r="BB139" s="44">
        <v>14645</v>
      </c>
      <c r="BC139" s="44">
        <v>13611</v>
      </c>
      <c r="BD139" s="44"/>
      <c r="BE139" s="44"/>
      <c r="BF139" s="44"/>
      <c r="BG139" s="44"/>
      <c r="BH139" s="44"/>
      <c r="BI139" s="44"/>
      <c r="BJ139" s="65">
        <v>13608</v>
      </c>
      <c r="BK139" s="65">
        <v>14182</v>
      </c>
      <c r="BL139" s="44">
        <v>12882</v>
      </c>
      <c r="BM139" s="44"/>
      <c r="BN139" s="44"/>
      <c r="BO139" s="44"/>
      <c r="BP139" s="44">
        <v>11523</v>
      </c>
      <c r="BQ139" s="44">
        <v>11371</v>
      </c>
      <c r="BR139" s="44">
        <v>9357</v>
      </c>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115"/>
      <c r="CO139" s="115"/>
      <c r="CP139" s="115"/>
      <c r="CQ139" s="115"/>
      <c r="CR139" s="115"/>
      <c r="CS139" s="115"/>
      <c r="CT139" s="115"/>
      <c r="CU139" s="115"/>
      <c r="CV139" s="115"/>
      <c r="CW139" s="115"/>
      <c r="CX139" s="115"/>
      <c r="CY139" s="115">
        <v>13225</v>
      </c>
      <c r="CZ139" s="115">
        <v>15155</v>
      </c>
      <c r="DA139" s="115">
        <v>16076</v>
      </c>
      <c r="DB139" s="115"/>
      <c r="DC139" s="115"/>
      <c r="DD139" s="115"/>
      <c r="DE139" s="115"/>
      <c r="DF139" s="115"/>
      <c r="DG139" s="44"/>
      <c r="DH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81" t="s">
        <v>842</v>
      </c>
      <c r="FI139" s="20">
        <f>NPV(FI137,EF114:HF114)+(Main!K5-Main!K6)*1000+EE114</f>
        <v>13580383.420536043</v>
      </c>
      <c r="FJ139" s="82"/>
      <c r="FK139" s="44"/>
    </row>
    <row r="140" spans="2:170" s="20" customFormat="1">
      <c r="B140" s="20" t="s">
        <v>843</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68"/>
      <c r="AQ140" s="44"/>
      <c r="AR140" s="44"/>
      <c r="AS140" s="44"/>
      <c r="AT140" s="44">
        <v>5302</v>
      </c>
      <c r="AU140" s="44">
        <v>5148</v>
      </c>
      <c r="AV140" s="44">
        <v>5334</v>
      </c>
      <c r="AW140" s="44">
        <v>4788</v>
      </c>
      <c r="AX140" s="44"/>
      <c r="AY140" s="44">
        <v>4458</v>
      </c>
      <c r="AZ140" s="44">
        <v>4993</v>
      </c>
      <c r="BA140" s="44">
        <v>5058</v>
      </c>
      <c r="BB140" s="44">
        <v>12403</v>
      </c>
      <c r="BC140" s="44">
        <v>10132</v>
      </c>
      <c r="BD140" s="44"/>
      <c r="BE140" s="44"/>
      <c r="BF140" s="44"/>
      <c r="BG140" s="44"/>
      <c r="BH140" s="44"/>
      <c r="BI140" s="44"/>
      <c r="BJ140" s="65">
        <v>6969</v>
      </c>
      <c r="BK140" s="65">
        <v>7189</v>
      </c>
      <c r="BL140" s="44">
        <v>7001</v>
      </c>
      <c r="BM140" s="44"/>
      <c r="BN140" s="44"/>
      <c r="BO140" s="44"/>
      <c r="BP140" s="44">
        <v>6282</v>
      </c>
      <c r="BQ140" s="44">
        <v>6482</v>
      </c>
      <c r="BR140" s="44">
        <v>6166</v>
      </c>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115"/>
      <c r="CO140" s="115"/>
      <c r="CP140" s="115"/>
      <c r="CQ140" s="115"/>
      <c r="CR140" s="115"/>
      <c r="CS140" s="115"/>
      <c r="CT140" s="115"/>
      <c r="CU140" s="115"/>
      <c r="CV140" s="115"/>
      <c r="CW140" s="115"/>
      <c r="CX140" s="115"/>
      <c r="CY140" s="115">
        <v>9979</v>
      </c>
      <c r="CZ140" s="115">
        <v>10454</v>
      </c>
      <c r="DA140" s="115">
        <v>9513</v>
      </c>
      <c r="DB140" s="115"/>
      <c r="DC140" s="115"/>
      <c r="DD140" s="115"/>
      <c r="DE140" s="115"/>
      <c r="DF140" s="115"/>
      <c r="DG140" s="44"/>
      <c r="DH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81"/>
      <c r="FI140" s="20">
        <f>FI139/(Main!K3*1000)</f>
        <v>2.3750233334270798</v>
      </c>
      <c r="FJ140" s="82"/>
      <c r="FK140" s="44"/>
    </row>
    <row r="141" spans="2:170" s="20" customFormat="1">
      <c r="B141" s="20" t="s">
        <v>844</v>
      </c>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68"/>
      <c r="AQ141" s="44"/>
      <c r="AR141" s="44"/>
      <c r="AS141" s="44"/>
      <c r="AT141" s="44">
        <v>5498</v>
      </c>
      <c r="AU141" s="44">
        <v>5939</v>
      </c>
      <c r="AV141" s="44">
        <v>5711</v>
      </c>
      <c r="AW141" s="44">
        <v>6486</v>
      </c>
      <c r="AX141" s="44"/>
      <c r="AY141" s="44">
        <v>5055</v>
      </c>
      <c r="AZ141" s="44">
        <v>5310</v>
      </c>
      <c r="BA141" s="44">
        <v>4679</v>
      </c>
      <c r="BB141" s="44">
        <v>6962</v>
      </c>
      <c r="BC141" s="44">
        <v>7502</v>
      </c>
      <c r="BD141" s="44"/>
      <c r="BE141" s="44"/>
      <c r="BF141" s="44"/>
      <c r="BG141" s="44"/>
      <c r="BH141" s="44"/>
      <c r="BI141" s="44"/>
      <c r="BJ141" s="65">
        <v>9441</v>
      </c>
      <c r="BK141" s="65">
        <v>9361</v>
      </c>
      <c r="BL141" s="44">
        <v>9215</v>
      </c>
      <c r="BM141" s="44"/>
      <c r="BN141" s="44"/>
      <c r="BO141" s="44"/>
      <c r="BP141" s="44">
        <v>9819</v>
      </c>
      <c r="BQ141" s="44">
        <v>7835</v>
      </c>
      <c r="BR141" s="44">
        <f>4624+3613+1554</f>
        <v>9791</v>
      </c>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115"/>
      <c r="CO141" s="115"/>
      <c r="CP141" s="115"/>
      <c r="CQ141" s="115"/>
      <c r="CR141" s="115"/>
      <c r="CS141" s="115"/>
      <c r="CT141" s="115"/>
      <c r="CU141" s="115"/>
      <c r="CV141" s="115"/>
      <c r="CW141" s="115"/>
      <c r="CX141" s="115"/>
      <c r="CY141" s="115">
        <f>3117+4202+5668</f>
        <v>12987</v>
      </c>
      <c r="CZ141" s="115">
        <f>2583+5970+7002</f>
        <v>15555</v>
      </c>
      <c r="DA141" s="115">
        <f>2544+6149+10890</f>
        <v>19583</v>
      </c>
      <c r="DB141" s="115"/>
      <c r="DC141" s="115"/>
      <c r="DD141" s="115"/>
      <c r="DE141" s="115"/>
      <c r="DF141" s="115"/>
      <c r="DG141" s="44"/>
      <c r="DH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81"/>
      <c r="FI141" s="44"/>
      <c r="FJ141" s="82"/>
      <c r="FK141" s="44"/>
    </row>
    <row r="142" spans="2:170" s="20" customFormat="1">
      <c r="B142" s="20" t="s">
        <v>845</v>
      </c>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68"/>
      <c r="AQ142" s="44"/>
      <c r="AR142" s="44"/>
      <c r="AS142" s="44"/>
      <c r="AT142" s="44">
        <v>114</v>
      </c>
      <c r="AU142" s="44">
        <v>87</v>
      </c>
      <c r="AV142" s="44">
        <v>141</v>
      </c>
      <c r="AW142" s="44">
        <v>186</v>
      </c>
      <c r="AX142" s="44"/>
      <c r="AY142" s="44">
        <v>299</v>
      </c>
      <c r="AZ142" s="44">
        <v>219</v>
      </c>
      <c r="BA142" s="44">
        <v>231</v>
      </c>
      <c r="BB142" s="44">
        <v>496</v>
      </c>
      <c r="BC142" s="44">
        <v>490</v>
      </c>
      <c r="BD142" s="44"/>
      <c r="BE142" s="44"/>
      <c r="BF142" s="44"/>
      <c r="BG142" s="44"/>
      <c r="BH142" s="44"/>
      <c r="BI142" s="44"/>
      <c r="BJ142" s="65">
        <v>101</v>
      </c>
      <c r="BK142" s="65">
        <v>159</v>
      </c>
      <c r="BL142" s="44">
        <v>5361</v>
      </c>
      <c r="BM142" s="44"/>
      <c r="BN142" s="44"/>
      <c r="BO142" s="44"/>
      <c r="BP142" s="44">
        <v>100</v>
      </c>
      <c r="BQ142" s="44">
        <v>133</v>
      </c>
      <c r="BR142" s="44">
        <v>76</v>
      </c>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115"/>
      <c r="CO142" s="115"/>
      <c r="CP142" s="115"/>
      <c r="CQ142" s="115"/>
      <c r="CR142" s="115"/>
      <c r="CS142" s="115"/>
      <c r="CT142" s="115"/>
      <c r="CU142" s="115"/>
      <c r="CV142" s="115"/>
      <c r="CW142" s="115"/>
      <c r="CX142" s="115"/>
      <c r="CY142" s="115">
        <v>0</v>
      </c>
      <c r="CZ142" s="115">
        <v>0</v>
      </c>
      <c r="DA142" s="115">
        <v>0</v>
      </c>
      <c r="DB142" s="115"/>
      <c r="DC142" s="115"/>
      <c r="DD142" s="115"/>
      <c r="DE142" s="115"/>
      <c r="DF142" s="115"/>
      <c r="DG142" s="44"/>
      <c r="DH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81"/>
      <c r="FI142" s="44"/>
      <c r="FJ142" s="82"/>
      <c r="FK142" s="44"/>
    </row>
    <row r="143" spans="2:170" s="20" customFormat="1">
      <c r="B143" s="20" t="s">
        <v>846</v>
      </c>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68"/>
      <c r="AQ143" s="44"/>
      <c r="AR143" s="44"/>
      <c r="AS143" s="44"/>
      <c r="AT143" s="44">
        <v>15734</v>
      </c>
      <c r="AU143" s="44">
        <v>15383</v>
      </c>
      <c r="AV143" s="44">
        <v>14925</v>
      </c>
      <c r="AW143" s="44">
        <v>14332</v>
      </c>
      <c r="AX143" s="44"/>
      <c r="AY143" s="44">
        <v>12936</v>
      </c>
      <c r="AZ143" s="44">
        <v>13194</v>
      </c>
      <c r="BA143" s="44">
        <v>13173</v>
      </c>
      <c r="BB143" s="44">
        <v>22780</v>
      </c>
      <c r="BC143" s="44">
        <v>21651</v>
      </c>
      <c r="BD143" s="44"/>
      <c r="BE143" s="44"/>
      <c r="BF143" s="44"/>
      <c r="BG143" s="44"/>
      <c r="BH143" s="44"/>
      <c r="BI143" s="44"/>
      <c r="BJ143" s="65">
        <v>16938</v>
      </c>
      <c r="BK143" s="65">
        <v>16192</v>
      </c>
      <c r="BL143" s="44">
        <v>14756</v>
      </c>
      <c r="BM143" s="44"/>
      <c r="BN143" s="44"/>
      <c r="BO143" s="44"/>
      <c r="BP143" s="44">
        <v>12443</v>
      </c>
      <c r="BQ143" s="44">
        <v>12359</v>
      </c>
      <c r="BR143" s="44">
        <v>12397</v>
      </c>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115"/>
      <c r="CO143" s="115"/>
      <c r="CP143" s="115"/>
      <c r="CQ143" s="115"/>
      <c r="CR143" s="115"/>
      <c r="CS143" s="115"/>
      <c r="CT143" s="115"/>
      <c r="CU143" s="115"/>
      <c r="CV143" s="115"/>
      <c r="CW143" s="115"/>
      <c r="CX143" s="115"/>
      <c r="CY143" s="115">
        <v>15109</v>
      </c>
      <c r="CZ143" s="115">
        <v>15244</v>
      </c>
      <c r="DA143" s="115">
        <v>15441</v>
      </c>
      <c r="DB143" s="115"/>
      <c r="DC143" s="115"/>
      <c r="DD143" s="115"/>
      <c r="DE143" s="115"/>
      <c r="DF143" s="115"/>
      <c r="DG143" s="44"/>
      <c r="DH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81"/>
      <c r="FI143" s="44"/>
      <c r="FJ143" s="82"/>
      <c r="FK143" s="44"/>
    </row>
    <row r="144" spans="2:170" s="20" customFormat="1">
      <c r="B144" s="20" t="s">
        <v>847</v>
      </c>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68"/>
      <c r="AQ144" s="44"/>
      <c r="AR144" s="44"/>
      <c r="AS144" s="44"/>
      <c r="AT144" s="44">
        <f>21382+20498</f>
        <v>41880</v>
      </c>
      <c r="AU144" s="44">
        <f>21556+19896</f>
        <v>41452</v>
      </c>
      <c r="AV144" s="44">
        <f>21704+19875</f>
        <v>41579</v>
      </c>
      <c r="AW144" s="44">
        <f>21353+18978</f>
        <v>40331</v>
      </c>
      <c r="AX144" s="44"/>
      <c r="AY144" s="44">
        <f>21482+16923</f>
        <v>38405</v>
      </c>
      <c r="AZ144" s="44">
        <f>21794+16611</f>
        <v>38405</v>
      </c>
      <c r="BA144" s="44">
        <f>21796+16125</f>
        <v>37921</v>
      </c>
      <c r="BB144" s="44">
        <f>42376+68015</f>
        <v>110391</v>
      </c>
      <c r="BC144" s="44">
        <f>42648+64480</f>
        <v>107128</v>
      </c>
      <c r="BD144" s="44"/>
      <c r="BE144" s="44"/>
      <c r="BF144" s="44"/>
      <c r="BG144" s="44"/>
      <c r="BH144" s="44"/>
      <c r="BI144" s="44"/>
      <c r="BJ144" s="65">
        <f>45067+53833</f>
        <v>98900</v>
      </c>
      <c r="BK144" s="65">
        <f>45252+52801</f>
        <v>98053</v>
      </c>
      <c r="BL144" s="44">
        <f>44568+48399</f>
        <v>92967</v>
      </c>
      <c r="BM144" s="44"/>
      <c r="BN144" s="44"/>
      <c r="BO144" s="44"/>
      <c r="BP144" s="44">
        <f>42431+41776</f>
        <v>84207</v>
      </c>
      <c r="BQ144" s="44">
        <f>42400+40549</f>
        <v>82949</v>
      </c>
      <c r="BR144" s="44">
        <f>42519+39385</f>
        <v>81904</v>
      </c>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115"/>
      <c r="CO144" s="115"/>
      <c r="CP144" s="115"/>
      <c r="CQ144" s="115"/>
      <c r="CR144" s="115"/>
      <c r="CS144" s="115"/>
      <c r="CT144" s="115"/>
      <c r="CU144" s="115"/>
      <c r="CV144" s="115"/>
      <c r="CW144" s="115"/>
      <c r="CX144" s="115"/>
      <c r="CY144" s="115">
        <f>29816+50211</f>
        <v>80027</v>
      </c>
      <c r="CZ144" s="115">
        <f>29065+49891</f>
        <v>78956</v>
      </c>
      <c r="DA144" s="115">
        <f>28151+49441</f>
        <v>77592</v>
      </c>
      <c r="DB144" s="115"/>
      <c r="DC144" s="115"/>
      <c r="DD144" s="115"/>
      <c r="DE144" s="115"/>
      <c r="DF144" s="115"/>
      <c r="DG144" s="44"/>
      <c r="DH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81"/>
      <c r="FI144" s="44"/>
      <c r="FJ144" s="82"/>
      <c r="FK144" s="44"/>
    </row>
    <row r="145" spans="2:167" s="20" customFormat="1">
      <c r="B145" s="20" t="s">
        <v>848</v>
      </c>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68"/>
      <c r="AQ145" s="44"/>
      <c r="AR145" s="44"/>
      <c r="AS145" s="44"/>
      <c r="AT145" s="44">
        <v>5949</v>
      </c>
      <c r="AU145" s="44">
        <v>6193</v>
      </c>
      <c r="AV145" s="44">
        <v>4255</v>
      </c>
      <c r="AW145" s="44">
        <v>3929</v>
      </c>
      <c r="AX145" s="44"/>
      <c r="AY145" s="44">
        <v>3802</v>
      </c>
      <c r="AZ145" s="44">
        <v>3614</v>
      </c>
      <c r="BA145" s="44">
        <v>4520</v>
      </c>
      <c r="BB145" s="44">
        <v>4986</v>
      </c>
      <c r="BC145" s="44">
        <v>4337</v>
      </c>
      <c r="BD145" s="44"/>
      <c r="BE145" s="44"/>
      <c r="BF145" s="44"/>
      <c r="BG145" s="44"/>
      <c r="BH145" s="44"/>
      <c r="BI145" s="44"/>
      <c r="BJ145" s="65">
        <v>5779</v>
      </c>
      <c r="BK145" s="65">
        <v>5943</v>
      </c>
      <c r="BL145" s="44">
        <v>5806</v>
      </c>
      <c r="BM145" s="44"/>
      <c r="BN145" s="44"/>
      <c r="BO145" s="44"/>
      <c r="BP145" s="44">
        <v>5143</v>
      </c>
      <c r="BQ145" s="44">
        <v>4982</v>
      </c>
      <c r="BR145" s="44">
        <v>3596</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v>7879</v>
      </c>
      <c r="CZ145" s="115">
        <v>7659.5</v>
      </c>
      <c r="DA145" s="115">
        <v>7136</v>
      </c>
      <c r="DB145" s="115"/>
      <c r="DC145" s="115"/>
      <c r="DD145" s="115"/>
      <c r="DE145" s="115"/>
      <c r="DF145" s="115"/>
      <c r="DG145" s="44"/>
      <c r="DH145" s="44"/>
      <c r="DL145" s="44"/>
      <c r="DM145" s="44"/>
      <c r="DN145" s="44"/>
      <c r="DO145" s="44"/>
      <c r="DP145" s="44"/>
      <c r="DQ145" s="44"/>
      <c r="DR145" s="44"/>
      <c r="DS145" s="44"/>
      <c r="DT145" s="44"/>
      <c r="DU145" s="44"/>
      <c r="DV145" s="44"/>
      <c r="DW145" s="44"/>
      <c r="DX145" s="44"/>
      <c r="DY145" s="44"/>
      <c r="DZ145" s="44"/>
      <c r="EA145" s="44"/>
      <c r="EB145" s="44"/>
      <c r="EC145" s="44"/>
      <c r="ED145" s="44"/>
      <c r="EE145" s="44"/>
      <c r="EF145" s="44"/>
      <c r="EG145" s="44"/>
      <c r="EH145" s="44"/>
      <c r="EI145" s="44"/>
      <c r="EJ145" s="44"/>
      <c r="EK145" s="44"/>
      <c r="EL145" s="44"/>
      <c r="EM145" s="44"/>
      <c r="EN145" s="44"/>
      <c r="EO145" s="44"/>
      <c r="EP145" s="44"/>
      <c r="EQ145" s="44"/>
      <c r="ER145" s="44"/>
      <c r="ES145" s="44"/>
      <c r="ET145" s="44"/>
      <c r="EU145" s="44"/>
      <c r="EV145" s="44"/>
      <c r="EW145" s="44"/>
      <c r="EX145" s="44"/>
      <c r="EY145" s="44"/>
      <c r="EZ145" s="44"/>
      <c r="FA145" s="44"/>
      <c r="FB145" s="44"/>
      <c r="FC145" s="44"/>
      <c r="FD145" s="44"/>
      <c r="FE145" s="44"/>
      <c r="FF145" s="44"/>
      <c r="FG145" s="44"/>
      <c r="FH145" s="81"/>
      <c r="FI145" s="44"/>
      <c r="FJ145" s="82"/>
      <c r="FK145" s="44"/>
    </row>
    <row r="146" spans="2:167" s="20" customFormat="1">
      <c r="B146" s="20" t="s">
        <v>849</v>
      </c>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68"/>
      <c r="AQ146" s="44"/>
      <c r="AR146" s="44"/>
      <c r="AS146" s="44"/>
      <c r="AT146" s="44">
        <f>SUM(AT140:AT145,AT138,AT139)</f>
        <v>115268</v>
      </c>
      <c r="AU146" s="44">
        <f>SUM(AU140:AU145,AU138,AU139)</f>
        <v>118550</v>
      </c>
      <c r="AV146" s="44">
        <f>SUM(AV140:AV145,AV138,AV139)</f>
        <v>116515</v>
      </c>
      <c r="AW146" s="44">
        <f>SUM(AW140:AW145,AW138,AW139)</f>
        <v>115249</v>
      </c>
      <c r="AX146" s="44"/>
      <c r="AY146" s="44">
        <f>SUM(AY140:AY145,AY138,AY139)</f>
        <v>122932</v>
      </c>
      <c r="AZ146" s="44">
        <f>SUM(AZ140:AZ145,AZ138,AZ139)</f>
        <v>139339</v>
      </c>
      <c r="BA146" s="44">
        <f>SUM(BA140:BA145,BA138,BA139)</f>
        <v>141564</v>
      </c>
      <c r="BB146" s="44">
        <f>SUM(BB140:BB145,BB138,BB139)</f>
        <v>212949</v>
      </c>
      <c r="BC146" s="44">
        <f>SUM(BC140:BC145,BC138,BC139)</f>
        <v>195113</v>
      </c>
      <c r="BD146" s="44"/>
      <c r="BE146" s="44"/>
      <c r="BF146" s="44"/>
      <c r="BG146" s="44"/>
      <c r="BH146" s="44"/>
      <c r="BI146" s="44"/>
      <c r="BJ146" s="65">
        <f>SUM(BJ138:BJ145)</f>
        <v>188002</v>
      </c>
      <c r="BK146" s="65">
        <f>SUM(BK138:BK145)</f>
        <v>185683</v>
      </c>
      <c r="BL146" s="65">
        <f>SUM(BL138:BL145)</f>
        <v>182842</v>
      </c>
      <c r="BM146" s="44"/>
      <c r="BN146" s="44"/>
      <c r="BO146" s="44"/>
      <c r="BP146" s="65">
        <f>SUM(BP138:BP145)</f>
        <v>179335</v>
      </c>
      <c r="BQ146" s="65">
        <f>SUM(BQ138:BQ145)</f>
        <v>175521</v>
      </c>
      <c r="BR146" s="65">
        <f>SUM(BR138:BR145)</f>
        <v>172101</v>
      </c>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f>SUM(CY138:CY145)</f>
        <v>183840</v>
      </c>
      <c r="CZ146" s="115">
        <f>SUM(CZ138:CZ145)</f>
        <v>195289.5</v>
      </c>
      <c r="DA146" s="115">
        <f>SUM(DA138:DA145)</f>
        <v>195352</v>
      </c>
      <c r="DB146" s="115"/>
      <c r="DC146" s="115"/>
      <c r="DD146" s="115"/>
      <c r="DE146" s="115"/>
      <c r="DF146" s="115"/>
      <c r="DG146" s="44"/>
      <c r="DH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81"/>
      <c r="FI146" s="44"/>
      <c r="FJ146" s="82"/>
      <c r="FK146" s="44"/>
    </row>
    <row r="147" spans="2:167">
      <c r="AP147" s="62"/>
      <c r="AT147" s="44"/>
      <c r="AU147" s="44"/>
      <c r="AV147" s="44"/>
      <c r="AW147" s="44"/>
      <c r="AY147" s="44"/>
      <c r="AZ147" s="44"/>
      <c r="BA147" s="44"/>
      <c r="BB147" s="44"/>
      <c r="BC147" s="44"/>
      <c r="BJ147" s="65"/>
      <c r="BK147" s="65"/>
      <c r="BL147" s="65"/>
      <c r="BP147" s="65"/>
      <c r="BQ147" s="65"/>
      <c r="BR147" s="65"/>
    </row>
    <row r="148" spans="2:167" s="20" customFormat="1">
      <c r="B148" s="20" t="s">
        <v>314</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2.638+4.771</f>
        <v>7.4089999999999998</v>
      </c>
      <c r="AR148" s="44">
        <f>2.432+5.777</f>
        <v>8.2089999999999996</v>
      </c>
      <c r="AS148" s="44">
        <v>8.6999999999999993</v>
      </c>
      <c r="AT148" s="44">
        <f>5825+7314</f>
        <v>13139</v>
      </c>
      <c r="AU148" s="44">
        <f>8143+8909</f>
        <v>17052</v>
      </c>
      <c r="AV148" s="44">
        <f>9193+7152</f>
        <v>16345</v>
      </c>
      <c r="AW148" s="44">
        <f>9193+7152</f>
        <v>16345</v>
      </c>
      <c r="AX148" s="44"/>
      <c r="AY148" s="44">
        <f>7613+21064</f>
        <v>28677</v>
      </c>
      <c r="AZ148" s="44">
        <f>7645+31864</f>
        <v>39509</v>
      </c>
      <c r="BA148" s="44">
        <f>6954+32402</f>
        <v>39356</v>
      </c>
      <c r="BB148" s="44">
        <f>5469+43193</f>
        <v>48662</v>
      </c>
      <c r="BC148" s="44">
        <f>7769+38281</f>
        <v>46050</v>
      </c>
      <c r="BD148" s="44"/>
      <c r="BE148" s="44"/>
      <c r="BF148" s="44"/>
      <c r="BG148" s="44"/>
      <c r="BH148" s="44"/>
      <c r="BI148" s="44"/>
      <c r="BJ148" s="65">
        <f>4018+34931</f>
        <v>38949</v>
      </c>
      <c r="BK148" s="65">
        <f>5526+33543</f>
        <v>39069</v>
      </c>
      <c r="BL148" s="44">
        <f>7703+30868</f>
        <v>38571</v>
      </c>
      <c r="BM148" s="44"/>
      <c r="BN148" s="44"/>
      <c r="BO148" s="44"/>
      <c r="BP148" s="44">
        <f>5214+31532</f>
        <v>36746</v>
      </c>
      <c r="BQ148" s="44">
        <f>4738+31812</f>
        <v>36550</v>
      </c>
      <c r="BR148" s="44">
        <f>6027+30462</f>
        <v>36489</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645+35656</f>
        <v>36301</v>
      </c>
      <c r="CZ148" s="115">
        <f>5990+34294</f>
        <v>40284</v>
      </c>
      <c r="DA148" s="115">
        <f>4040+32629</f>
        <v>36669</v>
      </c>
      <c r="DB148" s="115"/>
      <c r="DC148" s="115"/>
      <c r="DD148" s="115"/>
      <c r="DE148" s="115"/>
      <c r="DF148" s="115"/>
      <c r="DG148" s="44"/>
      <c r="DH148" s="44"/>
      <c r="DL148" s="44"/>
      <c r="DM148" s="44"/>
      <c r="DN148" s="44"/>
      <c r="DO148" s="44"/>
      <c r="DP148" s="44"/>
      <c r="DQ148" s="44"/>
      <c r="DR148" s="44"/>
      <c r="DS148" s="44"/>
      <c r="DT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81"/>
      <c r="FI148" s="44"/>
      <c r="FJ148" s="82"/>
      <c r="FK148" s="44"/>
    </row>
    <row r="149" spans="2:167" s="20" customFormat="1">
      <c r="B149" s="20" t="s">
        <v>850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c r="AR149" s="44"/>
      <c r="AS149" s="44"/>
      <c r="AT149" s="44"/>
      <c r="AU149" s="44"/>
      <c r="AV149" s="44"/>
      <c r="AW149" s="44">
        <v>1649</v>
      </c>
      <c r="AX149" s="44"/>
      <c r="AY149" s="44">
        <v>1573</v>
      </c>
      <c r="AZ149" s="44">
        <v>2595</v>
      </c>
      <c r="BA149" s="44">
        <v>2481</v>
      </c>
      <c r="BB149" s="44">
        <v>4370</v>
      </c>
      <c r="BC149" s="44">
        <v>3028</v>
      </c>
      <c r="BD149" s="44"/>
      <c r="BE149" s="44"/>
      <c r="BF149" s="44"/>
      <c r="BG149" s="44"/>
      <c r="BH149" s="44"/>
      <c r="BI149" s="44"/>
      <c r="BJ149" s="65">
        <v>3836</v>
      </c>
      <c r="BK149" s="65">
        <v>3091</v>
      </c>
      <c r="BL149" s="44">
        <v>3165</v>
      </c>
      <c r="BM149" s="44"/>
      <c r="BN149" s="44"/>
      <c r="BO149" s="44"/>
      <c r="BP149" s="44">
        <v>1978</v>
      </c>
      <c r="BQ149" s="44">
        <v>2287</v>
      </c>
      <c r="BR149" s="44">
        <v>3234</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5506</v>
      </c>
      <c r="CZ149" s="115">
        <v>6208</v>
      </c>
      <c r="DA149" s="115">
        <v>6267</v>
      </c>
      <c r="DB149" s="115"/>
      <c r="DC149" s="115"/>
      <c r="DD149" s="115"/>
      <c r="DE149" s="115"/>
      <c r="DF149" s="115"/>
      <c r="DG149" s="44"/>
      <c r="DH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81"/>
      <c r="FI149" s="44"/>
      <c r="FJ149" s="82"/>
      <c r="FK149" s="44"/>
    </row>
    <row r="150" spans="2:167" s="20" customFormat="1">
      <c r="B150" s="20" t="s">
        <v>851</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c r="AU150" s="44"/>
      <c r="AV150" s="44"/>
      <c r="AW150" s="44">
        <v>1</v>
      </c>
      <c r="AX150" s="44"/>
      <c r="AY150" s="44">
        <v>1</v>
      </c>
      <c r="AZ150" s="44">
        <v>1081</v>
      </c>
      <c r="BA150" s="44">
        <v>1</v>
      </c>
      <c r="BB150" s="44">
        <v>1454</v>
      </c>
      <c r="BC150" s="44">
        <v>1</v>
      </c>
      <c r="BD150" s="44"/>
      <c r="BE150" s="44"/>
      <c r="BF150" s="44"/>
      <c r="BG150" s="44"/>
      <c r="BH150" s="44"/>
      <c r="BI150" s="44"/>
      <c r="BJ150" s="65">
        <v>1796</v>
      </c>
      <c r="BK150" s="65">
        <v>1</v>
      </c>
      <c r="BL150" s="44">
        <v>1826</v>
      </c>
      <c r="BM150" s="44"/>
      <c r="BN150" s="44"/>
      <c r="BO150" s="44"/>
      <c r="BP150" s="44">
        <v>1685</v>
      </c>
      <c r="BQ150" s="44">
        <v>1</v>
      </c>
      <c r="BR150" s="44">
        <v>1663</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0</v>
      </c>
      <c r="CZ150" s="115">
        <v>2245</v>
      </c>
      <c r="DA150" s="115">
        <v>2245</v>
      </c>
      <c r="DB150" s="115"/>
      <c r="DC150" s="115"/>
      <c r="DD150" s="115"/>
      <c r="DE150" s="115"/>
      <c r="DF150" s="115"/>
      <c r="DG150" s="44"/>
      <c r="DH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81"/>
      <c r="FI150" s="44"/>
      <c r="FJ150" s="82"/>
      <c r="FK150" s="44"/>
    </row>
    <row r="151" spans="2:167" s="20" customFormat="1">
      <c r="B151" s="20" t="s">
        <v>852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c r="AU151" s="44"/>
      <c r="AV151" s="44"/>
      <c r="AW151" s="44">
        <v>735</v>
      </c>
      <c r="AX151" s="44"/>
      <c r="AY151" s="44">
        <v>542</v>
      </c>
      <c r="AZ151" s="44">
        <v>607</v>
      </c>
      <c r="BA151" s="44">
        <f>485+1816</f>
        <v>2301</v>
      </c>
      <c r="BB151" s="44">
        <v>10107</v>
      </c>
      <c r="BC151" s="44">
        <f>765+12301</f>
        <v>13066</v>
      </c>
      <c r="BD151" s="44"/>
      <c r="BE151" s="44"/>
      <c r="BF151" s="44"/>
      <c r="BG151" s="44"/>
      <c r="BH151" s="44"/>
      <c r="BI151" s="44"/>
      <c r="BJ151" s="65">
        <v>1013</v>
      </c>
      <c r="BK151" s="65">
        <v>1930</v>
      </c>
      <c r="BL151" s="44">
        <v>2098</v>
      </c>
      <c r="BM151" s="44"/>
      <c r="BN151" s="44"/>
      <c r="BO151" s="44"/>
      <c r="BP151" s="44">
        <v>904</v>
      </c>
      <c r="BQ151" s="44">
        <v>802</v>
      </c>
      <c r="BR151" s="44">
        <v>678</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3177</v>
      </c>
      <c r="CZ151" s="115">
        <v>3350</v>
      </c>
      <c r="DA151" s="115">
        <v>3071</v>
      </c>
      <c r="DB151" s="115"/>
      <c r="DC151" s="115"/>
      <c r="DD151" s="115"/>
      <c r="DE151" s="115"/>
      <c r="DF151" s="115"/>
      <c r="DG151" s="44"/>
      <c r="DH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81"/>
      <c r="FI151" s="44"/>
      <c r="FJ151" s="82"/>
      <c r="FK151" s="44"/>
    </row>
    <row r="152" spans="2:167" s="20" customFormat="1">
      <c r="B152" s="20" t="s">
        <v>853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c r="AU152" s="44"/>
      <c r="AV152" s="44"/>
      <c r="AW152" s="44">
        <v>1752</v>
      </c>
      <c r="AX152" s="44"/>
      <c r="AY152" s="44">
        <v>1565</v>
      </c>
      <c r="AZ152" s="44">
        <v>1549</v>
      </c>
      <c r="BA152" s="44">
        <v>1678</v>
      </c>
      <c r="BB152" s="44">
        <v>2242</v>
      </c>
      <c r="BC152" s="44">
        <v>2060</v>
      </c>
      <c r="BD152" s="44"/>
      <c r="BE152" s="44"/>
      <c r="BF152" s="44"/>
      <c r="BG152" s="44"/>
      <c r="BH152" s="44"/>
      <c r="BI152" s="44"/>
      <c r="BJ152" s="65">
        <v>2169</v>
      </c>
      <c r="BK152" s="65">
        <v>1752</v>
      </c>
      <c r="BL152" s="44">
        <v>1493</v>
      </c>
      <c r="BM152" s="44"/>
      <c r="BN152" s="44"/>
      <c r="BO152" s="44"/>
      <c r="BP152" s="44">
        <v>1430</v>
      </c>
      <c r="BQ152" s="44">
        <v>1750</v>
      </c>
      <c r="BR152" s="44">
        <v>1792</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2249</v>
      </c>
      <c r="CZ152" s="115">
        <v>1997</v>
      </c>
      <c r="DA152" s="115">
        <v>2852</v>
      </c>
      <c r="DB152" s="115"/>
      <c r="DC152" s="115"/>
      <c r="DD152" s="115"/>
      <c r="DE152" s="115"/>
      <c r="DF152" s="115"/>
      <c r="DG152" s="44"/>
      <c r="DH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81"/>
      <c r="FI152" s="44"/>
      <c r="FJ152" s="82"/>
      <c r="FK152" s="44"/>
    </row>
    <row r="153" spans="2:167" s="20" customFormat="1">
      <c r="B153" s="111" t="s">
        <v>1380</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c r="AU153" s="44"/>
      <c r="AV153" s="44"/>
      <c r="AW153" s="44"/>
      <c r="AX153" s="44"/>
      <c r="AY153" s="44"/>
      <c r="AZ153" s="44"/>
      <c r="BA153" s="44"/>
      <c r="BB153" s="44"/>
      <c r="BC153" s="44"/>
      <c r="BD153" s="44"/>
      <c r="BE153" s="44"/>
      <c r="BF153" s="44"/>
      <c r="BG153" s="44"/>
      <c r="BH153" s="44"/>
      <c r="BI153" s="44"/>
      <c r="BJ153" s="65"/>
      <c r="BK153" s="65"/>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3108</v>
      </c>
      <c r="CZ153" s="115">
        <v>3804</v>
      </c>
      <c r="DA153" s="115">
        <v>6191</v>
      </c>
      <c r="DB153" s="115"/>
      <c r="DC153" s="115"/>
      <c r="DD153" s="115"/>
      <c r="DE153" s="115"/>
      <c r="DF153" s="115"/>
      <c r="DG153" s="44"/>
      <c r="DH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81"/>
      <c r="FI153" s="44"/>
      <c r="FJ153" s="82"/>
      <c r="FK153" s="44"/>
    </row>
    <row r="154" spans="2:167" s="20" customFormat="1">
      <c r="B154" s="20" t="s">
        <v>854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c r="AU154" s="44"/>
      <c r="AV154" s="44"/>
      <c r="AW154" s="44">
        <v>8173</v>
      </c>
      <c r="AX154" s="44"/>
      <c r="AY154" s="44">
        <v>12046</v>
      </c>
      <c r="AZ154" s="44">
        <v>12632</v>
      </c>
      <c r="BA154" s="44">
        <v>10577</v>
      </c>
      <c r="BB154" s="44">
        <v>13583</v>
      </c>
      <c r="BC154" s="44">
        <v>0</v>
      </c>
      <c r="BD154" s="44"/>
      <c r="BE154" s="44"/>
      <c r="BF154" s="44"/>
      <c r="BG154" s="44"/>
      <c r="BH154" s="44"/>
      <c r="BI154" s="44"/>
      <c r="BJ154" s="65">
        <v>15237</v>
      </c>
      <c r="BK154" s="65">
        <v>14794</v>
      </c>
      <c r="BL154" s="44">
        <f>13215+1298</f>
        <v>14513</v>
      </c>
      <c r="BM154" s="44"/>
      <c r="BN154" s="44"/>
      <c r="BO154" s="44"/>
      <c r="BP154" s="44">
        <f>12218+21</f>
        <v>12239</v>
      </c>
      <c r="BQ154" s="44">
        <v>10774</v>
      </c>
      <c r="BR154" s="44">
        <f>9951+21</f>
        <v>9972</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24583</v>
      </c>
      <c r="CZ154" s="115">
        <v>23816</v>
      </c>
      <c r="DA154" s="115">
        <v>19647</v>
      </c>
      <c r="DB154" s="115"/>
      <c r="DC154" s="115"/>
      <c r="DD154" s="115"/>
      <c r="DE154" s="115"/>
      <c r="DF154" s="115"/>
      <c r="DG154" s="44"/>
      <c r="DH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81"/>
      <c r="FI154" s="44"/>
      <c r="FJ154" s="82"/>
      <c r="FK154" s="44"/>
    </row>
    <row r="155" spans="2:167" s="20" customFormat="1">
      <c r="B155" s="20" t="s">
        <v>855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c r="AU155" s="44"/>
      <c r="AV155" s="44"/>
      <c r="AW155" s="44">
        <f>2425+1747</f>
        <v>4172</v>
      </c>
      <c r="AX155" s="44"/>
      <c r="AY155" s="44">
        <f>4038+1604</f>
        <v>5642</v>
      </c>
      <c r="AZ155" s="44">
        <f>4159+1602</f>
        <v>5761</v>
      </c>
      <c r="BA155" s="44">
        <f>4647+1605</f>
        <v>6252</v>
      </c>
      <c r="BB155" s="44">
        <v>6392</v>
      </c>
      <c r="BC155" s="44">
        <f>6119+3239</f>
        <v>9358</v>
      </c>
      <c r="BD155" s="44"/>
      <c r="BE155" s="44"/>
      <c r="BF155" s="44"/>
      <c r="BG155" s="44"/>
      <c r="BH155" s="44"/>
      <c r="BI155" s="44"/>
      <c r="BJ155" s="65">
        <f>6355+3344</f>
        <v>9699</v>
      </c>
      <c r="BK155" s="65">
        <f>6181+3346</f>
        <v>9527</v>
      </c>
      <c r="BL155" s="44">
        <f>6484+3309</f>
        <v>9793</v>
      </c>
      <c r="BM155" s="44"/>
      <c r="BN155" s="44"/>
      <c r="BO155" s="44"/>
      <c r="BP155" s="44">
        <f>7534+3454</f>
        <v>10988</v>
      </c>
      <c r="BQ155" s="44">
        <f>7588+3423</f>
        <v>11011</v>
      </c>
      <c r="BR155" s="44">
        <f>4635+2668</f>
        <v>7303</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3261+233</f>
        <v>3494</v>
      </c>
      <c r="CZ155" s="115">
        <f>3030+227</f>
        <v>3257</v>
      </c>
      <c r="DA155" s="115">
        <f>2738+222</f>
        <v>2960</v>
      </c>
      <c r="DB155" s="115"/>
      <c r="DC155" s="115"/>
      <c r="DD155" s="115"/>
      <c r="DE155" s="115"/>
      <c r="DF155" s="115"/>
      <c r="DG155" s="44"/>
      <c r="DH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81"/>
      <c r="FI155" s="44"/>
      <c r="FJ155" s="82"/>
      <c r="FK155" s="44"/>
    </row>
    <row r="156" spans="2:167" s="20" customFormat="1">
      <c r="B156" s="20" t="s">
        <v>856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c r="AU156" s="44"/>
      <c r="AV156" s="44"/>
      <c r="AW156" s="44">
        <v>5824</v>
      </c>
      <c r="AX156" s="44"/>
      <c r="AY156" s="44">
        <v>2849</v>
      </c>
      <c r="AZ156" s="44">
        <v>2356</v>
      </c>
      <c r="BA156" s="44">
        <v>2419</v>
      </c>
      <c r="BB156" s="44">
        <v>3243</v>
      </c>
      <c r="BC156" s="44">
        <v>17460</v>
      </c>
      <c r="BD156" s="44"/>
      <c r="BE156" s="44"/>
      <c r="BF156" s="44"/>
      <c r="BG156" s="44"/>
      <c r="BH156" s="44"/>
      <c r="BI156" s="44"/>
      <c r="BJ156" s="65">
        <v>19597</v>
      </c>
      <c r="BK156" s="65">
        <v>19739</v>
      </c>
      <c r="BL156" s="44">
        <v>18487</v>
      </c>
      <c r="BM156" s="44"/>
      <c r="BN156" s="44"/>
      <c r="BO156" s="44"/>
      <c r="BP156" s="44">
        <v>22338</v>
      </c>
      <c r="BQ156" s="44">
        <v>22432</v>
      </c>
      <c r="BR156" s="44">
        <v>25590</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655</v>
      </c>
      <c r="CZ156" s="115">
        <v>558</v>
      </c>
      <c r="DA156" s="115">
        <v>616</v>
      </c>
      <c r="DB156" s="115"/>
      <c r="DC156" s="115"/>
      <c r="DD156" s="115"/>
      <c r="DE156" s="115"/>
      <c r="DF156" s="115"/>
      <c r="DG156" s="44"/>
      <c r="DH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81"/>
      <c r="FI156" s="44"/>
      <c r="FJ156" s="82"/>
      <c r="FK156" s="44"/>
    </row>
    <row r="157" spans="2:167" s="20" customFormat="1">
      <c r="B157" s="20" t="s">
        <v>857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c r="AU157" s="44"/>
      <c r="AV157" s="44"/>
      <c r="AW157" s="44">
        <v>6594</v>
      </c>
      <c r="AX157" s="44"/>
      <c r="AY157" s="44">
        <v>6770</v>
      </c>
      <c r="AZ157" s="44">
        <v>7029</v>
      </c>
      <c r="BA157" s="44">
        <v>6843</v>
      </c>
      <c r="BB157" s="44">
        <f>9000+17839</f>
        <v>26839</v>
      </c>
      <c r="BC157" s="44">
        <v>8338</v>
      </c>
      <c r="BD157" s="44"/>
      <c r="BE157" s="44"/>
      <c r="BF157" s="44"/>
      <c r="BG157" s="44"/>
      <c r="BH157" s="44"/>
      <c r="BI157" s="44"/>
      <c r="BJ157" s="65">
        <v>6886</v>
      </c>
      <c r="BK157" s="65">
        <v>6984</v>
      </c>
      <c r="BL157" s="44">
        <v>7099</v>
      </c>
      <c r="BM157" s="44"/>
      <c r="BN157" s="44"/>
      <c r="BO157" s="44"/>
      <c r="BP157" s="44">
        <v>6819</v>
      </c>
      <c r="BQ157" s="44">
        <v>7024</v>
      </c>
      <c r="BR157" s="44">
        <v>3993</v>
      </c>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11574</v>
      </c>
      <c r="CZ157" s="115">
        <v>10990</v>
      </c>
      <c r="DA157" s="115">
        <v>9701</v>
      </c>
      <c r="DB157" s="115"/>
      <c r="DC157" s="115"/>
      <c r="DD157" s="115"/>
      <c r="DE157" s="115"/>
      <c r="DF157" s="115"/>
      <c r="DG157" s="44"/>
      <c r="DH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81"/>
      <c r="FI157" s="44"/>
      <c r="FJ157" s="82"/>
      <c r="FK157" s="44"/>
    </row>
    <row r="158" spans="2:167" s="20" customFormat="1">
      <c r="B158" s="20" t="s">
        <v>858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c r="AU158" s="44"/>
      <c r="AV158" s="44"/>
      <c r="AW158" s="44">
        <v>2513</v>
      </c>
      <c r="AX158" s="44"/>
      <c r="AY158" s="44">
        <v>2826</v>
      </c>
      <c r="AZ158" s="44">
        <v>2985</v>
      </c>
      <c r="BA158" s="44">
        <v>3136</v>
      </c>
      <c r="BB158" s="44">
        <v>5611</v>
      </c>
      <c r="BC158" s="44">
        <v>5670</v>
      </c>
      <c r="BD158" s="44"/>
      <c r="BE158" s="44"/>
      <c r="BF158" s="44"/>
      <c r="BG158" s="44"/>
      <c r="BH158" s="44"/>
      <c r="BI158" s="44"/>
      <c r="BJ158" s="65">
        <v>6199</v>
      </c>
      <c r="BK158" s="65">
        <v>5119</v>
      </c>
      <c r="BL158" s="44">
        <v>5836</v>
      </c>
      <c r="BM158" s="44"/>
      <c r="BN158" s="44"/>
      <c r="BO158" s="44"/>
      <c r="BP158" s="44">
        <v>5231</v>
      </c>
      <c r="BQ158" s="44">
        <f>4515+21</f>
        <v>4536</v>
      </c>
      <c r="BR158" s="44">
        <v>4767</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v>10508</v>
      </c>
      <c r="CZ158" s="115">
        <v>11311.5</v>
      </c>
      <c r="DA158" s="115">
        <v>12239</v>
      </c>
      <c r="DB158" s="115"/>
      <c r="DC158" s="115"/>
      <c r="DD158" s="115"/>
      <c r="DE158" s="115"/>
      <c r="DF158" s="115"/>
      <c r="DG158" s="44"/>
      <c r="DH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81"/>
      <c r="FI158" s="44"/>
      <c r="FJ158" s="82"/>
      <c r="FK158" s="44"/>
    </row>
    <row r="159" spans="2:167" s="20" customFormat="1">
      <c r="B159" s="20" t="s">
        <v>859</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f>SUM(AW149:AW158,AW148)</f>
        <v>47758</v>
      </c>
      <c r="AX159" s="44"/>
      <c r="AY159" s="44">
        <f>SUM(AY149:AY158,AY148)</f>
        <v>62491</v>
      </c>
      <c r="AZ159" s="44">
        <f>SUM(AZ149:AZ158,AZ148)</f>
        <v>76104</v>
      </c>
      <c r="BA159" s="44">
        <f>SUM(BA149:BA158,BA148)</f>
        <v>75044</v>
      </c>
      <c r="BB159" s="44">
        <f>SUM(BB149:BB158,BB148)</f>
        <v>122503</v>
      </c>
      <c r="BC159" s="44">
        <f>SUM(BC149:BC158,BC148)</f>
        <v>105031</v>
      </c>
      <c r="BD159" s="44"/>
      <c r="BE159" s="44"/>
      <c r="BF159" s="44"/>
      <c r="BG159" s="44"/>
      <c r="BH159" s="44"/>
      <c r="BI159" s="44"/>
      <c r="BJ159" s="65">
        <f>SUM(BJ148:BJ158)</f>
        <v>105381</v>
      </c>
      <c r="BK159" s="65">
        <f>SUM(BK148:BK158)</f>
        <v>102006</v>
      </c>
      <c r="BL159" s="65">
        <f>SUM(BL148:BL158)</f>
        <v>102881</v>
      </c>
      <c r="BM159" s="44"/>
      <c r="BN159" s="44"/>
      <c r="BO159" s="44"/>
      <c r="BP159" s="65">
        <f>SUM(BP148:BP158)</f>
        <v>100358</v>
      </c>
      <c r="BQ159" s="65">
        <f>SUM(BQ148:BQ158)</f>
        <v>97167</v>
      </c>
      <c r="BR159" s="65">
        <f>SUM(BR148:BR158)</f>
        <v>95481</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SUM(CY148:CY158)</f>
        <v>101155</v>
      </c>
      <c r="CZ159" s="115">
        <f>SUM(CZ148:CZ158)</f>
        <v>107820.5</v>
      </c>
      <c r="DA159" s="115">
        <f>SUM(DA148:DA158)</f>
        <v>102458</v>
      </c>
      <c r="DB159" s="115"/>
      <c r="DC159" s="115"/>
      <c r="DD159" s="115"/>
      <c r="DE159" s="115"/>
      <c r="DF159" s="115"/>
      <c r="DG159" s="44"/>
      <c r="DH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81"/>
      <c r="FI159" s="44"/>
      <c r="FJ159" s="82"/>
      <c r="FK159" s="44"/>
    </row>
    <row r="160" spans="2:167" s="20" customFormat="1">
      <c r="B160" s="111" t="s">
        <v>860</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c r="AX160" s="44"/>
      <c r="AY160" s="44"/>
      <c r="AZ160" s="44"/>
      <c r="BA160" s="44"/>
      <c r="BB160" s="44">
        <v>90446</v>
      </c>
      <c r="BC160" s="44">
        <v>90082</v>
      </c>
      <c r="BD160" s="44"/>
      <c r="BE160" s="44"/>
      <c r="BF160" s="44"/>
      <c r="BG160" s="44"/>
      <c r="BH160" s="44"/>
      <c r="BI160" s="44"/>
      <c r="BJ160" s="65">
        <v>82621</v>
      </c>
      <c r="BK160" s="65">
        <v>83677</v>
      </c>
      <c r="BL160" s="65">
        <v>79961</v>
      </c>
      <c r="BM160" s="44"/>
      <c r="BN160" s="44"/>
      <c r="BO160" s="44"/>
      <c r="BP160" s="65">
        <v>78977</v>
      </c>
      <c r="BQ160" s="65">
        <v>78354</v>
      </c>
      <c r="BR160" s="65">
        <v>76620</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82685</v>
      </c>
      <c r="CZ160" s="115">
        <v>87469</v>
      </c>
      <c r="DA160" s="115">
        <v>92891</v>
      </c>
      <c r="DB160" s="115"/>
      <c r="DC160" s="115"/>
      <c r="DD160" s="115"/>
      <c r="DE160" s="115"/>
      <c r="DF160" s="115"/>
      <c r="DG160" s="44"/>
      <c r="DH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81"/>
      <c r="FI160" s="44"/>
      <c r="FJ160" s="82"/>
      <c r="FK160" s="44"/>
    </row>
    <row r="161" spans="2:168" s="20" customFormat="1">
      <c r="B161" s="111" t="s">
        <v>861</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c r="AX161" s="44"/>
      <c r="AY161" s="44"/>
      <c r="AZ161" s="44"/>
      <c r="BA161" s="44"/>
      <c r="BB161" s="44">
        <f>+BB159+BB160</f>
        <v>212949</v>
      </c>
      <c r="BC161" s="44">
        <f>+BC159+BC160</f>
        <v>195113</v>
      </c>
      <c r="BD161" s="44"/>
      <c r="BE161" s="44"/>
      <c r="BF161" s="44"/>
      <c r="BG161" s="44"/>
      <c r="BH161" s="44"/>
      <c r="BI161" s="44"/>
      <c r="BJ161" s="65">
        <f>BJ160+BJ159</f>
        <v>188002</v>
      </c>
      <c r="BK161" s="65">
        <f>BK160+BK159</f>
        <v>185683</v>
      </c>
      <c r="BL161" s="65">
        <f>BL160+BL159</f>
        <v>182842</v>
      </c>
      <c r="BM161" s="44"/>
      <c r="BN161" s="44"/>
      <c r="BO161" s="44"/>
      <c r="BP161" s="65">
        <f>BP160+BP159</f>
        <v>179335</v>
      </c>
      <c r="BQ161" s="65">
        <f>BQ160+BQ159</f>
        <v>175521</v>
      </c>
      <c r="BR161" s="65">
        <f>BR160+BR159</f>
        <v>172101</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f>CY159+CY160</f>
        <v>183840</v>
      </c>
      <c r="CZ161" s="115">
        <f>CZ159+CZ160</f>
        <v>195289.5</v>
      </c>
      <c r="DA161" s="115">
        <f>DA159+DA160</f>
        <v>195349</v>
      </c>
      <c r="DB161" s="115"/>
      <c r="DC161" s="115"/>
      <c r="DD161" s="115"/>
      <c r="DE161" s="115"/>
      <c r="DF161" s="115"/>
      <c r="DG161" s="44"/>
      <c r="DH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81"/>
      <c r="FI161" s="44"/>
      <c r="FJ161" s="82"/>
      <c r="FK161" s="44"/>
    </row>
    <row r="162" spans="2:168">
      <c r="B162" s="14"/>
      <c r="AP162" s="62"/>
      <c r="AT162" s="44"/>
      <c r="AU162" s="44"/>
      <c r="AV162" s="44"/>
      <c r="AW162" s="44"/>
      <c r="AY162" s="44"/>
      <c r="AZ162" s="44"/>
      <c r="BA162" s="44"/>
      <c r="BB162" s="44"/>
    </row>
    <row r="163" spans="2:168">
      <c r="B163" s="4" t="s">
        <v>862</v>
      </c>
      <c r="AP163" s="62"/>
      <c r="AQ163" s="44">
        <f t="shared" ref="AQ163:BL163" si="452">AQ114</f>
        <v>4815</v>
      </c>
      <c r="AR163" s="44">
        <f t="shared" si="452"/>
        <v>2751</v>
      </c>
      <c r="AS163" s="44">
        <f t="shared" si="452"/>
        <v>3992</v>
      </c>
      <c r="AT163" s="44">
        <f t="shared" si="452"/>
        <v>3591</v>
      </c>
      <c r="AU163" s="44">
        <f t="shared" si="452"/>
        <v>4831.8029999999999</v>
      </c>
      <c r="AV163" s="44">
        <f t="shared" si="452"/>
        <v>4423.6540000000005</v>
      </c>
      <c r="AW163" s="44">
        <f t="shared" si="452"/>
        <v>4216</v>
      </c>
      <c r="AX163" s="44">
        <f t="shared" si="452"/>
        <v>4434</v>
      </c>
      <c r="AY163" s="44">
        <f t="shared" si="452"/>
        <v>4289.6499999999996</v>
      </c>
      <c r="AZ163" s="44">
        <f t="shared" si="452"/>
        <v>4059.6149999999998</v>
      </c>
      <c r="BA163" s="44">
        <f t="shared" si="452"/>
        <v>3495</v>
      </c>
      <c r="BB163" s="44">
        <f t="shared" si="452"/>
        <v>3872</v>
      </c>
      <c r="BC163" s="44">
        <f t="shared" si="452"/>
        <v>5278</v>
      </c>
      <c r="BD163" s="44">
        <f t="shared" si="452"/>
        <v>5289</v>
      </c>
      <c r="BE163" s="44">
        <f t="shared" si="452"/>
        <v>4967</v>
      </c>
      <c r="BF163" s="44">
        <f t="shared" si="452"/>
        <v>4539</v>
      </c>
      <c r="BG163" s="44">
        <f t="shared" si="452"/>
        <v>4899</v>
      </c>
      <c r="BH163" s="44">
        <f t="shared" si="452"/>
        <v>5527</v>
      </c>
      <c r="BI163" s="44">
        <f t="shared" si="452"/>
        <v>4917</v>
      </c>
      <c r="BJ163" s="44">
        <f t="shared" si="452"/>
        <v>3927</v>
      </c>
      <c r="BK163" s="44">
        <f t="shared" si="452"/>
        <v>4544</v>
      </c>
      <c r="BL163" s="44">
        <f t="shared" si="452"/>
        <v>4744</v>
      </c>
      <c r="CY163" s="115">
        <f>+CY114</f>
        <v>8986.3999999999978</v>
      </c>
      <c r="CZ163" s="115">
        <f>+CZ114</f>
        <v>11388.80000000001</v>
      </c>
      <c r="DA163" s="115">
        <f>+DA114</f>
        <v>10714.800000000003</v>
      </c>
    </row>
    <row r="164" spans="2:168">
      <c r="B164" s="4" t="s">
        <v>863</v>
      </c>
      <c r="AP164" s="62"/>
      <c r="AQ164" s="44">
        <v>3392</v>
      </c>
      <c r="AR164" s="44"/>
      <c r="AS164" s="44"/>
      <c r="AT164" s="44"/>
      <c r="AU164" s="44">
        <v>2784</v>
      </c>
      <c r="AV164" s="44">
        <v>2776</v>
      </c>
      <c r="AW164" s="44">
        <v>2278</v>
      </c>
      <c r="AX164" s="44"/>
      <c r="AY164" s="44">
        <v>2730</v>
      </c>
      <c r="AZ164" s="44">
        <f>4996-AY164</f>
        <v>2266</v>
      </c>
      <c r="BA164" s="44">
        <f>7877-AZ164-AY164</f>
        <v>2881</v>
      </c>
      <c r="BB164" s="44">
        <f>8644-BA164-AZ164-AY164</f>
        <v>767</v>
      </c>
      <c r="BC164" s="44">
        <v>2035</v>
      </c>
      <c r="BK164" s="65">
        <v>1803</v>
      </c>
      <c r="BL164" s="65">
        <f>5063-BK164</f>
        <v>3260</v>
      </c>
      <c r="CY164" s="115">
        <v>7879</v>
      </c>
      <c r="CZ164" s="115">
        <f>17756-CY164</f>
        <v>9877</v>
      </c>
      <c r="DA164" s="115">
        <f>26400-CZ164-CY164</f>
        <v>8644</v>
      </c>
      <c r="FL164" s="20"/>
    </row>
    <row r="165" spans="2:168">
      <c r="B165" s="4" t="s">
        <v>864</v>
      </c>
      <c r="AP165" s="62"/>
      <c r="AQ165" s="44">
        <v>1271</v>
      </c>
      <c r="AR165" s="44"/>
      <c r="AS165" s="44"/>
      <c r="AT165" s="44"/>
      <c r="AU165" s="44">
        <v>1487</v>
      </c>
      <c r="AV165" s="44">
        <f>2716-AU165</f>
        <v>1229</v>
      </c>
      <c r="AW165" s="44">
        <f>3912-AV165-AU165</f>
        <v>1196</v>
      </c>
      <c r="AX165" s="44"/>
      <c r="AY165" s="44">
        <v>1008</v>
      </c>
      <c r="AZ165" s="44">
        <f>2014-AY165</f>
        <v>1006</v>
      </c>
      <c r="BA165" s="44">
        <f>2983-AZ165-AY165</f>
        <v>969</v>
      </c>
      <c r="BB165" s="44">
        <f>4757-BA165-AZ165-AY165</f>
        <v>1774</v>
      </c>
      <c r="BC165" s="44">
        <v>2051</v>
      </c>
      <c r="BK165" s="65">
        <v>2252</v>
      </c>
      <c r="BL165" s="44">
        <f>4002-BK165</f>
        <v>1750</v>
      </c>
      <c r="CY165" s="115">
        <v>1187</v>
      </c>
      <c r="CZ165" s="115">
        <f>2362-CY165</f>
        <v>1175</v>
      </c>
      <c r="DA165" s="115">
        <f>3545-CZ165-CY165</f>
        <v>1183</v>
      </c>
      <c r="FL165" s="39"/>
    </row>
    <row r="166" spans="2:168">
      <c r="B166" s="4" t="s">
        <v>865</v>
      </c>
      <c r="AP166" s="62"/>
      <c r="AQ166" s="44"/>
      <c r="AR166" s="44"/>
      <c r="AS166" s="44"/>
      <c r="AT166" s="44"/>
      <c r="AU166" s="44">
        <v>101</v>
      </c>
      <c r="AV166" s="44">
        <f>166-AU166</f>
        <v>65</v>
      </c>
      <c r="AW166" s="44">
        <f>263-AV166-AU166</f>
        <v>97</v>
      </c>
      <c r="AX166" s="44"/>
      <c r="AY166" s="44">
        <v>71</v>
      </c>
      <c r="AZ166" s="44">
        <f>169-AY166</f>
        <v>98</v>
      </c>
      <c r="BA166" s="44">
        <f>258-AZ166-AY166</f>
        <v>89</v>
      </c>
      <c r="BB166" s="44">
        <f>349-BA166-AZ166-AY166</f>
        <v>91</v>
      </c>
      <c r="BC166" s="44">
        <v>138</v>
      </c>
      <c r="BK166" s="65">
        <v>130</v>
      </c>
      <c r="BL166" s="44">
        <f>247-BK166</f>
        <v>117</v>
      </c>
      <c r="CY166" s="115">
        <v>86</v>
      </c>
      <c r="CZ166" s="115">
        <f>373-CY166</f>
        <v>287</v>
      </c>
      <c r="DA166" s="115">
        <f>508-CZ166-CY166</f>
        <v>135</v>
      </c>
    </row>
    <row r="167" spans="2:168">
      <c r="B167" s="4" t="s">
        <v>866</v>
      </c>
      <c r="AP167" s="62"/>
      <c r="AQ167" s="44"/>
      <c r="AR167" s="44"/>
      <c r="AS167" s="44"/>
      <c r="AT167" s="44"/>
      <c r="AU167" s="44">
        <v>398</v>
      </c>
      <c r="AV167" s="44">
        <f>554-AU167</f>
        <v>156</v>
      </c>
      <c r="AW167" s="44">
        <f>567-AV167-AU167</f>
        <v>13</v>
      </c>
      <c r="AX167" s="44"/>
      <c r="AY167" s="44">
        <v>0</v>
      </c>
      <c r="AZ167" s="44">
        <f>20-AY167</f>
        <v>20</v>
      </c>
      <c r="BA167" s="44">
        <f>20-AZ167-AY167</f>
        <v>0</v>
      </c>
      <c r="BB167" s="44">
        <f>68-BA167-AZ167-AY167-670</f>
        <v>-622</v>
      </c>
      <c r="BC167" s="44">
        <v>74</v>
      </c>
      <c r="BK167" s="65">
        <v>650</v>
      </c>
      <c r="BL167" s="44">
        <f>758-BK167</f>
        <v>108</v>
      </c>
      <c r="CY167" s="115">
        <v>31</v>
      </c>
      <c r="CZ167" s="115">
        <f>58-CY167</f>
        <v>27</v>
      </c>
      <c r="DA167" s="115">
        <f>287-CZ167-CY167</f>
        <v>229</v>
      </c>
    </row>
    <row r="168" spans="2:168">
      <c r="B168" s="4" t="s">
        <v>856</v>
      </c>
      <c r="AP168" s="62"/>
      <c r="AQ168" s="44"/>
      <c r="AR168" s="44"/>
      <c r="AS168" s="44"/>
      <c r="AT168" s="44"/>
      <c r="AU168" s="44">
        <v>544</v>
      </c>
      <c r="AV168" s="44">
        <f>439-AU168</f>
        <v>-105</v>
      </c>
      <c r="AW168" s="44">
        <f>580-AV168-AU168</f>
        <v>141</v>
      </c>
      <c r="AX168" s="44"/>
      <c r="AY168" s="44">
        <v>533</v>
      </c>
      <c r="AZ168" s="44">
        <f>731-AY168</f>
        <v>198</v>
      </c>
      <c r="BA168" s="44">
        <f>1121-AZ168-AY168</f>
        <v>390</v>
      </c>
      <c r="BB168" s="44">
        <f>-9582-BA168-AZ168-AY168</f>
        <v>-10703</v>
      </c>
      <c r="BC168" s="44">
        <v>840</v>
      </c>
      <c r="BK168" s="65">
        <v>-404</v>
      </c>
      <c r="BL168" s="44">
        <f>-120-BK168</f>
        <v>284</v>
      </c>
      <c r="CY168" s="115">
        <v>-2321</v>
      </c>
      <c r="CZ168" s="115">
        <f>-3461-CY168</f>
        <v>-1140</v>
      </c>
      <c r="DA168" s="115">
        <f>-3399-CZ168-CY168</f>
        <v>62</v>
      </c>
    </row>
    <row r="169" spans="2:168">
      <c r="B169" s="4" t="s">
        <v>867</v>
      </c>
      <c r="AP169" s="62"/>
      <c r="AQ169" s="44"/>
      <c r="AR169" s="44"/>
      <c r="AS169" s="44"/>
      <c r="AT169" s="44"/>
      <c r="AU169" s="44">
        <v>242</v>
      </c>
      <c r="AV169" s="44">
        <f>509-AU169</f>
        <v>267</v>
      </c>
      <c r="AW169" s="44">
        <f>649-AV169-AU169</f>
        <v>140</v>
      </c>
      <c r="AX169" s="44"/>
      <c r="AY169" s="44">
        <v>-296</v>
      </c>
      <c r="AZ169" s="44">
        <f>-22-AY169</f>
        <v>274</v>
      </c>
      <c r="BA169" s="44">
        <f>25-AZ169-AY169</f>
        <v>47</v>
      </c>
      <c r="BB169" s="44">
        <f>504-BA169-AZ169-AY169</f>
        <v>479</v>
      </c>
      <c r="BC169" s="44">
        <v>319</v>
      </c>
      <c r="BK169" s="65">
        <v>-28</v>
      </c>
      <c r="BL169" s="44">
        <f>14-BK169</f>
        <v>42</v>
      </c>
      <c r="CY169" s="115">
        <v>815</v>
      </c>
      <c r="CZ169" s="115">
        <f>1270-CY169</f>
        <v>455</v>
      </c>
      <c r="DA169" s="115">
        <f>1481-CZ169-CY169</f>
        <v>211</v>
      </c>
    </row>
    <row r="170" spans="2:168">
      <c r="B170" s="14" t="s">
        <v>868</v>
      </c>
      <c r="AP170" s="62"/>
      <c r="AQ170" s="44"/>
      <c r="AR170" s="44"/>
      <c r="AS170" s="44"/>
      <c r="AT170" s="44"/>
      <c r="AU170" s="44"/>
      <c r="AV170" s="44"/>
      <c r="AW170" s="44"/>
      <c r="AX170" s="44"/>
      <c r="AY170" s="44"/>
      <c r="AZ170" s="44"/>
      <c r="BA170" s="44"/>
      <c r="BB170" s="44"/>
      <c r="BC170" s="44"/>
      <c r="BK170" s="65">
        <v>-71</v>
      </c>
      <c r="BL170" s="44">
        <f>-20-BK170</f>
        <v>51</v>
      </c>
      <c r="CY170" s="115">
        <v>-404</v>
      </c>
      <c r="CZ170" s="115">
        <f>-146-CY170</f>
        <v>258</v>
      </c>
      <c r="DA170" s="115">
        <f>-532-CZ170-CY170</f>
        <v>-386</v>
      </c>
    </row>
    <row r="171" spans="2:168">
      <c r="B171" s="4" t="s">
        <v>869</v>
      </c>
      <c r="AP171" s="62"/>
      <c r="AQ171" s="44"/>
      <c r="AR171" s="44"/>
      <c r="AS171" s="44"/>
      <c r="AT171" s="44"/>
      <c r="AU171" s="44">
        <v>-23</v>
      </c>
      <c r="AV171" s="44">
        <v>23</v>
      </c>
      <c r="AW171" s="44"/>
      <c r="AX171" s="44"/>
      <c r="AY171" s="44">
        <v>0</v>
      </c>
      <c r="AZ171" s="37">
        <v>0</v>
      </c>
      <c r="BA171" s="37">
        <v>0</v>
      </c>
      <c r="BB171" s="37">
        <v>0</v>
      </c>
      <c r="BK171" s="65"/>
      <c r="CY171" s="115">
        <v>0</v>
      </c>
      <c r="CZ171" s="115">
        <v>0</v>
      </c>
      <c r="DA171" s="115">
        <v>0</v>
      </c>
    </row>
    <row r="172" spans="2:168">
      <c r="B172" s="4" t="s">
        <v>870</v>
      </c>
      <c r="AP172" s="62"/>
      <c r="AQ172" s="44">
        <v>-3587</v>
      </c>
      <c r="AU172" s="44">
        <v>-2262</v>
      </c>
      <c r="AV172" s="44">
        <f>-1631-AU172</f>
        <v>631</v>
      </c>
      <c r="AW172" s="44">
        <f>-1544-AV172-AU172</f>
        <v>87</v>
      </c>
      <c r="AX172" s="44"/>
      <c r="AY172" s="44">
        <v>-899</v>
      </c>
      <c r="AZ172" s="44">
        <f>-247-AY172</f>
        <v>652</v>
      </c>
      <c r="BA172" s="44">
        <f>-522-AZ172-AY172</f>
        <v>-275</v>
      </c>
      <c r="BB172" s="44">
        <f>-472+1631-867+1695-9454+1076-BA172-AZ172-AY172</f>
        <v>-5869</v>
      </c>
      <c r="BC172" s="44">
        <v>-11817</v>
      </c>
      <c r="BK172" s="65">
        <v>-1558</v>
      </c>
      <c r="BL172" s="44">
        <f>-3035-BK172-114</f>
        <v>-1591</v>
      </c>
      <c r="CY172" s="115">
        <v>-730</v>
      </c>
      <c r="CZ172" s="115">
        <f>-3496-CY172-5</f>
        <v>-2771</v>
      </c>
      <c r="DA172" s="115">
        <f>-7605-CZ172-CY172</f>
        <v>-4104</v>
      </c>
    </row>
    <row r="173" spans="2:168">
      <c r="B173" s="4" t="s">
        <v>871</v>
      </c>
      <c r="AP173" s="62"/>
      <c r="AQ173" s="44">
        <v>1243</v>
      </c>
      <c r="AR173" s="44">
        <f>4908-AQ173</f>
        <v>3665</v>
      </c>
      <c r="AS173" s="44"/>
      <c r="AT173" s="44"/>
      <c r="AU173" s="44">
        <f>SUM(AU164:AU172)</f>
        <v>3271</v>
      </c>
      <c r="AV173" s="44">
        <f>SUM(AV164:AV172)</f>
        <v>5042</v>
      </c>
      <c r="AW173" s="44">
        <f>SUM(AW164:AW172)</f>
        <v>3952</v>
      </c>
      <c r="AY173" s="44">
        <f>SUM(AY164:AY172)</f>
        <v>3147</v>
      </c>
      <c r="AZ173" s="44">
        <f>SUM(AZ164:AZ172)</f>
        <v>4514</v>
      </c>
      <c r="BA173" s="44">
        <f>SUM(BA164:BA172)</f>
        <v>4101</v>
      </c>
      <c r="BB173" s="44">
        <f>SUM(BB164:BB172)</f>
        <v>-14083</v>
      </c>
      <c r="BC173" s="44">
        <f>SUM(BC164:BC172)</f>
        <v>-6360</v>
      </c>
      <c r="BK173" s="65">
        <f>SUM(BK164:BK172)</f>
        <v>2774</v>
      </c>
      <c r="BL173" s="65">
        <f>SUM(BL164:BL172)</f>
        <v>4021</v>
      </c>
      <c r="BM173" s="44"/>
      <c r="CY173" s="115">
        <f>SUM(CY164:CY172)</f>
        <v>6543</v>
      </c>
      <c r="CZ173" s="115">
        <f>SUM(CZ164:CZ172)</f>
        <v>8168</v>
      </c>
      <c r="DA173" s="115">
        <f>SUM(DA164:DA172)</f>
        <v>5974</v>
      </c>
    </row>
    <row r="174" spans="2:168">
      <c r="AP174" s="62"/>
      <c r="AQ174" s="44"/>
      <c r="AR174" s="44"/>
      <c r="AS174" s="44"/>
      <c r="AT174" s="44"/>
      <c r="AU174" s="44"/>
      <c r="AV174" s="44"/>
      <c r="AW174" s="44"/>
      <c r="AY174" s="44"/>
      <c r="AZ174" s="44"/>
      <c r="BA174" s="44"/>
      <c r="BB174" s="44"/>
      <c r="BC174" s="44"/>
      <c r="BK174" s="65"/>
      <c r="BL174" s="65"/>
      <c r="BM174" s="44"/>
      <c r="CZ174" s="115"/>
      <c r="DA174" s="115"/>
    </row>
    <row r="175" spans="2:168">
      <c r="B175" s="14" t="s">
        <v>872</v>
      </c>
      <c r="AP175" s="62"/>
      <c r="AU175" s="44"/>
      <c r="AY175" s="37">
        <v>-253</v>
      </c>
      <c r="AZ175" s="37">
        <f>-522-AY175</f>
        <v>-269</v>
      </c>
      <c r="BA175" s="37">
        <f>-783-AZ175-AY175</f>
        <v>-261</v>
      </c>
      <c r="BB175" s="37">
        <f>-1205-BA175-AZ175-AY175</f>
        <v>-422</v>
      </c>
      <c r="BC175" s="37">
        <v>-305</v>
      </c>
      <c r="BK175" s="69">
        <v>-254</v>
      </c>
      <c r="BL175" s="37">
        <f>-548-BK175</f>
        <v>-294</v>
      </c>
      <c r="CY175" s="115">
        <v>-643</v>
      </c>
      <c r="CZ175" s="115">
        <f>-1394-CY175</f>
        <v>-751</v>
      </c>
      <c r="DA175" s="115">
        <f>-2235-CZ175-CY175</f>
        <v>-841</v>
      </c>
    </row>
    <row r="176" spans="2:168">
      <c r="B176" s="14" t="s">
        <v>1573</v>
      </c>
      <c r="AP176" s="62"/>
      <c r="AU176" s="44"/>
      <c r="CY176" s="115">
        <f>-8758+13421+3409-676+52-13</f>
        <v>7435</v>
      </c>
      <c r="CZ176" s="115">
        <f>-18937+20151-3153-1324+226-CY176</f>
        <v>-10472</v>
      </c>
      <c r="DA176" s="115">
        <f>-29701+35087-10877-1627+446-200-CZ176-CY176</f>
        <v>-3835</v>
      </c>
    </row>
    <row r="177" spans="2:202">
      <c r="B177" s="14" t="s">
        <v>874</v>
      </c>
      <c r="AP177" s="62"/>
      <c r="AU177" s="44"/>
      <c r="CY177" s="115">
        <v>-6225</v>
      </c>
      <c r="CZ177" s="115">
        <f>-6225-CY177-91</f>
        <v>-91</v>
      </c>
      <c r="DA177" s="115">
        <f>-6225-CZ177-CY177</f>
        <v>91</v>
      </c>
    </row>
    <row r="178" spans="2:202">
      <c r="B178" s="14" t="s">
        <v>1575</v>
      </c>
      <c r="AP178" s="62"/>
      <c r="AU178" s="44"/>
      <c r="CY178" s="115">
        <v>0</v>
      </c>
      <c r="CZ178" s="115">
        <v>0</v>
      </c>
      <c r="DA178" s="122">
        <f>3960-CZ178-CZ177</f>
        <v>4051</v>
      </c>
    </row>
    <row r="179" spans="2:202">
      <c r="B179" s="14" t="s">
        <v>1574</v>
      </c>
      <c r="AP179" s="62"/>
      <c r="AU179" s="44"/>
      <c r="CY179" s="115">
        <f>SUM(CY175:CY178)</f>
        <v>567</v>
      </c>
      <c r="CZ179" s="115">
        <f>SUM(CZ175:CZ178)</f>
        <v>-11314</v>
      </c>
      <c r="DA179" s="115">
        <f>SUM(DA175:DA178)</f>
        <v>-534</v>
      </c>
    </row>
    <row r="180" spans="2:202">
      <c r="B180" s="14"/>
      <c r="AP180" s="62"/>
      <c r="AU180" s="44"/>
      <c r="CZ180" s="115"/>
      <c r="DA180" s="115"/>
    </row>
    <row r="181" spans="2:202">
      <c r="B181" s="14" t="s">
        <v>314</v>
      </c>
      <c r="AP181" s="62"/>
      <c r="AU181" s="44"/>
      <c r="CY181" s="115">
        <f>-220-1609</f>
        <v>-1829</v>
      </c>
      <c r="CZ181" s="115">
        <f>4012+379-1609</f>
        <v>2782</v>
      </c>
      <c r="DA181" s="115">
        <f>3887-3887+870-1609-CZ181-CY181</f>
        <v>-1692</v>
      </c>
    </row>
    <row r="182" spans="2:202">
      <c r="B182" s="14" t="s">
        <v>1577</v>
      </c>
      <c r="AP182" s="62"/>
      <c r="AU182" s="44"/>
      <c r="CY182" s="115">
        <v>-2000</v>
      </c>
      <c r="CZ182" s="115">
        <f>-2000-CY182</f>
        <v>0</v>
      </c>
      <c r="DA182" s="115">
        <f>-2000-CZ182-CY182</f>
        <v>0</v>
      </c>
    </row>
    <row r="183" spans="2:202">
      <c r="B183" s="14" t="s">
        <v>1578</v>
      </c>
      <c r="AP183" s="62"/>
      <c r="AU183" s="44"/>
      <c r="CY183" s="115">
        <v>-2249</v>
      </c>
      <c r="CZ183" s="115">
        <f>-4493-CY183</f>
        <v>-2244</v>
      </c>
      <c r="DA183" s="115">
        <f>-6738-CZ183-CY183</f>
        <v>-2245</v>
      </c>
    </row>
    <row r="184" spans="2:202">
      <c r="B184" s="14" t="s">
        <v>1579</v>
      </c>
      <c r="AP184" s="62"/>
      <c r="AU184" s="44"/>
      <c r="CY184" s="115">
        <v>-501</v>
      </c>
      <c r="CZ184" s="115">
        <f>-347-CY184</f>
        <v>154</v>
      </c>
      <c r="DA184" s="115">
        <f>-342-CZ184-CY184</f>
        <v>5</v>
      </c>
    </row>
    <row r="185" spans="2:202">
      <c r="B185" s="14" t="s">
        <v>1576</v>
      </c>
      <c r="AP185" s="62"/>
      <c r="AU185" s="44"/>
      <c r="CY185" s="115">
        <f>SUM(CY181:CY184)</f>
        <v>-6579</v>
      </c>
      <c r="CZ185" s="115">
        <f>SUM(CZ181:CZ184)</f>
        <v>692</v>
      </c>
      <c r="DA185" s="115">
        <f>SUM(DA181:DA184)</f>
        <v>-3932</v>
      </c>
    </row>
    <row r="186" spans="2:202">
      <c r="B186" s="14" t="s">
        <v>872</v>
      </c>
      <c r="AP186" s="62"/>
      <c r="AU186" s="44"/>
      <c r="CY186" s="115">
        <v>-1</v>
      </c>
      <c r="CZ186" s="115">
        <v>-67</v>
      </c>
      <c r="DA186" s="115">
        <v>-139</v>
      </c>
    </row>
    <row r="187" spans="2:202">
      <c r="B187" s="14" t="s">
        <v>1580</v>
      </c>
      <c r="AP187" s="62"/>
      <c r="AU187" s="44"/>
      <c r="CY187" s="115">
        <f>+CY185+CY173+CY179+CY186</f>
        <v>530</v>
      </c>
      <c r="CZ187" s="115">
        <f>+CZ185+CZ173+CZ179+CZ186</f>
        <v>-2521</v>
      </c>
      <c r="DA187" s="115">
        <f>+DA185+DA173+DA179+DA186</f>
        <v>1369</v>
      </c>
    </row>
    <row r="188" spans="2:202">
      <c r="B188" s="14"/>
      <c r="AP188" s="62"/>
      <c r="AU188" s="44"/>
      <c r="DA188" s="115"/>
    </row>
    <row r="189" spans="2:202">
      <c r="B189" s="14" t="s">
        <v>873</v>
      </c>
      <c r="AP189" s="62"/>
      <c r="AU189" s="44"/>
      <c r="AY189" s="44">
        <f>+AY175+AY173</f>
        <v>2894</v>
      </c>
      <c r="AZ189" s="44">
        <f>+AZ175+AZ173</f>
        <v>4245</v>
      </c>
      <c r="BA189" s="44">
        <f>+BA175+BA173</f>
        <v>3840</v>
      </c>
      <c r="BB189" s="44">
        <f>+BB175+BB173</f>
        <v>-14505</v>
      </c>
      <c r="BC189" s="44">
        <f>+BC175+BC173</f>
        <v>-6665</v>
      </c>
      <c r="BK189" s="65">
        <f>BK175+BK173</f>
        <v>2520</v>
      </c>
      <c r="BL189" s="65">
        <f>BL175+BL173</f>
        <v>3727</v>
      </c>
      <c r="BM189" s="55"/>
      <c r="CY189" s="115">
        <f>+CY173+CY175</f>
        <v>5900</v>
      </c>
      <c r="CZ189" s="115">
        <f>+CZ173+CZ175</f>
        <v>7417</v>
      </c>
      <c r="DA189" s="115">
        <f>+DA173+DA175</f>
        <v>5133</v>
      </c>
    </row>
    <row r="190" spans="2:202">
      <c r="B190" s="14" t="s">
        <v>874</v>
      </c>
      <c r="AP190" s="62"/>
      <c r="AU190" s="44"/>
      <c r="AY190" s="44"/>
      <c r="AZ190" s="44"/>
      <c r="BA190" s="44"/>
      <c r="BB190" s="44"/>
      <c r="BC190" s="44"/>
      <c r="BK190" s="65">
        <v>-782</v>
      </c>
      <c r="DA190" s="115"/>
    </row>
    <row r="191" spans="2:202">
      <c r="B191" s="4" t="s">
        <v>875</v>
      </c>
      <c r="AP191" s="62"/>
      <c r="AU191" s="44">
        <f>AU163-AU173</f>
        <v>1560.8029999999999</v>
      </c>
      <c r="AV191" s="44">
        <f>AV163-AV173</f>
        <v>-618.34599999999955</v>
      </c>
      <c r="AW191" s="44">
        <f>AW163-AW173</f>
        <v>264</v>
      </c>
      <c r="AY191" s="44">
        <f>AY163-AY189</f>
        <v>1395.6499999999996</v>
      </c>
      <c r="AZ191" s="44">
        <f>AZ163-AZ189</f>
        <v>-185.38500000000022</v>
      </c>
      <c r="BA191" s="44">
        <f>BA163-BA189</f>
        <v>-345</v>
      </c>
      <c r="BB191" s="44">
        <f>BB163-BB189</f>
        <v>18377</v>
      </c>
      <c r="BC191" s="44">
        <f>BC163-BC189</f>
        <v>11943</v>
      </c>
    </row>
    <row r="192" spans="2:202">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65"/>
      <c r="BK192" s="65"/>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115"/>
      <c r="CO192" s="115"/>
      <c r="CP192" s="115"/>
      <c r="CQ192" s="115"/>
      <c r="CR192" s="115"/>
      <c r="CS192" s="115"/>
      <c r="CT192" s="115"/>
      <c r="CU192" s="115"/>
      <c r="CV192" s="115"/>
      <c r="CW192" s="115"/>
      <c r="CX192" s="115"/>
      <c r="CY192" s="115"/>
      <c r="CZ192" s="115"/>
      <c r="DA192" s="115"/>
      <c r="DB192" s="115"/>
      <c r="DC192" s="115"/>
      <c r="DD192" s="115"/>
      <c r="DE192" s="115"/>
      <c r="DF192" s="115"/>
      <c r="DG192" s="44"/>
      <c r="DH192" s="44"/>
      <c r="DI192" s="19"/>
      <c r="DJ192" s="19"/>
      <c r="DK192" s="19"/>
      <c r="EB192" s="44">
        <f t="shared" ref="EB192:EK192" si="453">EB114</f>
        <v>15716.264999999999</v>
      </c>
      <c r="EC192" s="44">
        <f t="shared" si="453"/>
        <v>20073</v>
      </c>
      <c r="ED192" s="44">
        <f t="shared" si="453"/>
        <v>19209.05</v>
      </c>
      <c r="EE192" s="44">
        <f t="shared" si="453"/>
        <v>16949.830000000002</v>
      </c>
      <c r="EF192" s="44">
        <f t="shared" si="453"/>
        <v>0</v>
      </c>
      <c r="EG192" s="44">
        <f t="shared" si="453"/>
        <v>0</v>
      </c>
      <c r="EH192" s="44">
        <f t="shared" si="453"/>
        <v>0</v>
      </c>
      <c r="EI192" s="44">
        <f t="shared" si="453"/>
        <v>0</v>
      </c>
      <c r="EJ192" s="44">
        <f t="shared" si="453"/>
        <v>0</v>
      </c>
      <c r="EK192" s="44">
        <f t="shared" si="453"/>
        <v>0</v>
      </c>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row>
    <row r="193" spans="2:168">
      <c r="B193" s="14" t="s">
        <v>876</v>
      </c>
      <c r="AP193" s="62"/>
      <c r="BA193" s="44">
        <v>75100</v>
      </c>
      <c r="BB193" s="44">
        <f>BC193+2700</f>
        <v>116500</v>
      </c>
      <c r="BC193" s="44">
        <v>113800</v>
      </c>
      <c r="BD193" s="44">
        <f>BC193</f>
        <v>113800</v>
      </c>
      <c r="EC193" s="44">
        <f>BD193</f>
        <v>113800</v>
      </c>
      <c r="ED193" s="44">
        <f>EC193</f>
        <v>113800</v>
      </c>
      <c r="EE193" s="44">
        <f t="shared" ref="EE193:EK193" si="454">ED193</f>
        <v>113800</v>
      </c>
      <c r="EF193" s="44">
        <f t="shared" si="454"/>
        <v>113800</v>
      </c>
      <c r="EG193" s="44">
        <f t="shared" si="454"/>
        <v>113800</v>
      </c>
      <c r="EH193" s="44">
        <f t="shared" si="454"/>
        <v>113800</v>
      </c>
      <c r="EI193" s="44">
        <f t="shared" si="454"/>
        <v>113800</v>
      </c>
      <c r="EJ193" s="44">
        <f t="shared" si="454"/>
        <v>113800</v>
      </c>
      <c r="EK193" s="44">
        <f t="shared" si="454"/>
        <v>113800</v>
      </c>
    </row>
    <row r="194" spans="2:168">
      <c r="B194" s="14" t="s">
        <v>877</v>
      </c>
      <c r="AP194" s="62"/>
      <c r="BA194" s="44">
        <f>BA106*1000/BA193*1000</f>
        <v>42942.743009320904</v>
      </c>
      <c r="BB194" s="44">
        <f>BB106*1000/BB193*1000</f>
        <v>45879.828326180257</v>
      </c>
      <c r="BC194" s="44">
        <f>BC106*1000/BC193*1000</f>
        <v>38444.639718804923</v>
      </c>
      <c r="BD194" s="44">
        <f>BD106*1000/BD193*1000</f>
        <v>41537.785588752202</v>
      </c>
      <c r="BE194" s="44"/>
      <c r="BF194" s="44"/>
      <c r="BG194" s="44"/>
      <c r="BH194" s="44"/>
      <c r="BI194" s="44"/>
      <c r="BJ194" s="65"/>
      <c r="BK194" s="65"/>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115"/>
      <c r="CO194" s="115"/>
      <c r="CP194" s="115"/>
      <c r="CQ194" s="115"/>
      <c r="CR194" s="115"/>
      <c r="CS194" s="115"/>
      <c r="CT194" s="115"/>
      <c r="CU194" s="115"/>
      <c r="CV194" s="115"/>
      <c r="CW194" s="115"/>
      <c r="CX194" s="115"/>
      <c r="CY194" s="115"/>
      <c r="CZ194" s="115"/>
      <c r="DA194" s="115"/>
      <c r="DB194" s="115"/>
      <c r="DC194" s="115"/>
      <c r="DD194" s="115"/>
      <c r="DE194" s="115"/>
      <c r="DF194" s="115"/>
      <c r="DG194" s="44"/>
      <c r="DH194" s="44"/>
      <c r="DI194" s="44"/>
      <c r="DJ194" s="44"/>
      <c r="DK194" s="44"/>
      <c r="DL194" s="44"/>
      <c r="DM194" s="44"/>
      <c r="DN194" s="44"/>
      <c r="DO194" s="44"/>
      <c r="DP194" s="44"/>
      <c r="DQ194" s="44"/>
      <c r="DR194" s="44"/>
      <c r="DS194" s="44"/>
      <c r="DT194" s="44"/>
      <c r="DU194" s="44"/>
      <c r="DV194" s="44"/>
      <c r="DW194" s="44"/>
      <c r="DX194" s="44"/>
      <c r="DY194" s="44"/>
      <c r="DZ194" s="44"/>
      <c r="EA194" s="44"/>
      <c r="EC194" s="44">
        <f t="shared" ref="EC194:EK194" si="455">EC106*1000/EC193*1000</f>
        <v>171001.7574692443</v>
      </c>
      <c r="ED194" s="44">
        <f t="shared" si="455"/>
        <v>170105.44815465729</v>
      </c>
      <c r="EE194" s="44">
        <f t="shared" si="455"/>
        <v>144420.0351493849</v>
      </c>
      <c r="EF194" s="44">
        <f t="shared" si="455"/>
        <v>127311.07205623902</v>
      </c>
      <c r="EG194" s="44">
        <f t="shared" si="455"/>
        <v>0</v>
      </c>
      <c r="EH194" s="44">
        <f t="shared" si="455"/>
        <v>0</v>
      </c>
      <c r="EI194" s="44">
        <f t="shared" si="455"/>
        <v>0</v>
      </c>
      <c r="EJ194" s="44">
        <f t="shared" si="455"/>
        <v>0</v>
      </c>
      <c r="EK194" s="44">
        <f t="shared" si="455"/>
        <v>0</v>
      </c>
      <c r="FL194" s="44"/>
    </row>
    <row r="195" spans="2:168">
      <c r="B195" s="14" t="s">
        <v>796</v>
      </c>
      <c r="AP195" s="62"/>
      <c r="BA195" s="44">
        <f>BA106</f>
        <v>3225</v>
      </c>
      <c r="BB195" s="44">
        <f>BB106</f>
        <v>5345</v>
      </c>
      <c r="BC195" s="44">
        <f>BC106</f>
        <v>4375</v>
      </c>
      <c r="BD195" s="44">
        <f>BD106</f>
        <v>4727</v>
      </c>
      <c r="BE195" s="44"/>
      <c r="BF195" s="44"/>
      <c r="BG195" s="44"/>
      <c r="BH195" s="44"/>
      <c r="BI195" s="44"/>
      <c r="BJ195" s="65"/>
      <c r="BK195" s="65"/>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115"/>
      <c r="CO195" s="115"/>
      <c r="CP195" s="115"/>
      <c r="CQ195" s="115"/>
      <c r="CR195" s="115"/>
      <c r="CS195" s="115"/>
      <c r="CT195" s="115"/>
      <c r="CU195" s="115"/>
      <c r="CV195" s="115"/>
      <c r="CW195" s="115"/>
      <c r="CX195" s="115"/>
      <c r="CY195" s="115"/>
      <c r="CZ195" s="115"/>
      <c r="DA195" s="115"/>
      <c r="DB195" s="115"/>
      <c r="DC195" s="115"/>
      <c r="DD195" s="115"/>
      <c r="DE195" s="115"/>
      <c r="DF195" s="115"/>
      <c r="DG195" s="44"/>
      <c r="DH195" s="44"/>
      <c r="DI195" s="44"/>
      <c r="DJ195" s="44"/>
      <c r="DK195" s="44"/>
      <c r="DL195" s="44"/>
      <c r="DM195" s="44"/>
      <c r="DN195" s="44"/>
      <c r="DO195" s="44"/>
      <c r="DP195" s="44"/>
      <c r="DQ195" s="44"/>
      <c r="DR195" s="44"/>
      <c r="DS195" s="44"/>
      <c r="DT195" s="44"/>
      <c r="DU195" s="44"/>
      <c r="DV195" s="44"/>
      <c r="DW195" s="44"/>
      <c r="DX195" s="44"/>
      <c r="DY195" s="44"/>
      <c r="DZ195" s="44"/>
      <c r="EA195" s="44"/>
      <c r="EC195" s="44">
        <f t="shared" ref="EC195:EK195" si="456">EC106</f>
        <v>19460</v>
      </c>
      <c r="ED195" s="44">
        <f t="shared" si="456"/>
        <v>19358</v>
      </c>
      <c r="EE195" s="44">
        <f t="shared" si="456"/>
        <v>16435</v>
      </c>
      <c r="EF195" s="44">
        <f t="shared" si="456"/>
        <v>14488</v>
      </c>
      <c r="EG195" s="44">
        <f t="shared" si="456"/>
        <v>0</v>
      </c>
      <c r="EH195" s="44">
        <f t="shared" si="456"/>
        <v>0</v>
      </c>
      <c r="EI195" s="44">
        <f t="shared" si="456"/>
        <v>0</v>
      </c>
      <c r="EJ195" s="44">
        <f t="shared" si="456"/>
        <v>0</v>
      </c>
      <c r="EK195" s="44">
        <f t="shared" si="456"/>
        <v>0</v>
      </c>
    </row>
    <row r="196" spans="2:168">
      <c r="B196" s="14" t="s">
        <v>878</v>
      </c>
      <c r="AP196" s="62"/>
      <c r="BA196" s="44">
        <f>BA103</f>
        <v>11603</v>
      </c>
      <c r="BB196" s="44">
        <f>BB103</f>
        <v>16520</v>
      </c>
      <c r="BC196" s="44">
        <f>BC103</f>
        <v>17113</v>
      </c>
      <c r="BD196" s="44">
        <f>BD103</f>
        <v>17607</v>
      </c>
      <c r="BE196" s="44"/>
      <c r="BF196" s="44"/>
      <c r="BG196" s="44"/>
      <c r="BH196" s="44"/>
      <c r="BI196" s="44"/>
      <c r="BJ196" s="65"/>
      <c r="BK196" s="65"/>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115"/>
      <c r="CO196" s="115"/>
      <c r="CP196" s="115"/>
      <c r="CQ196" s="115"/>
      <c r="CR196" s="115"/>
      <c r="CS196" s="115"/>
      <c r="CT196" s="115"/>
      <c r="CU196" s="115"/>
      <c r="CV196" s="115"/>
      <c r="CW196" s="115"/>
      <c r="CX196" s="115"/>
      <c r="CY196" s="115"/>
      <c r="CZ196" s="115"/>
      <c r="DA196" s="115"/>
      <c r="DB196" s="115"/>
      <c r="DC196" s="115"/>
      <c r="DD196" s="115"/>
      <c r="DE196" s="115"/>
      <c r="DF196" s="115"/>
      <c r="DG196" s="44"/>
      <c r="DH196" s="44"/>
      <c r="DI196" s="44"/>
      <c r="DJ196" s="44"/>
      <c r="DK196" s="44"/>
      <c r="DL196" s="44"/>
      <c r="DM196" s="44"/>
      <c r="DN196" s="44"/>
      <c r="DO196" s="44"/>
      <c r="DP196" s="44"/>
      <c r="DQ196" s="44"/>
      <c r="DR196" s="44"/>
      <c r="DS196" s="44"/>
      <c r="DT196" s="44"/>
      <c r="DU196" s="44"/>
      <c r="DV196" s="44"/>
      <c r="DW196" s="44"/>
      <c r="DX196" s="44"/>
      <c r="DY196" s="44"/>
      <c r="DZ196" s="44"/>
      <c r="EA196" s="44"/>
      <c r="EC196" s="44">
        <f t="shared" ref="EC196:EK196" si="457">EC103</f>
        <v>43686</v>
      </c>
      <c r="ED196" s="44">
        <f t="shared" si="457"/>
        <v>41620</v>
      </c>
      <c r="EE196" s="44">
        <f t="shared" si="457"/>
        <v>34396.199999999997</v>
      </c>
      <c r="EF196" s="44">
        <f t="shared" si="457"/>
        <v>51247</v>
      </c>
      <c r="EG196" s="44">
        <f t="shared" si="457"/>
        <v>48522.78</v>
      </c>
      <c r="EH196" s="44">
        <f t="shared" si="457"/>
        <v>42071.249900000003</v>
      </c>
      <c r="EI196" s="44">
        <f t="shared" si="457"/>
        <v>31074.791678999998</v>
      </c>
      <c r="EJ196" s="44">
        <f t="shared" si="457"/>
        <v>29059.533359869998</v>
      </c>
      <c r="EK196" s="44">
        <f t="shared" si="457"/>
        <v>23889.756463466103</v>
      </c>
    </row>
    <row r="197" spans="2:168">
      <c r="B197" s="14" t="s">
        <v>879</v>
      </c>
      <c r="AP197" s="62"/>
      <c r="BA197" s="55">
        <f>BA196/BA195</f>
        <v>3.597829457364341</v>
      </c>
      <c r="BB197" s="55">
        <f t="shared" ref="BB197:BD197" si="458">BB196/BB195</f>
        <v>3.0907390084190833</v>
      </c>
      <c r="BC197" s="55">
        <f t="shared" si="458"/>
        <v>3.911542857142857</v>
      </c>
      <c r="BD197" s="55">
        <f t="shared" si="458"/>
        <v>3.7247725830336367</v>
      </c>
      <c r="BE197" s="55"/>
      <c r="BF197" s="55"/>
      <c r="BG197" s="55"/>
      <c r="BH197" s="55"/>
      <c r="BI197" s="55"/>
      <c r="BJ197" s="108"/>
      <c r="BK197" s="108"/>
      <c r="BL197" s="55"/>
      <c r="BM197" s="55"/>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141"/>
      <c r="CO197" s="141"/>
      <c r="CP197" s="141"/>
      <c r="CQ197" s="141"/>
      <c r="CR197" s="141"/>
      <c r="CS197" s="141"/>
      <c r="CT197" s="141"/>
      <c r="CU197" s="141"/>
      <c r="CV197" s="141"/>
      <c r="CW197" s="141"/>
      <c r="CX197" s="141"/>
      <c r="CY197" s="141"/>
      <c r="CZ197" s="141"/>
      <c r="DA197" s="141"/>
      <c r="DB197" s="141"/>
      <c r="DC197" s="141"/>
      <c r="DD197" s="141"/>
      <c r="DE197" s="141"/>
      <c r="DF197" s="141"/>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f>EC196/EC195</f>
        <v>2.2449126413155192</v>
      </c>
      <c r="ED197" s="55">
        <f t="shared" ref="ED197:EJ197" si="459">ED196/ED195</f>
        <v>2.1500154974687469</v>
      </c>
      <c r="EE197" s="55">
        <f t="shared" si="459"/>
        <v>2.0928627928202008</v>
      </c>
      <c r="EF197" s="55">
        <f t="shared" si="459"/>
        <v>3.5372032026504692</v>
      </c>
      <c r="EG197" s="55" t="e">
        <f t="shared" si="459"/>
        <v>#DIV/0!</v>
      </c>
      <c r="EH197" s="55" t="e">
        <f t="shared" si="459"/>
        <v>#DIV/0!</v>
      </c>
      <c r="EI197" s="55" t="e">
        <f t="shared" si="459"/>
        <v>#DIV/0!</v>
      </c>
      <c r="EJ197" s="55" t="e">
        <f t="shared" si="459"/>
        <v>#DIV/0!</v>
      </c>
      <c r="EK197" s="55" t="e">
        <f>EK196/EK195</f>
        <v>#DIV/0!</v>
      </c>
      <c r="EL197" s="55"/>
      <c r="EM197" s="55"/>
      <c r="EN197" s="55"/>
      <c r="EO197" s="55"/>
      <c r="EP197" s="55"/>
      <c r="EQ197" s="55"/>
      <c r="ER197" s="55"/>
      <c r="ES197" s="55"/>
      <c r="ET197" s="55"/>
      <c r="EU197" s="55"/>
      <c r="EV197" s="55"/>
      <c r="EW197" s="55"/>
      <c r="EX197" s="55"/>
      <c r="EY197" s="55"/>
      <c r="EZ197" s="55"/>
      <c r="FA197" s="55"/>
      <c r="FB197" s="55"/>
      <c r="FC197" s="55"/>
      <c r="FD197" s="55"/>
      <c r="FE197" s="55"/>
      <c r="FF197" s="55"/>
      <c r="FG197" s="55"/>
      <c r="FH197" s="97"/>
      <c r="FI197" s="55"/>
      <c r="FJ197" s="98"/>
      <c r="FK197" s="55"/>
    </row>
    <row r="198" spans="2:168">
      <c r="B198" s="14" t="s">
        <v>880</v>
      </c>
      <c r="AP198" s="62"/>
      <c r="BA198" s="101">
        <f>BA196/BA193*1000</f>
        <v>154.50066577896138</v>
      </c>
      <c r="BB198" s="101">
        <f t="shared" ref="BB198:BD198" si="460">BB196/BB193*1000</f>
        <v>141.80257510729612</v>
      </c>
      <c r="BC198" s="101">
        <f t="shared" si="460"/>
        <v>150.37785588752197</v>
      </c>
      <c r="BD198" s="101">
        <f t="shared" si="460"/>
        <v>154.7188049209139</v>
      </c>
    </row>
    <row r="200" spans="2:168">
      <c r="B200" s="14" t="s">
        <v>881</v>
      </c>
      <c r="AE200" s="44"/>
      <c r="AF200" s="44"/>
      <c r="AG200" s="44"/>
      <c r="AH200" s="44"/>
      <c r="AK200" s="44">
        <v>12189</v>
      </c>
      <c r="AL200" s="44">
        <v>13592</v>
      </c>
      <c r="AM200" s="44">
        <v>12660</v>
      </c>
      <c r="AN200" s="44">
        <v>11741</v>
      </c>
      <c r="AO200" s="44">
        <v>12280</v>
      </c>
      <c r="AP200" s="44">
        <v>12603</v>
      </c>
      <c r="AQ200" s="44">
        <v>12474</v>
      </c>
      <c r="AR200" s="44">
        <v>11084</v>
      </c>
      <c r="AS200" s="44">
        <v>11950</v>
      </c>
      <c r="AT200" s="44">
        <v>12990</v>
      </c>
      <c r="AU200" s="44">
        <v>11796</v>
      </c>
      <c r="AV200" s="44">
        <v>12075</v>
      </c>
      <c r="AW200" s="44">
        <v>12159</v>
      </c>
      <c r="AX200" s="44">
        <v>12311</v>
      </c>
      <c r="AY200" s="44">
        <v>10845</v>
      </c>
      <c r="AZ200" s="44">
        <v>10966</v>
      </c>
      <c r="BA200" s="44">
        <v>11603</v>
      </c>
      <c r="BB200" s="44">
        <v>16520</v>
      </c>
      <c r="BC200" s="44">
        <v>16750</v>
      </c>
      <c r="BD200" s="44">
        <v>16707</v>
      </c>
      <c r="BE200" s="44">
        <v>16674</v>
      </c>
      <c r="BF200" s="44">
        <v>16970</v>
      </c>
      <c r="BG200" s="44">
        <v>16751</v>
      </c>
      <c r="BH200" s="44">
        <v>16950</v>
      </c>
      <c r="BI200" s="44">
        <v>16194</v>
      </c>
      <c r="BJ200" s="65"/>
      <c r="BK200" s="65">
        <v>15460</v>
      </c>
      <c r="BL200" s="44"/>
      <c r="BM200" s="44"/>
      <c r="BN200" s="44"/>
      <c r="BO200" s="44"/>
      <c r="BP200" s="44"/>
      <c r="BQ200" s="44"/>
      <c r="BR200" s="44"/>
      <c r="BS200" s="44"/>
      <c r="BT200" s="44"/>
      <c r="BU200" s="44"/>
      <c r="BV200" s="44"/>
      <c r="BW200" s="44"/>
      <c r="BX200" s="44"/>
      <c r="BY200" s="44"/>
      <c r="BZ200" s="44"/>
      <c r="CA200" s="44"/>
      <c r="CB200" s="44"/>
      <c r="CC200" s="44"/>
      <c r="CD200" s="44"/>
      <c r="CE200" s="44"/>
      <c r="CF200" s="44"/>
      <c r="CG200" s="44"/>
      <c r="CH200" s="44"/>
      <c r="CI200" s="44"/>
      <c r="CJ200" s="44"/>
      <c r="CK200" s="44"/>
      <c r="CL200" s="44"/>
      <c r="CM200" s="44"/>
      <c r="CN200" s="115"/>
      <c r="CO200" s="115"/>
      <c r="CP200" s="115"/>
      <c r="CQ200" s="115"/>
      <c r="CR200" s="115"/>
      <c r="CS200" s="115"/>
      <c r="CT200" s="115"/>
      <c r="CU200" s="115"/>
      <c r="CV200" s="115"/>
      <c r="CW200" s="115"/>
      <c r="CX200" s="115"/>
      <c r="CY200" s="115"/>
      <c r="CZ200" s="115"/>
      <c r="DA200" s="115"/>
      <c r="DB200" s="115"/>
      <c r="DC200" s="115"/>
      <c r="DD200" s="115"/>
      <c r="DE200" s="115"/>
      <c r="DF200" s="115"/>
      <c r="DG200" s="44"/>
      <c r="DH200" s="44"/>
      <c r="DL200" s="44"/>
      <c r="DM200" s="44"/>
      <c r="DN200" s="44"/>
      <c r="DO200" s="44"/>
      <c r="DP200" s="44"/>
      <c r="DQ200" s="44"/>
      <c r="DR200" s="44"/>
      <c r="DS200" s="44"/>
      <c r="DT200" s="44"/>
      <c r="DU200" s="44"/>
      <c r="DV200" s="44"/>
      <c r="DW200" s="44"/>
      <c r="DX200" s="44"/>
      <c r="DY200" s="48"/>
      <c r="DZ200" s="45">
        <v>47546.93</v>
      </c>
      <c r="EA200" s="45">
        <v>48296</v>
      </c>
      <c r="EB200" s="45">
        <v>49934</v>
      </c>
      <c r="EC200" s="45">
        <v>67279</v>
      </c>
      <c r="ED200" s="45">
        <v>66210</v>
      </c>
      <c r="EE200" s="45">
        <v>62514</v>
      </c>
      <c r="EF200" s="44">
        <v>61732</v>
      </c>
      <c r="EG200" s="44">
        <v>61614</v>
      </c>
      <c r="EH200" s="44">
        <v>61332</v>
      </c>
    </row>
    <row r="201" spans="2:168">
      <c r="B201" s="4" t="s">
        <v>875</v>
      </c>
      <c r="AE201" s="44"/>
      <c r="AF201" s="44"/>
      <c r="AG201" s="44"/>
      <c r="AH201" s="44"/>
      <c r="AK201" s="44">
        <f t="shared" ref="AK201:BF201" si="461">AK103-AK200</f>
        <v>393.10000000000036</v>
      </c>
      <c r="AL201" s="44">
        <f t="shared" si="461"/>
        <v>400.79999999999927</v>
      </c>
      <c r="AM201" s="44">
        <f t="shared" si="461"/>
        <v>431.60000000000036</v>
      </c>
      <c r="AN201" s="44">
        <f t="shared" si="461"/>
        <v>518.20000000000073</v>
      </c>
      <c r="AO201" s="44">
        <f t="shared" si="461"/>
        <v>509.79999999999927</v>
      </c>
      <c r="AP201" s="44">
        <f t="shared" si="461"/>
        <v>501.70000000000073</v>
      </c>
      <c r="AQ201" s="44">
        <f t="shared" si="461"/>
        <v>0</v>
      </c>
      <c r="AR201" s="44">
        <f t="shared" si="461"/>
        <v>0</v>
      </c>
      <c r="AS201" s="44">
        <f t="shared" si="461"/>
        <v>0</v>
      </c>
      <c r="AT201" s="44">
        <f t="shared" si="461"/>
        <v>0</v>
      </c>
      <c r="AU201" s="44">
        <f t="shared" si="461"/>
        <v>705.80299999999988</v>
      </c>
      <c r="AV201" s="44">
        <f t="shared" si="461"/>
        <v>690.65400000000045</v>
      </c>
      <c r="AW201" s="44">
        <f t="shared" si="461"/>
        <v>0</v>
      </c>
      <c r="AX201" s="44">
        <f t="shared" si="461"/>
        <v>0</v>
      </c>
      <c r="AY201" s="44">
        <f t="shared" si="461"/>
        <v>754.64999999999964</v>
      </c>
      <c r="AZ201" s="44">
        <f t="shared" si="461"/>
        <v>783.61499999999978</v>
      </c>
      <c r="BA201" s="44">
        <f t="shared" si="461"/>
        <v>0</v>
      </c>
      <c r="BB201" s="44">
        <f t="shared" si="461"/>
        <v>0</v>
      </c>
      <c r="BC201" s="44">
        <f t="shared" si="461"/>
        <v>363</v>
      </c>
      <c r="BD201" s="44">
        <f t="shared" si="461"/>
        <v>900</v>
      </c>
      <c r="BE201" s="44">
        <f t="shared" si="461"/>
        <v>55</v>
      </c>
      <c r="BF201" s="44">
        <f t="shared" si="461"/>
        <v>1320</v>
      </c>
      <c r="BG201" s="44"/>
      <c r="BH201" s="44"/>
      <c r="BI201" s="44"/>
      <c r="BJ201" s="65"/>
      <c r="BK201" s="44">
        <f>BK103-BK200</f>
        <v>-31</v>
      </c>
      <c r="BL201" s="44"/>
      <c r="BM201" s="44"/>
      <c r="BN201" s="44"/>
      <c r="BO201" s="44"/>
      <c r="BP201" s="44"/>
      <c r="BQ201" s="44"/>
      <c r="BR201" s="44"/>
      <c r="BS201" s="44"/>
      <c r="BT201" s="44"/>
      <c r="BU201" s="44"/>
      <c r="BV201" s="44"/>
      <c r="BW201" s="44"/>
      <c r="BX201" s="44"/>
      <c r="BY201" s="44"/>
      <c r="BZ201" s="44"/>
      <c r="CA201" s="44"/>
      <c r="CB201" s="44"/>
      <c r="CC201" s="44"/>
      <c r="CD201" s="44"/>
      <c r="CE201" s="44"/>
      <c r="CF201" s="44"/>
      <c r="CG201" s="44"/>
      <c r="CH201" s="44"/>
      <c r="CI201" s="44"/>
      <c r="CJ201" s="44"/>
      <c r="CK201" s="44"/>
      <c r="CL201" s="44"/>
      <c r="CM201" s="44"/>
      <c r="CN201" s="115"/>
      <c r="CO201" s="115"/>
      <c r="CP201" s="115"/>
      <c r="CQ201" s="115"/>
      <c r="CR201" s="115"/>
      <c r="CS201" s="115"/>
      <c r="CT201" s="115"/>
      <c r="CU201" s="115"/>
      <c r="CV201" s="115"/>
      <c r="CW201" s="115"/>
      <c r="CX201" s="115"/>
      <c r="CY201" s="115"/>
      <c r="CZ201" s="115"/>
      <c r="DA201" s="115"/>
      <c r="DB201" s="115"/>
      <c r="DC201" s="115"/>
      <c r="DD201" s="115"/>
      <c r="DE201" s="115"/>
      <c r="DF201" s="115"/>
      <c r="DG201" s="44"/>
      <c r="DH201" s="44"/>
      <c r="DL201" s="44"/>
      <c r="DM201" s="44"/>
      <c r="DN201" s="44"/>
      <c r="DO201" s="44"/>
      <c r="DP201" s="44"/>
      <c r="DQ201" s="44"/>
      <c r="DR201" s="44"/>
      <c r="DS201" s="44"/>
      <c r="DT201" s="44"/>
      <c r="DU201" s="44"/>
      <c r="DV201" s="44"/>
      <c r="DW201" s="44"/>
      <c r="DX201" s="44"/>
      <c r="DY201" s="48"/>
      <c r="DZ201" s="45">
        <f t="shared" ref="DZ201:EE201" si="462">DZ103-DZ200</f>
        <v>-14077.510000000002</v>
      </c>
      <c r="EA201" s="45">
        <f t="shared" si="462"/>
        <v>-20343</v>
      </c>
      <c r="EB201" s="45">
        <f t="shared" si="462"/>
        <v>-13155</v>
      </c>
      <c r="EC201" s="45">
        <f t="shared" si="462"/>
        <v>-23593</v>
      </c>
      <c r="ED201" s="45">
        <f t="shared" si="462"/>
        <v>-24590</v>
      </c>
      <c r="EE201" s="45">
        <f t="shared" si="462"/>
        <v>-28117.800000000003</v>
      </c>
    </row>
    <row r="202" spans="2:168">
      <c r="B202" s="4" t="s">
        <v>882</v>
      </c>
      <c r="AP202" s="62"/>
      <c r="AR202" s="37">
        <v>0.42</v>
      </c>
      <c r="AS202" s="37">
        <v>0.57999999999999996</v>
      </c>
      <c r="AT202" s="37">
        <v>0.52</v>
      </c>
      <c r="AU202" s="37">
        <v>0.61</v>
      </c>
      <c r="AV202" s="37">
        <v>0.55000000000000004</v>
      </c>
      <c r="AW202" s="37">
        <v>0.62</v>
      </c>
      <c r="AX202" s="37">
        <v>0.65</v>
      </c>
      <c r="AY202" s="37">
        <v>0.54</v>
      </c>
      <c r="AZ202" s="37">
        <v>0.48</v>
      </c>
      <c r="BA202" s="37">
        <v>0.51</v>
      </c>
      <c r="BB202" s="37">
        <v>0.49</v>
      </c>
      <c r="BC202" s="55">
        <v>0.6</v>
      </c>
      <c r="BD202" s="37">
        <v>0.52</v>
      </c>
      <c r="BK202" s="69">
        <v>0.57999999999999996</v>
      </c>
      <c r="DZ202" s="37">
        <v>2.12</v>
      </c>
      <c r="EA202" s="37">
        <v>2.42</v>
      </c>
      <c r="EB202" s="37">
        <v>2.02</v>
      </c>
      <c r="EC202" s="37">
        <v>2.61</v>
      </c>
      <c r="ED202" s="55">
        <v>2.4300000000000002</v>
      </c>
      <c r="EE202" s="37"/>
      <c r="EF202" s="37"/>
    </row>
    <row r="203" spans="2:168">
      <c r="B203" s="4" t="s">
        <v>875</v>
      </c>
      <c r="AP203" s="62"/>
      <c r="AR203" s="99">
        <f t="shared" ref="AR203:BC203" si="463">AR115-AR202</f>
        <v>-2.6437768240343329E-2</v>
      </c>
      <c r="AS203" s="99">
        <f t="shared" si="463"/>
        <v>-9.4574992747309405E-4</v>
      </c>
      <c r="AT203" s="99">
        <f t="shared" si="463"/>
        <v>8.7102473498232857E-3</v>
      </c>
      <c r="AU203" s="99">
        <f t="shared" si="463"/>
        <v>0.1045523513753327</v>
      </c>
      <c r="AV203" s="99">
        <f t="shared" si="463"/>
        <v>0.10555038529934802</v>
      </c>
      <c r="AW203" s="99">
        <f t="shared" si="463"/>
        <v>5.890736342042735E-3</v>
      </c>
      <c r="AX203" s="99">
        <f t="shared" si="463"/>
        <v>7.9611218281644414E-3</v>
      </c>
      <c r="AY203" s="99">
        <f t="shared" si="463"/>
        <v>9.5221383088997413E-2</v>
      </c>
      <c r="AZ203" s="99">
        <f t="shared" si="463"/>
        <v>0.1212462973933649</v>
      </c>
      <c r="BA203" s="99">
        <f t="shared" si="463"/>
        <v>6.8589174800355313E-3</v>
      </c>
      <c r="BB203" s="99">
        <f t="shared" si="463"/>
        <v>3.4369822862240218E-3</v>
      </c>
      <c r="BC203" s="99">
        <f t="shared" si="463"/>
        <v>5.4351599305727749E-2</v>
      </c>
      <c r="BK203" s="99">
        <f>BK115-BK202</f>
        <v>1.8052118978678644E-2</v>
      </c>
      <c r="EA203" s="100">
        <f>EA115-EA202</f>
        <v>0.39999999999999991</v>
      </c>
      <c r="EB203" s="100">
        <f>EB115-EB202</f>
        <v>0.2200000000000002</v>
      </c>
      <c r="EC203" s="37"/>
      <c r="ED203" s="55"/>
      <c r="EE203" s="37"/>
      <c r="EF203" s="37"/>
    </row>
    <row r="204" spans="2:168">
      <c r="AP204" s="62"/>
      <c r="AX204" s="99"/>
      <c r="AY204" s="99"/>
      <c r="AZ204" s="99"/>
      <c r="BA204" s="99"/>
      <c r="BB204" s="99"/>
      <c r="BC204" s="99"/>
      <c r="EB204" s="37"/>
      <c r="EC204" s="37"/>
      <c r="ED204" s="55"/>
      <c r="EE204" s="37"/>
      <c r="EF20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2023-02-27T19:47:43Z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