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FEAB05C-282E-496D-9B10-DC56C98D6913}" xr6:coauthVersionLast="47" xr6:coauthVersionMax="47" xr10:uidLastSave="{00000000-0000-0000-0000-000000000000}"/>
  <bookViews>
    <workbookView xWindow="22335" yWindow="90" windowWidth="28920" windowHeight="20850" activeTab="1" xr2:uid="{00000000-000D-0000-FFFF-FFFF00000000}"/>
  </bookViews>
  <sheets>
    <sheet name="Master" sheetId="11" r:id="rId1"/>
    <sheet name="Main" sheetId="1" r:id="rId2"/>
    <sheet name="Model" sheetId="2" r:id="rId3"/>
    <sheet name="Entyvio" sheetId="12" r:id="rId4"/>
    <sheet name="Prevacid" sheetId="5" r:id="rId5"/>
    <sheet name="Lupron" sheetId="6" r:id="rId6"/>
    <sheet name="Dexilant" sheetId="7" r:id="rId7"/>
    <sheet name="alogliptin" sheetId="4" r:id="rId8"/>
    <sheet name="475" sheetId="3" r:id="rId9"/>
    <sheet name="Velcade" sheetId="8" r:id="rId10"/>
    <sheet name="Actos" sheetId="9" r:id="rId11"/>
    <sheet name="literature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66" i="2" l="1"/>
  <c r="BS66" i="2"/>
  <c r="BW81" i="2"/>
  <c r="BS81" i="2"/>
  <c r="BW89" i="2"/>
  <c r="BS89" i="2"/>
  <c r="BW90" i="2"/>
  <c r="BS90" i="2"/>
  <c r="BS107" i="2"/>
  <c r="BS105" i="2"/>
  <c r="BS102" i="2"/>
  <c r="BS101" i="2"/>
  <c r="BS99" i="2"/>
  <c r="BS98" i="2"/>
  <c r="BW107" i="2"/>
  <c r="BW105" i="2"/>
  <c r="BW102" i="2"/>
  <c r="BW101" i="2"/>
  <c r="BW99" i="2"/>
  <c r="BW98" i="2"/>
  <c r="K7" i="1"/>
  <c r="K6" i="1"/>
  <c r="CP113" i="2" s="1"/>
  <c r="CP114" i="2" s="1"/>
  <c r="K5" i="1"/>
  <c r="CK95" i="2"/>
  <c r="Y110" i="2"/>
  <c r="X110" i="2"/>
  <c r="W110" i="2"/>
  <c r="V110" i="2"/>
  <c r="U110" i="2"/>
  <c r="N117" i="2"/>
  <c r="X30" i="2"/>
  <c r="V30" i="2"/>
  <c r="V24" i="2"/>
  <c r="X11" i="2"/>
  <c r="V11" i="2"/>
  <c r="V9" i="2"/>
  <c r="W9" i="2"/>
  <c r="X9" i="2"/>
  <c r="Y9" i="2"/>
  <c r="X8" i="2"/>
  <c r="V8" i="2"/>
  <c r="X7" i="2"/>
  <c r="V7" i="2"/>
  <c r="X6" i="2"/>
  <c r="V6" i="2"/>
  <c r="X5" i="2"/>
  <c r="V5" i="2"/>
  <c r="T44" i="2"/>
  <c r="U44" i="2"/>
  <c r="V44" i="2"/>
  <c r="W44" i="2"/>
  <c r="X44" i="2"/>
  <c r="Y44" i="2"/>
  <c r="T43" i="2"/>
  <c r="U43" i="2"/>
  <c r="V43" i="2"/>
  <c r="W43" i="2"/>
  <c r="X43" i="2"/>
  <c r="Y43" i="2"/>
  <c r="T42" i="2"/>
  <c r="U42" i="2"/>
  <c r="V42" i="2"/>
  <c r="W42" i="2"/>
  <c r="X42" i="2"/>
  <c r="Y42" i="2"/>
  <c r="T41" i="2"/>
  <c r="U41" i="2"/>
  <c r="V41" i="2"/>
  <c r="W41" i="2"/>
  <c r="X41" i="2"/>
  <c r="Y41" i="2"/>
  <c r="T110" i="2"/>
  <c r="CJ105" i="2"/>
  <c r="CI101" i="2"/>
  <c r="CI103" i="2"/>
  <c r="CH117" i="2"/>
  <c r="AV117" i="2"/>
  <c r="CI9" i="2"/>
  <c r="AW4" i="2"/>
  <c r="CI35" i="2"/>
  <c r="CJ35" i="2"/>
  <c r="CK35" i="2"/>
  <c r="CL35" i="2"/>
  <c r="CM35" i="2"/>
  <c r="CI31" i="2"/>
  <c r="CJ31" i="2"/>
  <c r="CK31" i="2"/>
  <c r="CL31" i="2"/>
  <c r="CM31" i="2"/>
  <c r="CI26" i="2"/>
  <c r="S110" i="2"/>
  <c r="R110" i="2"/>
  <c r="S102" i="2"/>
  <c r="T102" i="2"/>
  <c r="U102" i="2"/>
  <c r="V102" i="2"/>
  <c r="W102" i="2"/>
  <c r="X102" i="2"/>
  <c r="Y102" i="2"/>
  <c r="S101" i="2"/>
  <c r="T101" i="2"/>
  <c r="S99" i="2"/>
  <c r="T99" i="2"/>
  <c r="R41" i="2"/>
  <c r="R127" i="2"/>
  <c r="S9" i="2"/>
  <c r="S24" i="2"/>
  <c r="T24" i="2"/>
  <c r="X24" i="2"/>
  <c r="S39" i="2"/>
  <c r="S38" i="2"/>
  <c r="S37" i="2"/>
  <c r="S36" i="2"/>
  <c r="S34" i="2"/>
  <c r="S33" i="2"/>
  <c r="S32" i="2"/>
  <c r="CI32" i="2"/>
  <c r="CJ32" i="2"/>
  <c r="CK32" i="2"/>
  <c r="CL32" i="2"/>
  <c r="CM32" i="2"/>
  <c r="S30" i="2"/>
  <c r="W30" i="2"/>
  <c r="S29" i="2"/>
  <c r="S28" i="2"/>
  <c r="S27" i="2"/>
  <c r="S25" i="2"/>
  <c r="CI25" i="2"/>
  <c r="S23" i="2"/>
  <c r="S22" i="2"/>
  <c r="S21" i="2"/>
  <c r="S20" i="2"/>
  <c r="S19" i="2"/>
  <c r="S17" i="2"/>
  <c r="S16" i="2"/>
  <c r="S14" i="2"/>
  <c r="S13" i="2"/>
  <c r="U13" i="2"/>
  <c r="V13" i="2"/>
  <c r="W13" i="2"/>
  <c r="X13" i="2"/>
  <c r="Y13" i="2"/>
  <c r="S12" i="2"/>
  <c r="S11" i="2"/>
  <c r="W11" i="2"/>
  <c r="S8" i="2"/>
  <c r="S7" i="2"/>
  <c r="W7" i="2"/>
  <c r="S6" i="2"/>
  <c r="W6" i="2"/>
  <c r="S5" i="2"/>
  <c r="W5" i="2"/>
  <c r="CM110" i="2"/>
  <c r="CL110" i="2"/>
  <c r="CK110" i="2"/>
  <c r="CJ110" i="2"/>
  <c r="C4" i="2"/>
  <c r="G4" i="2"/>
  <c r="H4" i="2"/>
  <c r="J4" i="2"/>
  <c r="K5" i="2"/>
  <c r="M5" i="2"/>
  <c r="K6" i="2"/>
  <c r="K7" i="2"/>
  <c r="M7" i="2"/>
  <c r="K8" i="2"/>
  <c r="M8" i="2"/>
  <c r="CH8" i="2"/>
  <c r="L4" i="2"/>
  <c r="N4" i="2"/>
  <c r="O5" i="2"/>
  <c r="P5" i="2"/>
  <c r="O6" i="2"/>
  <c r="P6" i="2"/>
  <c r="Q6" i="2"/>
  <c r="U6" i="2"/>
  <c r="Y6" i="2"/>
  <c r="O7" i="2"/>
  <c r="P7" i="2"/>
  <c r="O8" i="2"/>
  <c r="P8" i="2"/>
  <c r="Q8" i="2"/>
  <c r="U8" i="2"/>
  <c r="Y8" i="2"/>
  <c r="R4" i="2"/>
  <c r="AU4" i="2"/>
  <c r="G5" i="2"/>
  <c r="I5" i="2"/>
  <c r="G6" i="2"/>
  <c r="G7" i="2"/>
  <c r="G8" i="2"/>
  <c r="C10" i="2"/>
  <c r="G10" i="2"/>
  <c r="H10" i="2"/>
  <c r="J10" i="2"/>
  <c r="K11" i="2"/>
  <c r="M11" i="2"/>
  <c r="K12" i="2"/>
  <c r="M12" i="2"/>
  <c r="K13" i="2"/>
  <c r="M13" i="2"/>
  <c r="K14" i="2"/>
  <c r="M14" i="2"/>
  <c r="L10" i="2"/>
  <c r="N10" i="2"/>
  <c r="O11" i="2"/>
  <c r="P11" i="2"/>
  <c r="O12" i="2"/>
  <c r="P12" i="2"/>
  <c r="Q12" i="2"/>
  <c r="O13" i="2"/>
  <c r="P13" i="2"/>
  <c r="Q13" i="2"/>
  <c r="O14" i="2"/>
  <c r="P14" i="2"/>
  <c r="Q14" i="2"/>
  <c r="R10" i="2"/>
  <c r="U14" i="2"/>
  <c r="V14" i="2"/>
  <c r="AU10" i="2"/>
  <c r="G11" i="2"/>
  <c r="G12" i="2"/>
  <c r="G13" i="2"/>
  <c r="G14" i="2"/>
  <c r="C15" i="2"/>
  <c r="G15" i="2"/>
  <c r="H15" i="2"/>
  <c r="J15" i="2"/>
  <c r="K16" i="2"/>
  <c r="M16" i="2"/>
  <c r="K17" i="2"/>
  <c r="M17" i="2"/>
  <c r="L15" i="2"/>
  <c r="N15" i="2"/>
  <c r="O16" i="2"/>
  <c r="O17" i="2"/>
  <c r="P17" i="2"/>
  <c r="Q17" i="2"/>
  <c r="R15" i="2"/>
  <c r="AU15" i="2"/>
  <c r="AW15" i="2"/>
  <c r="G16" i="2"/>
  <c r="G17" i="2"/>
  <c r="C18" i="2"/>
  <c r="G18" i="2"/>
  <c r="H18" i="2"/>
  <c r="AW18" i="2"/>
  <c r="J18" i="2"/>
  <c r="K19" i="2"/>
  <c r="M19" i="2"/>
  <c r="K20" i="2"/>
  <c r="M20" i="2"/>
  <c r="K21" i="2"/>
  <c r="M21" i="2"/>
  <c r="K22" i="2"/>
  <c r="M22" i="2"/>
  <c r="L18" i="2"/>
  <c r="N18" i="2"/>
  <c r="O19" i="2"/>
  <c r="P19" i="2"/>
  <c r="Q19" i="2"/>
  <c r="U19" i="2"/>
  <c r="O20" i="2"/>
  <c r="P20" i="2"/>
  <c r="O21" i="2"/>
  <c r="P21" i="2"/>
  <c r="Q21" i="2"/>
  <c r="O22" i="2"/>
  <c r="P22" i="2"/>
  <c r="Q22" i="2"/>
  <c r="U22" i="2"/>
  <c r="V22" i="2"/>
  <c r="W22" i="2"/>
  <c r="X22" i="2"/>
  <c r="Y22" i="2"/>
  <c r="R18" i="2"/>
  <c r="AU18" i="2"/>
  <c r="G19" i="2"/>
  <c r="G20" i="2"/>
  <c r="G21" i="2"/>
  <c r="G22" i="2"/>
  <c r="C24" i="2"/>
  <c r="F24" i="2"/>
  <c r="G24" i="2"/>
  <c r="H24" i="2"/>
  <c r="AW24" i="2"/>
  <c r="CH24" i="2"/>
  <c r="J24" i="2"/>
  <c r="K24" i="2"/>
  <c r="N24" i="2"/>
  <c r="G25" i="2"/>
  <c r="F25" i="2"/>
  <c r="G26" i="2"/>
  <c r="F26" i="2"/>
  <c r="F27" i="2"/>
  <c r="H27" i="2"/>
  <c r="K27" i="2"/>
  <c r="M27" i="2"/>
  <c r="O27" i="2"/>
  <c r="P27" i="2"/>
  <c r="Q27" i="2"/>
  <c r="U27" i="2"/>
  <c r="V27" i="2"/>
  <c r="W27" i="2"/>
  <c r="X27" i="2"/>
  <c r="Y27" i="2"/>
  <c r="K28" i="2"/>
  <c r="M28" i="2"/>
  <c r="O28" i="2"/>
  <c r="P28" i="2"/>
  <c r="Q28" i="2"/>
  <c r="U28" i="2"/>
  <c r="V28" i="2"/>
  <c r="W28" i="2"/>
  <c r="X28" i="2"/>
  <c r="Y28" i="2"/>
  <c r="K29" i="2"/>
  <c r="M29" i="2"/>
  <c r="O29" i="2"/>
  <c r="P29" i="2"/>
  <c r="Q29" i="2"/>
  <c r="U29" i="2"/>
  <c r="V29" i="2"/>
  <c r="W29" i="2"/>
  <c r="X29" i="2"/>
  <c r="Y29" i="2"/>
  <c r="K30" i="2"/>
  <c r="M30" i="2"/>
  <c r="O30" i="2"/>
  <c r="P30" i="2"/>
  <c r="Q30" i="2"/>
  <c r="U30" i="2"/>
  <c r="Y30" i="2"/>
  <c r="K31" i="2"/>
  <c r="K33" i="2"/>
  <c r="M33" i="2"/>
  <c r="O33" i="2"/>
  <c r="P33" i="2"/>
  <c r="Q33" i="2"/>
  <c r="U33" i="2"/>
  <c r="V33" i="2"/>
  <c r="W33" i="2"/>
  <c r="X33" i="2"/>
  <c r="Y33" i="2"/>
  <c r="K34" i="2"/>
  <c r="M34" i="2"/>
  <c r="O34" i="2"/>
  <c r="P34" i="2"/>
  <c r="Q34" i="2"/>
  <c r="U34" i="2"/>
  <c r="V34" i="2"/>
  <c r="W34" i="2"/>
  <c r="X34" i="2"/>
  <c r="Y34" i="2"/>
  <c r="K35" i="2"/>
  <c r="M35" i="2"/>
  <c r="O35" i="2"/>
  <c r="P35" i="2"/>
  <c r="Q35" i="2"/>
  <c r="K36" i="2"/>
  <c r="M36" i="2"/>
  <c r="O36" i="2"/>
  <c r="P36" i="2"/>
  <c r="Q36" i="2"/>
  <c r="U36" i="2"/>
  <c r="V36" i="2"/>
  <c r="W36" i="2"/>
  <c r="X36" i="2"/>
  <c r="Y36" i="2"/>
  <c r="P37" i="2"/>
  <c r="U37" i="2"/>
  <c r="K38" i="2"/>
  <c r="M38" i="2"/>
  <c r="O38" i="2"/>
  <c r="P38" i="2"/>
  <c r="Q38" i="2"/>
  <c r="U38" i="2"/>
  <c r="K39" i="2"/>
  <c r="M39" i="2"/>
  <c r="O39" i="2"/>
  <c r="P39" i="2"/>
  <c r="Q39" i="2"/>
  <c r="U39" i="2"/>
  <c r="L40" i="2"/>
  <c r="O40" i="2"/>
  <c r="G98" i="2"/>
  <c r="G112" i="2"/>
  <c r="N41" i="2"/>
  <c r="N42" i="2"/>
  <c r="R42" i="2"/>
  <c r="R128" i="2"/>
  <c r="N43" i="2"/>
  <c r="R43" i="2"/>
  <c r="R129" i="2"/>
  <c r="N44" i="2"/>
  <c r="R44" i="2"/>
  <c r="R130" i="2"/>
  <c r="R45" i="2"/>
  <c r="S45" i="2"/>
  <c r="R92" i="2"/>
  <c r="CJ92" i="2"/>
  <c r="K98" i="2"/>
  <c r="O98" i="2"/>
  <c r="G99" i="2"/>
  <c r="H99" i="2"/>
  <c r="I99" i="2"/>
  <c r="K99" i="2"/>
  <c r="L99" i="2"/>
  <c r="M99" i="2"/>
  <c r="O99" i="2"/>
  <c r="AW100" i="2"/>
  <c r="AW99" i="2"/>
  <c r="F100" i="2"/>
  <c r="F104" i="2"/>
  <c r="J100" i="2"/>
  <c r="J116" i="2"/>
  <c r="N100" i="2"/>
  <c r="N116" i="2"/>
  <c r="AV100" i="2"/>
  <c r="AV104" i="2"/>
  <c r="AV108" i="2"/>
  <c r="AW113" i="2"/>
  <c r="CH100" i="2"/>
  <c r="CH104" i="2"/>
  <c r="CH106" i="2"/>
  <c r="CI100" i="2"/>
  <c r="CI116" i="2"/>
  <c r="G101" i="2"/>
  <c r="H101" i="2"/>
  <c r="K101" i="2"/>
  <c r="L101" i="2"/>
  <c r="O101" i="2"/>
  <c r="AW101" i="2"/>
  <c r="AW117" i="2"/>
  <c r="K102" i="2"/>
  <c r="L102" i="2"/>
  <c r="O102" i="2"/>
  <c r="J103" i="2"/>
  <c r="N103" i="2"/>
  <c r="R103" i="2"/>
  <c r="H105" i="2"/>
  <c r="J105" i="2"/>
  <c r="K105" i="2"/>
  <c r="L105" i="2"/>
  <c r="M105" i="2"/>
  <c r="N105" i="2"/>
  <c r="O105" i="2"/>
  <c r="P105" i="2"/>
  <c r="Q105" i="2"/>
  <c r="R105" i="2"/>
  <c r="S105" i="2"/>
  <c r="T105" i="2"/>
  <c r="H107" i="2"/>
  <c r="J107" i="2"/>
  <c r="K107" i="2"/>
  <c r="N107" i="2"/>
  <c r="O107" i="2"/>
  <c r="R107" i="2"/>
  <c r="S107" i="2"/>
  <c r="T107" i="2"/>
  <c r="Q110" i="2"/>
  <c r="CH110" i="2"/>
  <c r="CI110" i="2"/>
  <c r="N112" i="2"/>
  <c r="AV112" i="2"/>
  <c r="AW112" i="2"/>
  <c r="CH112" i="2"/>
  <c r="CI112" i="2"/>
  <c r="CH123" i="2"/>
  <c r="CI123" i="2"/>
  <c r="T15" i="2"/>
  <c r="T18" i="2"/>
  <c r="U17" i="2"/>
  <c r="U23" i="2"/>
  <c r="V23" i="2"/>
  <c r="W23" i="2"/>
  <c r="X23" i="2"/>
  <c r="Y23" i="2"/>
  <c r="U12" i="2"/>
  <c r="V12" i="2"/>
  <c r="W12" i="2"/>
  <c r="X12" i="2"/>
  <c r="T10" i="2"/>
  <c r="T4" i="2"/>
  <c r="AV116" i="2"/>
  <c r="BW100" i="2"/>
  <c r="BS100" i="2"/>
  <c r="BS103" i="2"/>
  <c r="BW103" i="2"/>
  <c r="X4" i="2"/>
  <c r="O100" i="2"/>
  <c r="O116" i="2"/>
  <c r="CH116" i="2"/>
  <c r="O117" i="2"/>
  <c r="L103" i="2"/>
  <c r="AW104" i="2"/>
  <c r="AW107" i="2"/>
  <c r="P99" i="2"/>
  <c r="Q99" i="2"/>
  <c r="S15" i="2"/>
  <c r="K18" i="2"/>
  <c r="CI30" i="2"/>
  <c r="CJ30" i="2"/>
  <c r="CK30" i="2"/>
  <c r="CL30" i="2"/>
  <c r="CM30" i="2"/>
  <c r="CI27" i="2"/>
  <c r="CJ27" i="2"/>
  <c r="CK27" i="2"/>
  <c r="CL27" i="2"/>
  <c r="CM27" i="2"/>
  <c r="S103" i="2"/>
  <c r="CI39" i="2"/>
  <c r="CJ39" i="2"/>
  <c r="CK39" i="2"/>
  <c r="CL39" i="2"/>
  <c r="CM39" i="2"/>
  <c r="N104" i="2"/>
  <c r="N106" i="2"/>
  <c r="N108" i="2"/>
  <c r="P101" i="2"/>
  <c r="O103" i="2"/>
  <c r="CJ6" i="2"/>
  <c r="CK6" i="2"/>
  <c r="CI117" i="2"/>
  <c r="CJ101" i="2"/>
  <c r="CK101" i="2"/>
  <c r="CL101" i="2"/>
  <c r="M15" i="2"/>
  <c r="CJ19" i="2"/>
  <c r="K15" i="2"/>
  <c r="CH15" i="2"/>
  <c r="P10" i="2"/>
  <c r="CI8" i="2"/>
  <c r="S10" i="2"/>
  <c r="CI34" i="2"/>
  <c r="CJ34" i="2"/>
  <c r="CK34" i="2"/>
  <c r="CL34" i="2"/>
  <c r="CM34" i="2"/>
  <c r="CJ12" i="2"/>
  <c r="CK13" i="2"/>
  <c r="CI29" i="2"/>
  <c r="CJ29" i="2"/>
  <c r="CK29" i="2"/>
  <c r="CL29" i="2"/>
  <c r="CM29" i="2"/>
  <c r="K4" i="2"/>
  <c r="K103" i="2"/>
  <c r="V38" i="2"/>
  <c r="W38" i="2"/>
  <c r="X38" i="2"/>
  <c r="Y38" i="2"/>
  <c r="CI38" i="2"/>
  <c r="CJ38" i="2"/>
  <c r="CK38" i="2"/>
  <c r="CL38" i="2"/>
  <c r="CM38" i="2"/>
  <c r="Q20" i="2"/>
  <c r="U20" i="2"/>
  <c r="V20" i="2"/>
  <c r="P18" i="2"/>
  <c r="CI21" i="2"/>
  <c r="U21" i="2"/>
  <c r="V21" i="2"/>
  <c r="W21" i="2"/>
  <c r="X21" i="2"/>
  <c r="Y21" i="2"/>
  <c r="CK9" i="2"/>
  <c r="CI6" i="2"/>
  <c r="N97" i="2"/>
  <c r="CI37" i="2"/>
  <c r="CJ37" i="2"/>
  <c r="CK37" i="2"/>
  <c r="CL37" i="2"/>
  <c r="CM37" i="2"/>
  <c r="CI104" i="2"/>
  <c r="CI106" i="2"/>
  <c r="CI107" i="2"/>
  <c r="F116" i="2"/>
  <c r="G100" i="2"/>
  <c r="O112" i="2"/>
  <c r="AW41" i="2"/>
  <c r="CH41" i="2"/>
  <c r="F41" i="2"/>
  <c r="CH5" i="2"/>
  <c r="CJ8" i="2"/>
  <c r="H98" i="2"/>
  <c r="J104" i="2"/>
  <c r="J106" i="2"/>
  <c r="J108" i="2"/>
  <c r="Q11" i="2"/>
  <c r="U11" i="2"/>
  <c r="U10" i="2"/>
  <c r="S42" i="2"/>
  <c r="S128" i="2"/>
  <c r="Q7" i="2"/>
  <c r="U7" i="2"/>
  <c r="Y7" i="2"/>
  <c r="CK7" i="2"/>
  <c r="L24" i="2"/>
  <c r="M24" i="2"/>
  <c r="P4" i="2"/>
  <c r="Q5" i="2"/>
  <c r="CI5" i="2"/>
  <c r="Y12" i="2"/>
  <c r="W14" i="2"/>
  <c r="X14" i="2"/>
  <c r="Y14" i="2"/>
  <c r="P107" i="2"/>
  <c r="K10" i="2"/>
  <c r="CJ17" i="2"/>
  <c r="V17" i="2"/>
  <c r="CH7" i="2"/>
  <c r="O4" i="2"/>
  <c r="CI36" i="2"/>
  <c r="CJ36" i="2"/>
  <c r="CK36" i="2"/>
  <c r="CL36" i="2"/>
  <c r="CM36" i="2"/>
  <c r="W8" i="2"/>
  <c r="CK8" i="2"/>
  <c r="M10" i="2"/>
  <c r="M6" i="2"/>
  <c r="M4" i="2"/>
  <c r="CH6" i="2"/>
  <c r="CJ13" i="2"/>
  <c r="CJ22" i="2"/>
  <c r="O24" i="2"/>
  <c r="CJ14" i="2"/>
  <c r="CK22" i="2"/>
  <c r="CL22" i="2"/>
  <c r="CM22" i="2"/>
  <c r="L107" i="2"/>
  <c r="T103" i="2"/>
  <c r="K100" i="2"/>
  <c r="L98" i="2"/>
  <c r="V19" i="2"/>
  <c r="S18" i="2"/>
  <c r="S44" i="2"/>
  <c r="R98" i="2"/>
  <c r="CI33" i="2"/>
  <c r="CJ33" i="2"/>
  <c r="CK33" i="2"/>
  <c r="CL33" i="2"/>
  <c r="CM33" i="2"/>
  <c r="G41" i="2"/>
  <c r="CH107" i="2"/>
  <c r="CH108" i="2"/>
  <c r="CI19" i="2"/>
  <c r="O18" i="2"/>
  <c r="P16" i="2"/>
  <c r="O15" i="2"/>
  <c r="J97" i="2"/>
  <c r="S4" i="2"/>
  <c r="S41" i="2"/>
  <c r="CI41" i="2"/>
  <c r="CJ41" i="2"/>
  <c r="CK41" i="2"/>
  <c r="CL41" i="2"/>
  <c r="CM41" i="2"/>
  <c r="V10" i="2"/>
  <c r="CI28" i="2"/>
  <c r="CJ28" i="2"/>
  <c r="CK28" i="2"/>
  <c r="CL28" i="2"/>
  <c r="CM28" i="2"/>
  <c r="S127" i="2"/>
  <c r="CI23" i="2"/>
  <c r="CJ23" i="2"/>
  <c r="CK23" i="2"/>
  <c r="CL23" i="2"/>
  <c r="CM23" i="2"/>
  <c r="V4" i="2"/>
  <c r="S43" i="2"/>
  <c r="CI43" i="2"/>
  <c r="CJ43" i="2"/>
  <c r="CK43" i="2"/>
  <c r="CL43" i="2"/>
  <c r="CM43" i="2"/>
  <c r="W24" i="2"/>
  <c r="O10" i="2"/>
  <c r="P102" i="2"/>
  <c r="M18" i="2"/>
  <c r="P98" i="2"/>
  <c r="BS104" i="2"/>
  <c r="M103" i="2"/>
  <c r="BW104" i="2"/>
  <c r="BW106" i="2"/>
  <c r="BW108" i="2"/>
  <c r="BW109" i="2"/>
  <c r="BS106" i="2"/>
  <c r="BS108" i="2"/>
  <c r="BS109" i="2"/>
  <c r="CH18" i="2"/>
  <c r="O104" i="2"/>
  <c r="O106" i="2"/>
  <c r="O108" i="2"/>
  <c r="CI42" i="2"/>
  <c r="CJ42" i="2"/>
  <c r="CK42" i="2"/>
  <c r="CL42" i="2"/>
  <c r="CM42" i="2"/>
  <c r="P103" i="2"/>
  <c r="Q103" i="2"/>
  <c r="Q18" i="2"/>
  <c r="CI18" i="2"/>
  <c r="P117" i="2"/>
  <c r="CH10" i="2"/>
  <c r="N118" i="2"/>
  <c r="CJ21" i="2"/>
  <c r="CJ20" i="2"/>
  <c r="CH4" i="2"/>
  <c r="CK21" i="2"/>
  <c r="CL21" i="2"/>
  <c r="CM21" i="2"/>
  <c r="CI20" i="2"/>
  <c r="CI108" i="2"/>
  <c r="CI113" i="2"/>
  <c r="U18" i="2"/>
  <c r="G104" i="2"/>
  <c r="G108" i="2"/>
  <c r="G116" i="2"/>
  <c r="CJ18" i="2"/>
  <c r="K97" i="2"/>
  <c r="CJ7" i="2"/>
  <c r="W20" i="2"/>
  <c r="X20" i="2"/>
  <c r="Y20" i="2"/>
  <c r="S129" i="2"/>
  <c r="W4" i="2"/>
  <c r="Y11" i="2"/>
  <c r="CK11" i="2"/>
  <c r="CJ11" i="2"/>
  <c r="CJ10" i="2"/>
  <c r="H41" i="2"/>
  <c r="I98" i="2"/>
  <c r="I100" i="2"/>
  <c r="I116" i="2"/>
  <c r="H100" i="2"/>
  <c r="CH113" i="2"/>
  <c r="CH109" i="2"/>
  <c r="M98" i="2"/>
  <c r="L112" i="2"/>
  <c r="L100" i="2"/>
  <c r="L97" i="2"/>
  <c r="K104" i="2"/>
  <c r="K106" i="2"/>
  <c r="K116" i="2"/>
  <c r="M107" i="2"/>
  <c r="W10" i="2"/>
  <c r="Q107" i="2"/>
  <c r="CK14" i="2"/>
  <c r="O97" i="2"/>
  <c r="P24" i="2"/>
  <c r="Q24" i="2"/>
  <c r="U24" i="2"/>
  <c r="P15" i="2"/>
  <c r="Q16" i="2"/>
  <c r="U16" i="2"/>
  <c r="X10" i="2"/>
  <c r="U5" i="2"/>
  <c r="Q4" i="2"/>
  <c r="CI4" i="2"/>
  <c r="Q10" i="2"/>
  <c r="CI10" i="2"/>
  <c r="CM101" i="2"/>
  <c r="S92" i="2"/>
  <c r="S98" i="2"/>
  <c r="R117" i="2"/>
  <c r="R112" i="2"/>
  <c r="R100" i="2"/>
  <c r="W17" i="2"/>
  <c r="X17" i="2"/>
  <c r="Y17" i="2"/>
  <c r="S130" i="2"/>
  <c r="CI44" i="2"/>
  <c r="CJ44" i="2"/>
  <c r="CK44" i="2"/>
  <c r="CL44" i="2"/>
  <c r="CM44" i="2"/>
  <c r="CI7" i="2"/>
  <c r="P100" i="2"/>
  <c r="Q98" i="2"/>
  <c r="P112" i="2"/>
  <c r="CK12" i="2"/>
  <c r="W19" i="2"/>
  <c r="V18" i="2"/>
  <c r="O118" i="2"/>
  <c r="CI109" i="2"/>
  <c r="CK20" i="2"/>
  <c r="CL20" i="2"/>
  <c r="CM20" i="2"/>
  <c r="H104" i="2"/>
  <c r="H106" i="2"/>
  <c r="H108" i="2"/>
  <c r="H116" i="2"/>
  <c r="Y10" i="2"/>
  <c r="CK10" i="2"/>
  <c r="CL10" i="2"/>
  <c r="CM10" i="2"/>
  <c r="Q15" i="2"/>
  <c r="CI15" i="2"/>
  <c r="Y24" i="2"/>
  <c r="CI24" i="2"/>
  <c r="CJ24" i="2"/>
  <c r="CK24" i="2"/>
  <c r="CL24" i="2"/>
  <c r="CM24" i="2"/>
  <c r="Q100" i="2"/>
  <c r="Q112" i="2"/>
  <c r="K108" i="2"/>
  <c r="K118" i="2"/>
  <c r="V16" i="2"/>
  <c r="U15" i="2"/>
  <c r="CJ16" i="2"/>
  <c r="CJ15" i="2"/>
  <c r="CK17" i="2"/>
  <c r="Y5" i="2"/>
  <c r="U4" i="2"/>
  <c r="CJ5" i="2"/>
  <c r="S117" i="2"/>
  <c r="S112" i="2"/>
  <c r="S100" i="2"/>
  <c r="T98" i="2"/>
  <c r="L116" i="2"/>
  <c r="L104" i="2"/>
  <c r="L106" i="2"/>
  <c r="X19" i="2"/>
  <c r="W18" i="2"/>
  <c r="P116" i="2"/>
  <c r="P104" i="2"/>
  <c r="P106" i="2"/>
  <c r="R116" i="2"/>
  <c r="R104" i="2"/>
  <c r="R106" i="2"/>
  <c r="M100" i="2"/>
  <c r="M112" i="2"/>
  <c r="R108" i="2"/>
  <c r="R109" i="2"/>
  <c r="R118" i="2"/>
  <c r="S116" i="2"/>
  <c r="S104" i="2"/>
  <c r="S106" i="2"/>
  <c r="Y4" i="2"/>
  <c r="CK5" i="2"/>
  <c r="CK4" i="2"/>
  <c r="M116" i="2"/>
  <c r="M104" i="2"/>
  <c r="M106" i="2"/>
  <c r="Q104" i="2"/>
  <c r="Q106" i="2"/>
  <c r="Q116" i="2"/>
  <c r="P108" i="2"/>
  <c r="P109" i="2"/>
  <c r="P118" i="2"/>
  <c r="L108" i="2"/>
  <c r="L118" i="2"/>
  <c r="T45" i="2"/>
  <c r="T100" i="2"/>
  <c r="T112" i="2"/>
  <c r="T117" i="2"/>
  <c r="CJ4" i="2"/>
  <c r="V15" i="2"/>
  <c r="W16" i="2"/>
  <c r="X18" i="2"/>
  <c r="Y19" i="2"/>
  <c r="Y18" i="2"/>
  <c r="CK19" i="2"/>
  <c r="X16" i="2"/>
  <c r="W15" i="2"/>
  <c r="T104" i="2"/>
  <c r="T106" i="2"/>
  <c r="T116" i="2"/>
  <c r="CL4" i="2"/>
  <c r="U45" i="2"/>
  <c r="CI45" i="2"/>
  <c r="CJ45" i="2"/>
  <c r="CK45" i="2"/>
  <c r="CL45" i="2"/>
  <c r="CM45" i="2"/>
  <c r="Q108" i="2"/>
  <c r="Q109" i="2"/>
  <c r="Q118" i="2"/>
  <c r="M108" i="2"/>
  <c r="M118" i="2"/>
  <c r="S108" i="2"/>
  <c r="S109" i="2"/>
  <c r="S118" i="2"/>
  <c r="CK18" i="2"/>
  <c r="CL18" i="2"/>
  <c r="CM18" i="2"/>
  <c r="CL19" i="2"/>
  <c r="CM19" i="2"/>
  <c r="V45" i="2"/>
  <c r="U98" i="2"/>
  <c r="CM4" i="2"/>
  <c r="T108" i="2"/>
  <c r="T109" i="2"/>
  <c r="T118" i="2"/>
  <c r="U118" i="2"/>
  <c r="V118" i="2"/>
  <c r="W118" i="2"/>
  <c r="X118" i="2"/>
  <c r="Y118" i="2"/>
  <c r="CJ98" i="2"/>
  <c r="Y16" i="2"/>
  <c r="X15" i="2"/>
  <c r="Y15" i="2"/>
  <c r="CK16" i="2"/>
  <c r="CK15" i="2"/>
  <c r="CJ112" i="2"/>
  <c r="CJ100" i="2"/>
  <c r="CJ104" i="2"/>
  <c r="CJ106" i="2"/>
  <c r="CJ117" i="2"/>
  <c r="U112" i="2"/>
  <c r="U99" i="2"/>
  <c r="U100" i="2"/>
  <c r="U101" i="2"/>
  <c r="U103" i="2"/>
  <c r="W45" i="2"/>
  <c r="V98" i="2"/>
  <c r="X45" i="2"/>
  <c r="W98" i="2"/>
  <c r="V112" i="2"/>
  <c r="V99" i="2"/>
  <c r="V100" i="2"/>
  <c r="V101" i="2"/>
  <c r="V103" i="2"/>
  <c r="U104" i="2"/>
  <c r="U106" i="2"/>
  <c r="CJ99" i="2"/>
  <c r="CJ107" i="2"/>
  <c r="CJ108" i="2"/>
  <c r="CL15" i="2"/>
  <c r="CK98" i="2"/>
  <c r="CJ119" i="2"/>
  <c r="CJ113" i="2"/>
  <c r="CJ109" i="2"/>
  <c r="U107" i="2"/>
  <c r="U108" i="2"/>
  <c r="U109" i="2"/>
  <c r="CK112" i="2"/>
  <c r="CK100" i="2"/>
  <c r="CK104" i="2"/>
  <c r="CK117" i="2"/>
  <c r="CM15" i="2"/>
  <c r="CM98" i="2"/>
  <c r="CL98" i="2"/>
  <c r="V104" i="2"/>
  <c r="V106" i="2"/>
  <c r="W112" i="2"/>
  <c r="W101" i="2"/>
  <c r="W103" i="2"/>
  <c r="W99" i="2"/>
  <c r="W100" i="2"/>
  <c r="Y45" i="2"/>
  <c r="Y98" i="2"/>
  <c r="X98" i="2"/>
  <c r="W104" i="2"/>
  <c r="W106" i="2"/>
  <c r="W107" i="2"/>
  <c r="W108" i="2"/>
  <c r="W109" i="2"/>
  <c r="CK99" i="2"/>
  <c r="V107" i="2"/>
  <c r="V108" i="2"/>
  <c r="V109" i="2"/>
  <c r="X101" i="2"/>
  <c r="X103" i="2"/>
  <c r="X99" i="2"/>
  <c r="X100" i="2"/>
  <c r="X112" i="2"/>
  <c r="CM112" i="2"/>
  <c r="CM100" i="2"/>
  <c r="CM104" i="2"/>
  <c r="CM117" i="2"/>
  <c r="Y101" i="2"/>
  <c r="Y103" i="2"/>
  <c r="Y99" i="2"/>
  <c r="Y100" i="2"/>
  <c r="Y112" i="2"/>
  <c r="CL112" i="2"/>
  <c r="CL100" i="2"/>
  <c r="CL104" i="2"/>
  <c r="CL117" i="2"/>
  <c r="CK105" i="2"/>
  <c r="CK106" i="2"/>
  <c r="CM99" i="2"/>
  <c r="Y104" i="2"/>
  <c r="Y106" i="2"/>
  <c r="X104" i="2"/>
  <c r="X106" i="2"/>
  <c r="CL99" i="2"/>
  <c r="CK107" i="2"/>
  <c r="CK108" i="2"/>
  <c r="Y107" i="2"/>
  <c r="Y108" i="2"/>
  <c r="Y109" i="2"/>
  <c r="X107" i="2"/>
  <c r="X108" i="2"/>
  <c r="X109" i="2"/>
  <c r="CK113" i="2"/>
  <c r="CK109" i="2"/>
  <c r="CK119" i="2"/>
  <c r="CL105" i="2"/>
  <c r="CL106" i="2"/>
  <c r="CL107" i="2"/>
  <c r="CL108" i="2"/>
  <c r="CL109" i="2"/>
  <c r="CL113" i="2"/>
  <c r="CL119" i="2"/>
  <c r="CM105" i="2"/>
  <c r="CM106" i="2"/>
  <c r="CM107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CM109" i="2"/>
  <c r="CM113" i="2"/>
  <c r="CM119" i="2"/>
  <c r="K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  <author>MSMB</author>
    <author>Caroline Stewart</author>
  </authors>
  <commentList>
    <comment ref="O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2400 Q1+Q2</t>
        </r>
      </text>
    </comment>
    <comment ref="CL18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August 2012 generics</t>
        </r>
      </text>
    </comment>
    <comment ref="U20" authorId="2" shapeId="0" xr:uid="{00000000-0006-0000-0200-00000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1/17/11 US Actos patent expiry</t>
        </r>
      </text>
    </comment>
    <comment ref="CL20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US Actos generic launch on 8/17/12, US ActoplusMet generic launch on 12/14/12</t>
        </r>
      </text>
    </comment>
    <comment ref="CK93" authorId="2" shapeId="0" xr:uid="{00000000-0006-0000-0200-000005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2011/2012 alogliptin add'l cv study result and US re-filing</t>
        </r>
      </text>
    </comment>
    <comment ref="V95" authorId="2" shapeId="0" xr:uid="{00000000-0006-0000-0200-000006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US filing (only for dialysis)</t>
        </r>
      </text>
    </comment>
    <comment ref="N98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378977 reported</t>
        </r>
      </text>
    </comment>
    <comment ref="R98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354698 reported</t>
        </r>
      </text>
    </comment>
    <comment ref="S98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690m 1H guidance</t>
        </r>
      </text>
    </comment>
    <comment ref="CJ98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1400 guidance for FY10
Q409: 1400 guidance for 
FY10</t>
        </r>
      </text>
    </comment>
    <comment ref="CL98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Q409: 1330Y</t>
        </r>
      </text>
    </comment>
    <comment ref="CN98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Q309: 2TY guidance</t>
        </r>
      </text>
    </comment>
    <comment ref="AW99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disputed as 278600</t>
        </r>
      </text>
    </comment>
    <comment ref="CJ10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FYQ210: 350 guidance</t>
        </r>
      </text>
    </comment>
  </commentList>
</comments>
</file>

<file path=xl/sharedStrings.xml><?xml version="1.0" encoding="utf-8"?>
<sst xmlns="http://schemas.openxmlformats.org/spreadsheetml/2006/main" count="549" uniqueCount="439">
  <si>
    <t>Name</t>
  </si>
  <si>
    <t>Indication</t>
  </si>
  <si>
    <t>Economics</t>
  </si>
  <si>
    <t>Competition</t>
  </si>
  <si>
    <t>Ulcer</t>
  </si>
  <si>
    <t>Phase</t>
  </si>
  <si>
    <t>Prevacid/Takepron</t>
  </si>
  <si>
    <t>IP</t>
  </si>
  <si>
    <t>Nexium, generic PPIs</t>
  </si>
  <si>
    <t>Hematide</t>
  </si>
  <si>
    <t>Anemia</t>
  </si>
  <si>
    <t>TAK-475</t>
  </si>
  <si>
    <t>Main</t>
  </si>
  <si>
    <t>Brand Name</t>
  </si>
  <si>
    <t>Generic Name</t>
  </si>
  <si>
    <t>Mechanism</t>
  </si>
  <si>
    <t>Squalene Synthase inhibitor</t>
  </si>
  <si>
    <t>Clinical Data</t>
  </si>
  <si>
    <t>Phase 2 comparable to Zetia</t>
  </si>
  <si>
    <t>Blopress</t>
  </si>
  <si>
    <t>Actos</t>
  </si>
  <si>
    <t>Lupron</t>
  </si>
  <si>
    <t>1500 sales people in Japan</t>
  </si>
  <si>
    <t>Enbrel</t>
  </si>
  <si>
    <t>Rheumatoid Arthrits</t>
  </si>
  <si>
    <t>Actos (pioglitazone)</t>
  </si>
  <si>
    <t>Type 2 Diabetes</t>
  </si>
  <si>
    <t>Approved</t>
  </si>
  <si>
    <t>LLY 5%</t>
  </si>
  <si>
    <t>Avandia</t>
  </si>
  <si>
    <t>Eligard</t>
  </si>
  <si>
    <t>Insomnia</t>
  </si>
  <si>
    <t>Lunesta</t>
  </si>
  <si>
    <t>Class</t>
  </si>
  <si>
    <t>MT-1/MT-2 agonist</t>
  </si>
  <si>
    <t>TAK-013</t>
  </si>
  <si>
    <t>Endometriosis</t>
  </si>
  <si>
    <t>LHRH antagonist</t>
  </si>
  <si>
    <t>MCC-135</t>
  </si>
  <si>
    <t>CHF</t>
  </si>
  <si>
    <t>Ca++ uptake enhancer</t>
  </si>
  <si>
    <t>TAK-370</t>
  </si>
  <si>
    <t>GERD</t>
  </si>
  <si>
    <t>5-HT4 agonist</t>
  </si>
  <si>
    <t>TAK-428</t>
  </si>
  <si>
    <t>Diabetic neuropathy</t>
  </si>
  <si>
    <t>TAK-654</t>
  </si>
  <si>
    <t>TAK-802</t>
  </si>
  <si>
    <t>Hypoactive bladder</t>
  </si>
  <si>
    <t>Hypertension</t>
  </si>
  <si>
    <t>LHRH agonist</t>
  </si>
  <si>
    <t>PPI</t>
  </si>
  <si>
    <t>PPAR</t>
  </si>
  <si>
    <t>TNF</t>
  </si>
  <si>
    <t>Commenatry</t>
  </si>
  <si>
    <t>"Lipid lowering fairly modest".</t>
  </si>
  <si>
    <t>Shares</t>
  </si>
  <si>
    <t>MC</t>
  </si>
  <si>
    <t>Cash</t>
  </si>
  <si>
    <t>Debt</t>
  </si>
  <si>
    <t>EV</t>
  </si>
  <si>
    <t>Net Cash</t>
  </si>
  <si>
    <t>Safety</t>
  </si>
  <si>
    <t>Liver enzyme elevations?</t>
  </si>
  <si>
    <t>Revenue</t>
  </si>
  <si>
    <t>COGS</t>
  </si>
  <si>
    <t>Gross Profit</t>
  </si>
  <si>
    <t>SG&amp;A</t>
  </si>
  <si>
    <t>Taxes</t>
  </si>
  <si>
    <t>Revenue Y/Y</t>
  </si>
  <si>
    <t>Consumer/Other</t>
  </si>
  <si>
    <t>TAK-491</t>
  </si>
  <si>
    <t>AFFY</t>
  </si>
  <si>
    <t>III</t>
  </si>
  <si>
    <t>ARB</t>
  </si>
  <si>
    <t>Sepsis</t>
  </si>
  <si>
    <t>TLR4</t>
  </si>
  <si>
    <t>EPO</t>
  </si>
  <si>
    <t>SYR-322</t>
  </si>
  <si>
    <t>DPP4</t>
  </si>
  <si>
    <t>TAK-536 (azilsartan)</t>
  </si>
  <si>
    <t>TAK-583</t>
  </si>
  <si>
    <t>Neuropathic Pain</t>
  </si>
  <si>
    <t>Blopress (candesartan)</t>
  </si>
  <si>
    <t>Amitiza</t>
  </si>
  <si>
    <t>Rozerem</t>
  </si>
  <si>
    <t>Basen Japan</t>
  </si>
  <si>
    <t>Gross Margin</t>
  </si>
  <si>
    <t>alogliptin</t>
  </si>
  <si>
    <t>Have not seen skin toxicity in animals.</t>
  </si>
  <si>
    <t>Other Income</t>
  </si>
  <si>
    <t>Operating Income</t>
  </si>
  <si>
    <t>Pretax Income</t>
  </si>
  <si>
    <t>1/4/2008: SYR-322 filing in the US.</t>
  </si>
  <si>
    <t>1/4/2008: File TAK390-MR.</t>
  </si>
  <si>
    <t>Depression</t>
  </si>
  <si>
    <t>LUN DC</t>
  </si>
  <si>
    <t>New</t>
  </si>
  <si>
    <t>Takepron</t>
  </si>
  <si>
    <t>Leuplin</t>
  </si>
  <si>
    <t>R&amp;D</t>
  </si>
  <si>
    <t>Benet Japan</t>
  </si>
  <si>
    <t>TAK-242 (resatorvid)</t>
  </si>
  <si>
    <t>II JP</t>
  </si>
  <si>
    <t>Rozerem (ramelteon)</t>
  </si>
  <si>
    <t>III JP</t>
  </si>
  <si>
    <t>III US/EU</t>
  </si>
  <si>
    <t>II US/EU</t>
  </si>
  <si>
    <t>II WW</t>
  </si>
  <si>
    <t>TAK-851</t>
  </si>
  <si>
    <t>HPV</t>
  </si>
  <si>
    <t>Topical</t>
  </si>
  <si>
    <t>AMGN</t>
  </si>
  <si>
    <t>Cancer</t>
  </si>
  <si>
    <t>Kinase</t>
  </si>
  <si>
    <t>Net Income</t>
  </si>
  <si>
    <t>lapaquistat</t>
  </si>
  <si>
    <t>Timeline</t>
  </si>
  <si>
    <t>DISCONTINUED 3/28/2008</t>
  </si>
  <si>
    <t>Prevacid</t>
  </si>
  <si>
    <t>TAP, but reverting to Takeda.</t>
  </si>
  <si>
    <t>Peptic Ulcer</t>
  </si>
  <si>
    <t>Erosive esophagitis and non-erosive reflux disease</t>
  </si>
  <si>
    <t>IY-81149</t>
  </si>
  <si>
    <t>Gout</t>
  </si>
  <si>
    <t xml:space="preserve">  Japan</t>
  </si>
  <si>
    <t>Net Income Y/Y</t>
  </si>
  <si>
    <t xml:space="preserve">  Americas</t>
  </si>
  <si>
    <t xml:space="preserve">  Europe</t>
  </si>
  <si>
    <t xml:space="preserve">  Asia</t>
  </si>
  <si>
    <t>Isovorin Japan</t>
  </si>
  <si>
    <t>Seltouch Japan</t>
  </si>
  <si>
    <t>Panspolin Japan</t>
  </si>
  <si>
    <t>Rheumatrex Japan</t>
  </si>
  <si>
    <t>Dasen Japan</t>
  </si>
  <si>
    <t>Firstcin Japan</t>
  </si>
  <si>
    <t>Prostal Japan</t>
  </si>
  <si>
    <t>Clinical Trials</t>
  </si>
  <si>
    <t>Phase 3 trials - 6 conducted</t>
  </si>
  <si>
    <t>Januvia (MRK).  $42m. $87m. $144m. $185m. Q1-Q4 of launch.</t>
  </si>
  <si>
    <t xml:space="preserve">  BMY, NVS (Galvus).</t>
  </si>
  <si>
    <t>3 deaths in studies--2 unrelated and one possibly related.</t>
  </si>
  <si>
    <t>PPDI</t>
  </si>
  <si>
    <t>NDA submitted 1/4/2008. FDA now asking for CV studies, and Takeda is delaying EU filing until 2012.</t>
  </si>
  <si>
    <t>Velcade (bortezomib)</t>
  </si>
  <si>
    <t>Multiple Myeloma</t>
  </si>
  <si>
    <t>bortezomib</t>
  </si>
  <si>
    <t>Papers</t>
  </si>
  <si>
    <t>A Phase 2 Study of Bortezomib in Relapsed, Refractory Myeloma. Richardson et al. NEJM 348;26:2003</t>
  </si>
  <si>
    <t>Molecule</t>
  </si>
  <si>
    <t>Boronic acid dipeptide</t>
  </si>
  <si>
    <t>Proteasome inhibitor</t>
  </si>
  <si>
    <t>Phase II NEJM n=193 evaluable</t>
  </si>
  <si>
    <t>35% response rate. mOS 16 months.</t>
  </si>
  <si>
    <t>Thrombocytopenia, fatigue, neuropathy, neutropenia.</t>
  </si>
  <si>
    <t>Market</t>
  </si>
  <si>
    <t>15,000 new cases of multiple myeloma annually. 10,000 deaths.</t>
  </si>
  <si>
    <t>Velcade, fka PS-341</t>
  </si>
  <si>
    <t>TAK-700</t>
  </si>
  <si>
    <t>Uloric (febuxostat)</t>
  </si>
  <si>
    <t>II WW, III Japan</t>
  </si>
  <si>
    <t>HRPC</t>
  </si>
  <si>
    <t>Glovenin-I</t>
  </si>
  <si>
    <t>Mepact (mifamurtide)</t>
  </si>
  <si>
    <t>Osteosarcoma</t>
  </si>
  <si>
    <t>EU 09</t>
  </si>
  <si>
    <t>Filed JP</t>
  </si>
  <si>
    <t>Vectibix (panitumumab)</t>
  </si>
  <si>
    <t>SNT-MC17 (idebenone)</t>
  </si>
  <si>
    <t>Friedreich's Ataxia</t>
  </si>
  <si>
    <t>Santhera</t>
  </si>
  <si>
    <t>AMG706 (motesanib)</t>
  </si>
  <si>
    <t>UC/Crohn's</t>
  </si>
  <si>
    <t>a4b7 integrin</t>
  </si>
  <si>
    <t>ATL-692 (cetilistat)</t>
  </si>
  <si>
    <t>Obesity</t>
  </si>
  <si>
    <t>Norgine</t>
  </si>
  <si>
    <t>lipase inhibitor</t>
  </si>
  <si>
    <t>TAK-442</t>
  </si>
  <si>
    <t>Thromboembolism</t>
  </si>
  <si>
    <t>Factor Xa</t>
  </si>
  <si>
    <t>TAK-085</t>
  </si>
  <si>
    <t>Hypertriglyceridemia</t>
  </si>
  <si>
    <t>Pronova</t>
  </si>
  <si>
    <t>EPA/DHA</t>
  </si>
  <si>
    <t>SYR-472</t>
  </si>
  <si>
    <t>II</t>
  </si>
  <si>
    <t>MLN0518</t>
  </si>
  <si>
    <t>Glioblastoma</t>
  </si>
  <si>
    <t>FLT3</t>
  </si>
  <si>
    <t>NHL</t>
  </si>
  <si>
    <t>Aurora</t>
  </si>
  <si>
    <t>Lu AA24530</t>
  </si>
  <si>
    <t>CBP501</t>
  </si>
  <si>
    <t>NSCLC</t>
  </si>
  <si>
    <t>CanBas</t>
  </si>
  <si>
    <t>Androgen inhibitor</t>
  </si>
  <si>
    <t>TAK-875</t>
  </si>
  <si>
    <t>AMG665 (conatumumab)</t>
  </si>
  <si>
    <t>I</t>
  </si>
  <si>
    <t>DR5</t>
  </si>
  <si>
    <t>AMG386</t>
  </si>
  <si>
    <t>AMG479</t>
  </si>
  <si>
    <t>Angiopoietin</t>
  </si>
  <si>
    <t>IGF</t>
  </si>
  <si>
    <t>TAK-100</t>
  </si>
  <si>
    <t>TAK-329</t>
  </si>
  <si>
    <t>Glucokinase</t>
  </si>
  <si>
    <t>TAK-591</t>
  </si>
  <si>
    <t>TAK-683</t>
  </si>
  <si>
    <t>TAK-448</t>
  </si>
  <si>
    <t>Metastin analog</t>
  </si>
  <si>
    <t>TAK-285</t>
  </si>
  <si>
    <t>HER2</t>
  </si>
  <si>
    <t>Operating Expenses</t>
  </si>
  <si>
    <t>TAK-438</t>
  </si>
  <si>
    <t>MMR Vaccine</t>
  </si>
  <si>
    <t>Q210</t>
  </si>
  <si>
    <t>Q110</t>
  </si>
  <si>
    <t>Lupron/Leuplin</t>
  </si>
  <si>
    <t>Prostate Cancer</t>
  </si>
  <si>
    <t>EPS</t>
  </si>
  <si>
    <t>dexlansoprazole</t>
  </si>
  <si>
    <t>100%?</t>
  </si>
  <si>
    <t>Galantamine</t>
  </si>
  <si>
    <t>Alzheimer's</t>
  </si>
  <si>
    <t>JNJ</t>
  </si>
  <si>
    <t>NDA US</t>
  </si>
  <si>
    <t>Q310</t>
  </si>
  <si>
    <t>Q410</t>
  </si>
  <si>
    <t>2011, Wockhardt</t>
  </si>
  <si>
    <t>NCE</t>
  </si>
  <si>
    <t>Velcade</t>
  </si>
  <si>
    <t>Prevenar Japan</t>
  </si>
  <si>
    <t>Thyradin Japan</t>
  </si>
  <si>
    <t>Other Japan</t>
  </si>
  <si>
    <t>Other US</t>
  </si>
  <si>
    <t>Other Europe</t>
  </si>
  <si>
    <t>Other Asia</t>
  </si>
  <si>
    <t>Other Other</t>
  </si>
  <si>
    <t>Trueup</t>
  </si>
  <si>
    <t>Q409</t>
  </si>
  <si>
    <t>Q309</t>
  </si>
  <si>
    <t>Q209</t>
  </si>
  <si>
    <t>Q109</t>
  </si>
  <si>
    <t>Q108</t>
  </si>
  <si>
    <t>Q208</t>
  </si>
  <si>
    <t>Q308</t>
  </si>
  <si>
    <t>Q408</t>
  </si>
  <si>
    <t>NPV</t>
  </si>
  <si>
    <t>Share</t>
  </si>
  <si>
    <t>CFFO</t>
  </si>
  <si>
    <t>CapEx</t>
  </si>
  <si>
    <t>FCF</t>
  </si>
  <si>
    <t>TAK-379 failure</t>
  </si>
  <si>
    <t>Basen (voglibose)</t>
  </si>
  <si>
    <t>FY2010</t>
  </si>
  <si>
    <t>FY2011</t>
  </si>
  <si>
    <t>FY2012</t>
  </si>
  <si>
    <t>FY2013</t>
  </si>
  <si>
    <t>FY2014</t>
  </si>
  <si>
    <t>FY2015</t>
  </si>
  <si>
    <t>.</t>
  </si>
  <si>
    <t>Bladder cancer risk emerges 9/17/2010.</t>
  </si>
  <si>
    <t>Q407</t>
  </si>
  <si>
    <t>Q307</t>
  </si>
  <si>
    <t>Q207</t>
  </si>
  <si>
    <t>Q107</t>
  </si>
  <si>
    <t>Dexilant</t>
  </si>
  <si>
    <t>Dexilant, fka Kapidex, TAK-390MR</t>
  </si>
  <si>
    <t>Total Japan</t>
  </si>
  <si>
    <t>Total Europe</t>
  </si>
  <si>
    <t>Total Americas</t>
  </si>
  <si>
    <t>FY2009</t>
  </si>
  <si>
    <t>FY2008</t>
  </si>
  <si>
    <t>SG&amp;A %</t>
  </si>
  <si>
    <t>Maturity</t>
  </si>
  <si>
    <t>Discount</t>
  </si>
  <si>
    <t>193,300</t>
  </si>
  <si>
    <t>275,800</t>
  </si>
  <si>
    <t>453,000</t>
  </si>
  <si>
    <t>300,000</t>
  </si>
  <si>
    <t>ROIC</t>
  </si>
  <si>
    <t>Enbrel Japan</t>
  </si>
  <si>
    <t>Q111</t>
  </si>
  <si>
    <t>Q211</t>
  </si>
  <si>
    <t>Q311</t>
  </si>
  <si>
    <t>Q411</t>
  </si>
  <si>
    <t>tax</t>
  </si>
  <si>
    <t>DCCT - Diabetes Control and Complications Trial</t>
  </si>
  <si>
    <t>British Journal of Diabetes and Vascular Disease. 2004;4(1)</t>
  </si>
  <si>
    <t>n=1,441 T1D pts enrolled, n=726 within first five yrs of developing diabetes, n=715 within first fifteen yrs</t>
  </si>
  <si>
    <t>Follow-up was min 4 yrs w avg of 6.5 yrs</t>
  </si>
  <si>
    <t>Of 1,430 alive at end of study, 1,422 evaluable outcomes</t>
  </si>
  <si>
    <t>Results show that intensive tx delays onset &amp; slows progression of diabetic retinopathy, diabetic nephropathy &amp; diabetic neuropathy</t>
  </si>
  <si>
    <t>Macrovascular events (cardiac or peripheral vascular) were not significantly reduced. When episodes of both were combined, there was a 41% risk reduction (p=0.06).</t>
  </si>
  <si>
    <t>For intensive tx group, 3-fold risk of severe hypoglycaemia, incl 3x risk of coma or seizures, and weight gain.</t>
  </si>
  <si>
    <t>ADOPT - A Diabetes Outcome Progression Trial</t>
  </si>
  <si>
    <t>n=4,360 drug-naïve pts w T2D diagnosed w/in past 3 yrs randomized to rosiglitazone, glyburide or metformin, treated for 4-6 yrs</t>
  </si>
  <si>
    <t>edema and weight gain were common adverse events, along with CHF</t>
  </si>
  <si>
    <t>UKPDS - UK Prospective Diabetes Study</t>
  </si>
  <si>
    <t>n=5,102 newly diagnosed T2D pts, follow-up</t>
  </si>
  <si>
    <t>n=1,138 conventional tx (CT) initially w diet alone, then non-intensive tx</t>
  </si>
  <si>
    <t>n=2,729 intensive tx w sulphonylurea or insulin, on sulphonylurea add metformin/move to insulin tx, on insulin transfer to complex regimens</t>
  </si>
  <si>
    <t>diabetes-related death (MI/sudden death, fatal stroke, peripheral vasc disease, renal disease, hyper/hypoglycemia), p=0.34</t>
  </si>
  <si>
    <t>MI (cumulative) b/n intensive vs conventional p=0.052</t>
  </si>
  <si>
    <t xml:space="preserve">Intensive tx was better than conventional therapy on all endpoints except stroke, where RR = 1.1 and p=0.52 </t>
  </si>
  <si>
    <t>no evidence of deleterious effect on MI, sudden death or diabetes-related death</t>
  </si>
  <si>
    <t>no evidence for more atheroma-related disease</t>
  </si>
  <si>
    <t>metformin in overweight pts compared w conventional tx statistically significantly reduced all-cause mortality by 36% (p=0.011) and MI by 39% (p=0.01)</t>
  </si>
  <si>
    <t>PROactive - Prospective Pioglitazone Clinical Trial in Macrovascular Events</t>
  </si>
  <si>
    <t>n=5.238 T2D w history of macrovascular disease</t>
  </si>
  <si>
    <t>Primary endpoint was combination of 7 different macrovascular events of varying clinical important (what were these?)</t>
  </si>
  <si>
    <t>The primary endpoint was reduced by 10% but was not statistically significant (p=0.095). The principal secondary endpoint of life-threatening events showed a reduced risk of MI, strokes and death by 16% (p=0.027)</t>
  </si>
  <si>
    <t>Lipid profile improved: HDL increased by 9% more than placebo (p&lt;0.001) and reduced TG by 13% more than placebo (p&lt;0.001)</t>
  </si>
  <si>
    <t>Side effects incl weight gain, edema, non-serious hypoglycemia and heart failure.</t>
  </si>
  <si>
    <t>MLN 9708</t>
  </si>
  <si>
    <t>Proteasome</t>
  </si>
  <si>
    <t>GPR40</t>
  </si>
  <si>
    <t>Lu AA21004 (vortioxetine)</t>
  </si>
  <si>
    <t>HL</t>
  </si>
  <si>
    <t>SGEN</t>
  </si>
  <si>
    <t>Filed</t>
  </si>
  <si>
    <t>May 2011: Announces Nycomed acquisition.</t>
  </si>
  <si>
    <t>ABT</t>
  </si>
  <si>
    <t>PFE/AMGN</t>
  </si>
  <si>
    <t>90%, FURX 10%</t>
  </si>
  <si>
    <t>Adcetris (brentuximab vedotin)</t>
  </si>
  <si>
    <t>May 2011: Actos bladder cancer risk.</t>
  </si>
  <si>
    <t>ferumoxytol</t>
  </si>
  <si>
    <t>AMAG</t>
  </si>
  <si>
    <t>MLN8237</t>
  </si>
  <si>
    <t>Price JPY</t>
  </si>
  <si>
    <t>Price USD</t>
  </si>
  <si>
    <t>Q222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</si>
  <si>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</si>
  <si>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</si>
  <si>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</si>
  <si>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</si>
  <si>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</si>
  <si>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</si>
  <si>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</si>
  <si>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</si>
  <si>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</si>
  <si>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</si>
  <si>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</si>
  <si>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</si>
  <si>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</si>
  <si>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</si>
  <si>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</si>
  <si>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</si>
  <si>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</si>
  <si>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</si>
  <si>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</si>
  <si>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</si>
  <si>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</si>
  <si>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</si>
  <si>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</si>
  <si>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</si>
  <si>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</si>
  <si>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</si>
  <si>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</si>
  <si>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</si>
  <si>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</si>
  <si>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</si>
  <si>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</si>
  <si>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</si>
  <si>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</si>
  <si>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</si>
  <si>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</si>
  <si>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</si>
  <si>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</si>
  <si>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</si>
  <si>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</si>
  <si>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</si>
  <si>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</si>
  <si>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</si>
  <si>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</si>
  <si>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Entyvio</t>
  </si>
  <si>
    <t>Q123</t>
  </si>
  <si>
    <t>Q223</t>
  </si>
  <si>
    <t>Q323</t>
  </si>
  <si>
    <t>Q423</t>
  </si>
  <si>
    <t>Takecab (vonoprazan)</t>
  </si>
  <si>
    <t>K-channel ant</t>
  </si>
  <si>
    <t>Gattex</t>
  </si>
  <si>
    <t>Takecab</t>
  </si>
  <si>
    <t>Pantoloc/Controloc</t>
  </si>
  <si>
    <t>Lialda/Mezavant</t>
  </si>
  <si>
    <t>Pentasa</t>
  </si>
  <si>
    <t>Resolor/Motegrity</t>
  </si>
  <si>
    <t>Alofisel</t>
  </si>
  <si>
    <t>Other GI</t>
  </si>
  <si>
    <t>Advate</t>
  </si>
  <si>
    <t>Adynovate/Adynovi</t>
  </si>
  <si>
    <t>Feiba</t>
  </si>
  <si>
    <t>Recombinate</t>
  </si>
  <si>
    <t>Hemofil/Immunate/Immunine</t>
  </si>
  <si>
    <t>Other PDT</t>
  </si>
  <si>
    <t>Other Rare Heme</t>
  </si>
  <si>
    <t>Takhzyro</t>
  </si>
  <si>
    <t>Elaprase</t>
  </si>
  <si>
    <t>Replagal</t>
  </si>
  <si>
    <t>Vpriv</t>
  </si>
  <si>
    <t>Firazyr</t>
  </si>
  <si>
    <t>Cinryze</t>
  </si>
  <si>
    <t>Livtencity</t>
  </si>
  <si>
    <t>Other Rare Genetics</t>
  </si>
  <si>
    <t>IVIG</t>
  </si>
  <si>
    <t>Albumin</t>
  </si>
  <si>
    <t>Other PDT Immunology</t>
  </si>
  <si>
    <t>Ninlaro</t>
  </si>
  <si>
    <t>Adcetris</t>
  </si>
  <si>
    <t>Iclusig</t>
  </si>
  <si>
    <t>Vectibix</t>
  </si>
  <si>
    <t>Alunbrig</t>
  </si>
  <si>
    <t>Zejula</t>
  </si>
  <si>
    <t>Cabometyx</t>
  </si>
  <si>
    <t>Exkivity</t>
  </si>
  <si>
    <t>Other Oncology</t>
  </si>
  <si>
    <t>Vyvanse/Elvanse</t>
  </si>
  <si>
    <t>Trintellix</t>
  </si>
  <si>
    <t>Intuniv</t>
  </si>
  <si>
    <t>Adderall XR</t>
  </si>
  <si>
    <t>Other CNS</t>
  </si>
  <si>
    <t>Azilva</t>
  </si>
  <si>
    <t>Lotriga</t>
  </si>
  <si>
    <t>Fosrenol</t>
  </si>
  <si>
    <t>Actovegin</t>
  </si>
  <si>
    <t>Brand</t>
  </si>
  <si>
    <t>Generic</t>
  </si>
  <si>
    <t>vedolizumab</t>
  </si>
  <si>
    <t>Crohn's</t>
  </si>
  <si>
    <t>Entyvio (vedolizumab)</t>
  </si>
  <si>
    <t>Entyvio, fka MLN0002</t>
  </si>
  <si>
    <t>Nesina, Vipidia SYR-322</t>
  </si>
  <si>
    <t>Nesina (alogliptin)</t>
  </si>
  <si>
    <t>Rozerem (ramelteon, fka TAK-375)</t>
  </si>
  <si>
    <t>Edarbi (TAK-491 (azilsartan))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</si>
</sst>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1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" fontId="0" fillId="2" borderId="0" xfId="0" applyNumberFormat="1" applyFill="1" applyAlignment="1">
      <alignment horizontal="center"/>
    </xf>
    <xf numFmtId="0" fontId="2" fillId="2" borderId="0" xfId="1" applyFill="1" applyAlignment="1" applyProtection="1"/>
    <xf numFmtId="3" fontId="0" fillId="2" borderId="0" xfId="0" applyNumberFormat="1" applyFill="1"/>
    <xf numFmtId="2" fontId="0" fillId="2" borderId="0" xfId="0" applyNumberFormat="1" applyFill="1"/>
    <xf numFmtId="0" fontId="4" fillId="2" borderId="0" xfId="0" applyFont="1" applyFill="1"/>
    <xf numFmtId="0" fontId="2" fillId="0" borderId="0" xfId="1" applyAlignment="1" applyProtection="1"/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2" fillId="2" borderId="4" xfId="1" applyFill="1" applyBorder="1" applyAlignment="1" applyProtection="1"/>
    <xf numFmtId="0" fontId="6" fillId="2" borderId="0" xfId="0" applyFont="1" applyFill="1"/>
    <xf numFmtId="16" fontId="0" fillId="2" borderId="0" xfId="0" applyNumberFormat="1" applyFill="1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/>
    <xf numFmtId="0" fontId="7" fillId="2" borderId="0" xfId="0" applyFont="1" applyFill="1" applyAlignment="1">
      <alignment horizontal="center"/>
    </xf>
    <xf numFmtId="0" fontId="7" fillId="0" borderId="0" xfId="0" applyFont="1"/>
    <xf numFmtId="0" fontId="6" fillId="0" borderId="0" xfId="0" applyFont="1"/>
    <xf numFmtId="0" fontId="7" fillId="2" borderId="7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quotePrefix="1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9" fontId="4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center"/>
    </xf>
    <xf numFmtId="17" fontId="4" fillId="2" borderId="0" xfId="0" applyNumberFormat="1" applyFont="1" applyFill="1" applyAlignment="1">
      <alignment horizontal="center"/>
    </xf>
    <xf numFmtId="4" fontId="0" fillId="2" borderId="0" xfId="0" applyNumberFormat="1" applyFill="1" applyAlignment="1">
      <alignment horizontal="right"/>
    </xf>
    <xf numFmtId="17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4" fontId="0" fillId="2" borderId="0" xfId="0" applyNumberFormat="1" applyFill="1"/>
    <xf numFmtId="9" fontId="7" fillId="2" borderId="0" xfId="0" applyNumberFormat="1" applyFont="1" applyFill="1" applyAlignment="1">
      <alignment horizontal="right"/>
    </xf>
    <xf numFmtId="3" fontId="7" fillId="2" borderId="0" xfId="0" quotePrefix="1" applyNumberFormat="1" applyFont="1" applyFill="1" applyAlignment="1">
      <alignment horizontal="right"/>
    </xf>
    <xf numFmtId="3" fontId="7" fillId="3" borderId="0" xfId="0" applyNumberFormat="1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2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/>
    <xf numFmtId="0" fontId="1" fillId="2" borderId="0" xfId="0" applyFont="1" applyFill="1"/>
    <xf numFmtId="0" fontId="1" fillId="2" borderId="4" xfId="0" applyFont="1" applyFill="1" applyBorder="1"/>
    <xf numFmtId="0" fontId="2" fillId="2" borderId="4" xfId="1" applyFont="1" applyFill="1" applyBorder="1" applyAlignment="1" applyProtection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95251</xdr:colOff>
      <xdr:row>1</xdr:row>
      <xdr:rowOff>66678</xdr:rowOff>
    </xdr:from>
    <xdr:to>
      <xdr:col>20</xdr:col>
      <xdr:colOff>95252</xdr:colOff>
      <xdr:row>126</xdr:row>
      <xdr:rowOff>66682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EB19AB4-9DC4-F253-061A-075655ED2FA9}"/>
            </a:ext>
          </a:extLst>
        </xdr:cNvPr>
        <xdr:cNvCxnSpPr/>
      </xdr:nvCxnSpPr>
      <xdr:spPr>
        <a:xfrm rot="16200000" flipH="1">
          <a:off x="6243637" y="6462717"/>
          <a:ext cx="12792079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19056</xdr:colOff>
      <xdr:row>1</xdr:row>
      <xdr:rowOff>38105</xdr:rowOff>
    </xdr:from>
    <xdr:to>
      <xdr:col>87</xdr:col>
      <xdr:colOff>19057</xdr:colOff>
      <xdr:row>126</xdr:row>
      <xdr:rowOff>38109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51E43EC-7A8F-6009-C1A4-B7909BA824B2}"/>
            </a:ext>
          </a:extLst>
        </xdr:cNvPr>
        <xdr:cNvCxnSpPr/>
      </xdr:nvCxnSpPr>
      <xdr:spPr>
        <a:xfrm rot="16200000" flipH="1">
          <a:off x="13373105" y="6353181"/>
          <a:ext cx="12630154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52552</xdr:colOff>
      <xdr:row>0</xdr:row>
      <xdr:rowOff>52552</xdr:rowOff>
    </xdr:from>
    <xdr:to>
      <xdr:col>75</xdr:col>
      <xdr:colOff>52552</xdr:colOff>
      <xdr:row>91</xdr:row>
      <xdr:rowOff>59121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0238593-3220-A924-BC2C-BE8A607881AE}"/>
            </a:ext>
          </a:extLst>
        </xdr:cNvPr>
        <xdr:cNvCxnSpPr/>
      </xdr:nvCxnSpPr>
      <xdr:spPr>
        <a:xfrm>
          <a:off x="41148000" y="52552"/>
          <a:ext cx="0" cy="7725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444499</xdr:colOff>
      <xdr:row>4</xdr:row>
      <xdr:rowOff>7938</xdr:rowOff>
    </xdr:from>
    <xdr:to>
      <xdr:col>19</xdr:col>
      <xdr:colOff>429254</xdr:colOff>
      <xdr:row>30</xdr:row>
      <xdr:rowOff>144461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285D2-A4CF-7F96-4C17-93EF68A58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3437" y="642938"/>
          <a:ext cx="4874255" cy="4264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="160" zoomScaleNormal="160" workbookViewId="0">
      <selection activeCell="B7" sqref="B7:E7"/>
    </sheetView>
  </sheetViews>
  <sheetFormatPr defaultRowHeight="12.75" x14ac:dyDescent="0.2"/>
  <cols>
    <col min="1" max="1" width="5" bestFit="1" customWidth="1"/>
  </cols>
  <sheetData>
    <row r="1" spans="1:6" x14ac:dyDescent="0.2">
      <c r="A1" t="s">
        <v>12</v>
      </c>
    </row>
    <row r="3" spans="1:6" x14ac:dyDescent="0.2">
      <c r="B3" s="5" t="s">
        <v>102</v>
      </c>
      <c r="C3" s="6" t="s">
        <v>75</v>
      </c>
      <c r="D3" s="7">
        <v>1</v>
      </c>
      <c r="E3" s="7" t="s">
        <v>76</v>
      </c>
    </row>
    <row r="4" spans="1:6" x14ac:dyDescent="0.2">
      <c r="B4" s="28" t="s">
        <v>168</v>
      </c>
      <c r="C4" s="29" t="s">
        <v>169</v>
      </c>
      <c r="D4" s="44" t="s">
        <v>170</v>
      </c>
      <c r="E4" s="7"/>
      <c r="F4" s="29" t="s">
        <v>73</v>
      </c>
    </row>
    <row r="5" spans="1:6" x14ac:dyDescent="0.2">
      <c r="B5" s="28" t="s">
        <v>171</v>
      </c>
      <c r="C5" s="6" t="s">
        <v>113</v>
      </c>
      <c r="D5" s="7" t="s">
        <v>112</v>
      </c>
      <c r="E5" s="7" t="s">
        <v>114</v>
      </c>
      <c r="F5" s="29" t="s">
        <v>73</v>
      </c>
    </row>
    <row r="6" spans="1:6" x14ac:dyDescent="0.2">
      <c r="B6" s="26" t="s">
        <v>254</v>
      </c>
    </row>
    <row r="7" spans="1:6" x14ac:dyDescent="0.2">
      <c r="B7" s="60" t="s">
        <v>35</v>
      </c>
      <c r="C7" s="6" t="s">
        <v>36</v>
      </c>
      <c r="D7" s="7"/>
      <c r="E7" s="7" t="s"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8" t="s">
        <v>12</v>
      </c>
    </row>
    <row r="2" spans="1:3" x14ac:dyDescent="0.2">
      <c r="B2" s="30" t="s">
        <v>13</v>
      </c>
      <c r="C2" s="30" t="s">
        <v>157</v>
      </c>
    </row>
    <row r="3" spans="1:3" x14ac:dyDescent="0.2">
      <c r="B3" s="30" t="s">
        <v>14</v>
      </c>
      <c r="C3" s="30" t="s">
        <v>146</v>
      </c>
    </row>
    <row r="4" spans="1:3" x14ac:dyDescent="0.2">
      <c r="B4" s="30" t="s">
        <v>149</v>
      </c>
      <c r="C4" s="30" t="s">
        <v>150</v>
      </c>
    </row>
    <row r="5" spans="1:3" x14ac:dyDescent="0.2">
      <c r="B5" s="30" t="s">
        <v>15</v>
      </c>
      <c r="C5" s="30" t="s">
        <v>151</v>
      </c>
    </row>
    <row r="6" spans="1:3" x14ac:dyDescent="0.2">
      <c r="B6" s="30" t="s">
        <v>147</v>
      </c>
      <c r="C6" s="30" t="s">
        <v>148</v>
      </c>
    </row>
    <row r="7" spans="1:3" x14ac:dyDescent="0.2">
      <c r="B7" s="30" t="s">
        <v>62</v>
      </c>
      <c r="C7" s="30" t="s">
        <v>154</v>
      </c>
    </row>
    <row r="8" spans="1:3" x14ac:dyDescent="0.2">
      <c r="B8" s="30" t="s">
        <v>155</v>
      </c>
      <c r="C8" s="30" t="s">
        <v>156</v>
      </c>
    </row>
    <row r="9" spans="1:3" x14ac:dyDescent="0.2">
      <c r="B9" s="30" t="s">
        <v>137</v>
      </c>
      <c r="C9" s="30"/>
    </row>
    <row r="11" spans="1:3" x14ac:dyDescent="0.2">
      <c r="C11" s="31" t="s">
        <v>152</v>
      </c>
    </row>
    <row r="12" spans="1:3" x14ac:dyDescent="0.2">
      <c r="C12" s="30" t="s">
        <v>153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8" t="s">
        <v>12</v>
      </c>
    </row>
    <row r="2" spans="1:3" x14ac:dyDescent="0.2">
      <c r="B2" t="s">
        <v>13</v>
      </c>
      <c r="C2" t="s">
        <v>20</v>
      </c>
    </row>
    <row r="3" spans="1:3" x14ac:dyDescent="0.2">
      <c r="B3" t="s">
        <v>14</v>
      </c>
    </row>
    <row r="4" spans="1:3" x14ac:dyDescent="0.2">
      <c r="B4" t="s">
        <v>62</v>
      </c>
      <c r="C4" t="s">
        <v>263</v>
      </c>
    </row>
    <row r="5" spans="1:3" x14ac:dyDescent="0.2">
      <c r="A5" t="s">
        <v>262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33"/>
  <sheetViews>
    <sheetView workbookViewId="0">
      <selection activeCell="A2" sqref="A2"/>
    </sheetView>
  </sheetViews>
  <sheetFormatPr defaultRowHeight="12.75" x14ac:dyDescent="0.2"/>
  <sheetData>
    <row r="3" spans="2:2" x14ac:dyDescent="0.2">
      <c r="B3" s="31" t="s">
        <v>289</v>
      </c>
    </row>
    <row r="4" spans="2:2" x14ac:dyDescent="0.2">
      <c r="B4" t="s">
        <v>290</v>
      </c>
    </row>
    <row r="5" spans="2:2" x14ac:dyDescent="0.2">
      <c r="B5" s="30" t="s">
        <v>291</v>
      </c>
    </row>
    <row r="6" spans="2:2" x14ac:dyDescent="0.2">
      <c r="B6" s="30" t="s">
        <v>292</v>
      </c>
    </row>
    <row r="7" spans="2:2" x14ac:dyDescent="0.2">
      <c r="B7" s="30" t="s">
        <v>293</v>
      </c>
    </row>
    <row r="8" spans="2:2" x14ac:dyDescent="0.2">
      <c r="B8" s="30" t="s">
        <v>294</v>
      </c>
    </row>
    <row r="9" spans="2:2" x14ac:dyDescent="0.2">
      <c r="B9" s="30" t="s">
        <v>296</v>
      </c>
    </row>
    <row r="10" spans="2:2" x14ac:dyDescent="0.2">
      <c r="B10" s="30" t="s">
        <v>295</v>
      </c>
    </row>
    <row r="12" spans="2:2" x14ac:dyDescent="0.2">
      <c r="B12" s="31" t="s">
        <v>300</v>
      </c>
    </row>
    <row r="13" spans="2:2" x14ac:dyDescent="0.2">
      <c r="B13" s="30" t="s">
        <v>301</v>
      </c>
    </row>
    <row r="14" spans="2:2" x14ac:dyDescent="0.2">
      <c r="B14" s="30" t="s">
        <v>302</v>
      </c>
    </row>
    <row r="15" spans="2:2" x14ac:dyDescent="0.2">
      <c r="B15" s="30" t="s">
        <v>303</v>
      </c>
    </row>
    <row r="16" spans="2:2" x14ac:dyDescent="0.2">
      <c r="B16" s="30" t="s">
        <v>304</v>
      </c>
    </row>
    <row r="17" spans="2:2" x14ac:dyDescent="0.2">
      <c r="B17" s="30" t="s">
        <v>305</v>
      </c>
    </row>
    <row r="18" spans="2:2" x14ac:dyDescent="0.2">
      <c r="B18" s="30" t="s">
        <v>306</v>
      </c>
    </row>
    <row r="19" spans="2:2" x14ac:dyDescent="0.2">
      <c r="B19" s="30" t="s">
        <v>307</v>
      </c>
    </row>
    <row r="20" spans="2:2" x14ac:dyDescent="0.2">
      <c r="B20" s="30" t="s">
        <v>308</v>
      </c>
    </row>
    <row r="21" spans="2:2" x14ac:dyDescent="0.2">
      <c r="B21" s="30" t="s">
        <v>309</v>
      </c>
    </row>
    <row r="23" spans="2:2" x14ac:dyDescent="0.2">
      <c r="B23" s="31" t="s">
        <v>297</v>
      </c>
    </row>
    <row r="24" spans="2:2" x14ac:dyDescent="0.2">
      <c r="B24" s="30" t="s">
        <v>298</v>
      </c>
    </row>
    <row r="25" spans="2:2" x14ac:dyDescent="0.2">
      <c r="B25" s="30" t="s">
        <v>299</v>
      </c>
    </row>
    <row r="28" spans="2:2" x14ac:dyDescent="0.2">
      <c r="B28" s="31" t="s">
        <v>310</v>
      </c>
    </row>
    <row r="29" spans="2:2" x14ac:dyDescent="0.2">
      <c r="B29" s="30" t="s">
        <v>311</v>
      </c>
    </row>
    <row r="30" spans="2:2" x14ac:dyDescent="0.2">
      <c r="B30" s="30" t="s">
        <v>312</v>
      </c>
    </row>
    <row r="31" spans="2:2" x14ac:dyDescent="0.2">
      <c r="B31" s="30" t="s">
        <v>313</v>
      </c>
    </row>
    <row r="32" spans="2:2" x14ac:dyDescent="0.2">
      <c r="B32" s="30" t="s">
        <v>314</v>
      </c>
    </row>
    <row r="33" spans="2:2" x14ac:dyDescent="0.2">
      <c r="B33" s="30" t="s">
        <v>315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abSelected="1" zoomScale="130" zoomScaleNormal="130" workbookViewId="0">
      <selection activeCell="C14" sqref="C14"/>
    </sheetView>
  </sheetViews>
  <sheetFormatPr defaultRowHeight="12.75" x14ac:dyDescent="0.2"/>
  <cols>
    <col min="1" max="1" width="3.140625" style="1" customWidth="1"/>
    <col min="2" max="2" width="27.5703125" style="1" customWidth="1"/>
    <col min="3" max="3" width="17.7109375" style="1" customWidth="1"/>
    <col min="4" max="5" width="17.42578125" style="1" customWidth="1"/>
    <col min="6" max="6" width="8.5703125" style="1" bestFit="1" customWidth="1"/>
    <col min="7" max="7" width="17.140625" style="1" customWidth="1"/>
    <col min="8" max="8" width="19.28515625" style="1" bestFit="1" customWidth="1"/>
    <col min="9" max="9" width="4.7109375" style="1" customWidth="1"/>
    <col min="10" max="10" width="9.28515625" style="1" customWidth="1"/>
    <col min="11" max="11" width="10.28515625" style="1" customWidth="1"/>
    <col min="12" max="12" width="7.42578125" style="1" customWidth="1"/>
    <col min="13" max="16384" width="9.140625" style="1"/>
  </cols>
  <sheetData>
    <row r="2" spans="2:12" x14ac:dyDescent="0.2">
      <c r="B2" s="2" t="s">
        <v>0</v>
      </c>
      <c r="C2" s="3" t="s">
        <v>1</v>
      </c>
      <c r="D2" s="3" t="s">
        <v>2</v>
      </c>
      <c r="E2" s="3" t="s">
        <v>33</v>
      </c>
      <c r="F2" s="3" t="s">
        <v>27</v>
      </c>
      <c r="G2" s="3" t="s">
        <v>7</v>
      </c>
      <c r="H2" s="4" t="s">
        <v>3</v>
      </c>
      <c r="J2" s="1" t="s">
        <v>333</v>
      </c>
      <c r="K2" s="50">
        <v>13.4</v>
      </c>
    </row>
    <row r="3" spans="2:12" x14ac:dyDescent="0.2">
      <c r="B3" s="23" t="s">
        <v>6</v>
      </c>
      <c r="C3" s="6" t="s">
        <v>4</v>
      </c>
      <c r="D3" s="7">
        <v>1</v>
      </c>
      <c r="E3" s="7" t="s">
        <v>51</v>
      </c>
      <c r="F3" s="6"/>
      <c r="G3" s="13">
        <v>40118</v>
      </c>
      <c r="H3" s="8" t="s">
        <v>8</v>
      </c>
      <c r="J3" s="1" t="s">
        <v>332</v>
      </c>
      <c r="K3" s="15">
        <v>3842</v>
      </c>
    </row>
    <row r="4" spans="2:12" x14ac:dyDescent="0.2">
      <c r="B4" s="5" t="s">
        <v>83</v>
      </c>
      <c r="C4" s="6" t="s">
        <v>49</v>
      </c>
      <c r="D4" s="7">
        <v>1</v>
      </c>
      <c r="E4" s="7" t="s">
        <v>74</v>
      </c>
      <c r="F4" s="6">
        <v>1999</v>
      </c>
      <c r="G4" s="6"/>
      <c r="H4" s="8"/>
      <c r="J4" s="1" t="s">
        <v>56</v>
      </c>
      <c r="K4" s="15">
        <v>1550.9924860000001</v>
      </c>
      <c r="L4" s="57" t="s">
        <v>377</v>
      </c>
    </row>
    <row r="5" spans="2:12" x14ac:dyDescent="0.2">
      <c r="B5" s="28" t="s">
        <v>144</v>
      </c>
      <c r="C5" s="29" t="s">
        <v>145</v>
      </c>
      <c r="D5" s="44" t="s">
        <v>226</v>
      </c>
      <c r="E5" s="7"/>
      <c r="F5" s="6"/>
      <c r="G5" s="6"/>
      <c r="H5" s="8"/>
      <c r="J5" s="1" t="s">
        <v>57</v>
      </c>
      <c r="K5" s="15">
        <f>K3*K4</f>
        <v>5958913.1312120007</v>
      </c>
    </row>
    <row r="6" spans="2:12" x14ac:dyDescent="0.2">
      <c r="B6" s="28" t="s">
        <v>159</v>
      </c>
      <c r="C6" s="29" t="s">
        <v>124</v>
      </c>
      <c r="D6" s="7" t="s">
        <v>223</v>
      </c>
      <c r="E6" s="7"/>
      <c r="F6" s="6"/>
      <c r="G6" s="6"/>
      <c r="H6" s="8"/>
      <c r="J6" s="1" t="s">
        <v>58</v>
      </c>
      <c r="K6" s="15">
        <f>645991+18543+284516+97091</f>
        <v>1046141</v>
      </c>
      <c r="L6" s="27" t="s">
        <v>334</v>
      </c>
    </row>
    <row r="7" spans="2:12" x14ac:dyDescent="0.2">
      <c r="B7" s="28" t="s">
        <v>163</v>
      </c>
      <c r="C7" s="29" t="s">
        <v>164</v>
      </c>
      <c r="D7" s="7">
        <v>1</v>
      </c>
      <c r="E7" s="7"/>
      <c r="F7" s="29" t="s">
        <v>165</v>
      </c>
      <c r="G7" s="6"/>
      <c r="H7" s="8"/>
      <c r="J7" s="1" t="s">
        <v>59</v>
      </c>
      <c r="K7" s="15">
        <f>4320357+281897+508863</f>
        <v>5111117</v>
      </c>
      <c r="L7" s="27" t="s">
        <v>334</v>
      </c>
    </row>
    <row r="8" spans="2:12" x14ac:dyDescent="0.2">
      <c r="B8" s="23" t="s">
        <v>25</v>
      </c>
      <c r="C8" s="6" t="s">
        <v>26</v>
      </c>
      <c r="D8" s="7" t="s">
        <v>28</v>
      </c>
      <c r="E8" s="7" t="s">
        <v>52</v>
      </c>
      <c r="F8" s="6">
        <v>1999</v>
      </c>
      <c r="G8" s="29" t="s">
        <v>230</v>
      </c>
      <c r="H8" s="8" t="s">
        <v>29</v>
      </c>
      <c r="J8" s="1" t="s">
        <v>60</v>
      </c>
      <c r="K8" s="15">
        <f>K5-K6+K7</f>
        <v>10023889.131212</v>
      </c>
    </row>
    <row r="9" spans="2:12" x14ac:dyDescent="0.2">
      <c r="B9" s="23" t="s">
        <v>219</v>
      </c>
      <c r="C9" s="6" t="s">
        <v>220</v>
      </c>
      <c r="D9" s="44" t="s">
        <v>324</v>
      </c>
      <c r="E9" s="7" t="s">
        <v>50</v>
      </c>
      <c r="F9" s="6"/>
      <c r="G9" s="6"/>
      <c r="H9" s="8" t="s">
        <v>30</v>
      </c>
      <c r="K9" s="50"/>
    </row>
    <row r="10" spans="2:12" x14ac:dyDescent="0.2">
      <c r="B10" s="28" t="s">
        <v>255</v>
      </c>
      <c r="C10" s="29" t="s">
        <v>26</v>
      </c>
      <c r="D10" s="7">
        <v>1</v>
      </c>
      <c r="E10" s="7"/>
      <c r="F10" s="6"/>
      <c r="G10" s="6"/>
      <c r="H10" s="8"/>
    </row>
    <row r="11" spans="2:12" x14ac:dyDescent="0.2">
      <c r="B11" s="28" t="s">
        <v>383</v>
      </c>
      <c r="C11" s="29"/>
      <c r="D11" s="7"/>
      <c r="E11" s="7" t="s">
        <v>384</v>
      </c>
      <c r="F11" s="6"/>
      <c r="G11" s="6"/>
      <c r="H11" s="8"/>
    </row>
    <row r="12" spans="2:12" x14ac:dyDescent="0.2">
      <c r="B12" s="23" t="s">
        <v>433</v>
      </c>
      <c r="C12" s="29" t="s">
        <v>172</v>
      </c>
      <c r="D12" s="44">
        <v>1</v>
      </c>
      <c r="E12" s="44" t="s">
        <v>173</v>
      </c>
      <c r="F12" s="29"/>
      <c r="G12" s="6"/>
      <c r="H12" s="8"/>
    </row>
    <row r="13" spans="2:12" x14ac:dyDescent="0.2">
      <c r="B13" s="28" t="s">
        <v>327</v>
      </c>
      <c r="C13" s="29" t="s">
        <v>320</v>
      </c>
      <c r="D13" s="44" t="s">
        <v>321</v>
      </c>
      <c r="E13" s="44"/>
      <c r="F13" s="29" t="s">
        <v>322</v>
      </c>
      <c r="G13" s="6"/>
      <c r="H13" s="8"/>
    </row>
    <row r="14" spans="2:12" x14ac:dyDescent="0.2">
      <c r="B14" s="5" t="s">
        <v>23</v>
      </c>
      <c r="C14" s="6" t="s">
        <v>24</v>
      </c>
      <c r="D14" s="44" t="s">
        <v>325</v>
      </c>
      <c r="E14" s="7" t="s">
        <v>53</v>
      </c>
      <c r="F14" s="6"/>
      <c r="G14" s="6"/>
      <c r="H14" s="8"/>
    </row>
    <row r="15" spans="2:12" x14ac:dyDescent="0.2">
      <c r="B15" s="23" t="s">
        <v>268</v>
      </c>
      <c r="C15" s="62" t="s">
        <v>4</v>
      </c>
      <c r="D15" s="63">
        <v>1</v>
      </c>
      <c r="E15" s="63" t="s">
        <v>51</v>
      </c>
      <c r="F15" s="64">
        <v>39814</v>
      </c>
      <c r="G15" s="6"/>
      <c r="H15" s="8"/>
      <c r="K15" s="16"/>
    </row>
    <row r="16" spans="2:12" x14ac:dyDescent="0.2">
      <c r="B16" s="60" t="s">
        <v>167</v>
      </c>
      <c r="C16" s="20"/>
      <c r="D16" s="44" t="s">
        <v>112</v>
      </c>
      <c r="E16" s="21"/>
      <c r="F16" s="45"/>
      <c r="G16" s="6"/>
      <c r="H16" s="8"/>
      <c r="K16" s="16"/>
    </row>
    <row r="17" spans="2:11" x14ac:dyDescent="0.2">
      <c r="B17" s="60" t="s">
        <v>437</v>
      </c>
      <c r="C17" s="6" t="s">
        <v>31</v>
      </c>
      <c r="D17" s="7">
        <v>1</v>
      </c>
      <c r="E17" s="7"/>
      <c r="F17" s="29" t="s">
        <v>166</v>
      </c>
      <c r="G17" s="6"/>
      <c r="H17" s="8"/>
    </row>
    <row r="18" spans="2:11" x14ac:dyDescent="0.2">
      <c r="B18" s="61" t="s">
        <v>436</v>
      </c>
      <c r="C18" s="62" t="s">
        <v>26</v>
      </c>
      <c r="D18" s="63" t="s">
        <v>326</v>
      </c>
      <c r="E18" s="63" t="s">
        <v>79</v>
      </c>
      <c r="F18" s="20"/>
      <c r="G18" s="6"/>
      <c r="H18" s="8"/>
      <c r="K18" s="15"/>
    </row>
    <row r="19" spans="2:11" x14ac:dyDescent="0.2">
      <c r="B19" s="60" t="s">
        <v>438</v>
      </c>
      <c r="C19" s="6" t="s">
        <v>49</v>
      </c>
      <c r="D19" s="7">
        <v>1</v>
      </c>
      <c r="E19" s="7" t="s">
        <v>74</v>
      </c>
      <c r="F19" s="29" t="s">
        <v>227</v>
      </c>
      <c r="G19" s="6" t="s">
        <v>231</v>
      </c>
      <c r="H19" s="8"/>
    </row>
    <row r="20" spans="2:11" x14ac:dyDescent="0.2">
      <c r="B20" s="5" t="s">
        <v>104</v>
      </c>
      <c r="C20" s="6" t="s">
        <v>31</v>
      </c>
      <c r="D20" s="7">
        <v>1</v>
      </c>
      <c r="E20" s="7" t="s">
        <v>34</v>
      </c>
      <c r="F20" s="6"/>
      <c r="G20" s="6"/>
      <c r="H20" s="8" t="s">
        <v>32</v>
      </c>
      <c r="K20" s="15"/>
    </row>
    <row r="21" spans="2:11" x14ac:dyDescent="0.2">
      <c r="B21" s="2"/>
      <c r="C21" s="3"/>
      <c r="D21" s="3"/>
      <c r="E21" s="3"/>
      <c r="F21" s="3" t="s">
        <v>5</v>
      </c>
      <c r="G21" s="3"/>
      <c r="H21" s="4"/>
      <c r="K21" s="15"/>
    </row>
    <row r="22" spans="2:11" x14ac:dyDescent="0.2">
      <c r="B22" s="5" t="s">
        <v>9</v>
      </c>
      <c r="C22" s="6" t="s">
        <v>10</v>
      </c>
      <c r="D22" s="7" t="s">
        <v>72</v>
      </c>
      <c r="E22" s="7" t="s">
        <v>77</v>
      </c>
      <c r="F22" s="6" t="s">
        <v>106</v>
      </c>
      <c r="G22" s="6"/>
      <c r="H22" s="8"/>
      <c r="J22" s="1" t="s">
        <v>22</v>
      </c>
    </row>
    <row r="23" spans="2:11" x14ac:dyDescent="0.2">
      <c r="B23" s="28" t="s">
        <v>319</v>
      </c>
      <c r="C23" s="29" t="s">
        <v>95</v>
      </c>
      <c r="D23" s="44" t="s">
        <v>96</v>
      </c>
      <c r="E23" s="44" t="s">
        <v>97</v>
      </c>
      <c r="F23" s="29" t="s">
        <v>73</v>
      </c>
      <c r="G23" s="6"/>
      <c r="H23" s="8"/>
    </row>
    <row r="24" spans="2:11" x14ac:dyDescent="0.2">
      <c r="B24" s="28" t="s">
        <v>329</v>
      </c>
      <c r="C24" s="29" t="s">
        <v>10</v>
      </c>
      <c r="D24" s="44" t="s">
        <v>330</v>
      </c>
      <c r="E24" s="44"/>
      <c r="F24" s="29" t="s">
        <v>73</v>
      </c>
      <c r="G24" s="6"/>
      <c r="H24" s="8"/>
    </row>
    <row r="25" spans="2:11" x14ac:dyDescent="0.2">
      <c r="B25" s="28" t="s">
        <v>224</v>
      </c>
      <c r="C25" s="29" t="s">
        <v>225</v>
      </c>
      <c r="D25" s="44" t="s">
        <v>226</v>
      </c>
      <c r="E25" s="44"/>
      <c r="F25" s="29" t="s">
        <v>73</v>
      </c>
      <c r="G25" s="6"/>
      <c r="H25" s="8"/>
    </row>
    <row r="26" spans="2:11" x14ac:dyDescent="0.2">
      <c r="B26" s="5" t="s">
        <v>81</v>
      </c>
      <c r="C26" s="6" t="s">
        <v>82</v>
      </c>
      <c r="D26" s="7"/>
      <c r="E26" s="7"/>
      <c r="F26" s="6" t="s">
        <v>108</v>
      </c>
      <c r="G26" s="6"/>
      <c r="H26" s="8"/>
    </row>
    <row r="27" spans="2:11" x14ac:dyDescent="0.2">
      <c r="B27" s="28" t="s">
        <v>174</v>
      </c>
      <c r="C27" s="29" t="s">
        <v>175</v>
      </c>
      <c r="D27" s="44" t="s">
        <v>176</v>
      </c>
      <c r="E27" s="44" t="s">
        <v>177</v>
      </c>
      <c r="F27" s="29" t="s">
        <v>105</v>
      </c>
      <c r="G27" s="6"/>
      <c r="H27" s="8"/>
    </row>
    <row r="28" spans="2:11" x14ac:dyDescent="0.2">
      <c r="B28" s="5" t="s">
        <v>38</v>
      </c>
      <c r="C28" s="6" t="s">
        <v>39</v>
      </c>
      <c r="D28" s="7"/>
      <c r="E28" s="7" t="s">
        <v>40</v>
      </c>
      <c r="F28" s="6"/>
      <c r="G28" s="6"/>
      <c r="H28" s="8"/>
    </row>
    <row r="29" spans="2:11" x14ac:dyDescent="0.2">
      <c r="B29" s="5" t="s">
        <v>41</v>
      </c>
      <c r="C29" s="6" t="s">
        <v>42</v>
      </c>
      <c r="D29" s="7"/>
      <c r="E29" s="7" t="s">
        <v>43</v>
      </c>
      <c r="F29" s="6"/>
      <c r="G29" s="6"/>
      <c r="H29" s="8"/>
    </row>
    <row r="30" spans="2:11" x14ac:dyDescent="0.2">
      <c r="B30" s="5" t="s">
        <v>123</v>
      </c>
      <c r="C30" s="6"/>
      <c r="D30" s="7"/>
      <c r="E30" s="7" t="s">
        <v>51</v>
      </c>
      <c r="F30" s="6"/>
      <c r="G30" s="6"/>
      <c r="H30" s="8"/>
    </row>
    <row r="31" spans="2:11" x14ac:dyDescent="0.2">
      <c r="B31" s="5" t="s">
        <v>44</v>
      </c>
      <c r="C31" s="6" t="s">
        <v>45</v>
      </c>
      <c r="D31" s="7">
        <v>1</v>
      </c>
      <c r="E31" s="7"/>
      <c r="F31" s="6" t="s">
        <v>107</v>
      </c>
      <c r="G31" s="6"/>
      <c r="H31" s="8"/>
    </row>
    <row r="32" spans="2:11" x14ac:dyDescent="0.2">
      <c r="B32" s="28" t="s">
        <v>178</v>
      </c>
      <c r="C32" s="29" t="s">
        <v>179</v>
      </c>
      <c r="D32" s="7">
        <v>1</v>
      </c>
      <c r="E32" s="44" t="s">
        <v>180</v>
      </c>
      <c r="F32" s="29" t="s">
        <v>107</v>
      </c>
      <c r="G32" s="6"/>
      <c r="H32" s="8"/>
    </row>
    <row r="33" spans="2:8" x14ac:dyDescent="0.2">
      <c r="B33" s="19" t="s">
        <v>46</v>
      </c>
      <c r="C33" s="20" t="s">
        <v>26</v>
      </c>
      <c r="D33" s="7"/>
      <c r="E33" s="7"/>
      <c r="F33" s="6"/>
      <c r="G33" s="6"/>
      <c r="H33" s="8"/>
    </row>
    <row r="34" spans="2:8" x14ac:dyDescent="0.2">
      <c r="B34" s="28" t="s">
        <v>181</v>
      </c>
      <c r="C34" s="29" t="s">
        <v>182</v>
      </c>
      <c r="D34" s="44" t="s">
        <v>183</v>
      </c>
      <c r="E34" s="44" t="s">
        <v>184</v>
      </c>
      <c r="F34" s="29" t="s">
        <v>103</v>
      </c>
      <c r="G34" s="6"/>
      <c r="H34" s="8"/>
    </row>
    <row r="35" spans="2:8" x14ac:dyDescent="0.2">
      <c r="B35" s="28" t="s">
        <v>185</v>
      </c>
      <c r="C35" s="29" t="s">
        <v>26</v>
      </c>
      <c r="D35" s="44">
        <v>1</v>
      </c>
      <c r="E35" s="44" t="s">
        <v>79</v>
      </c>
      <c r="F35" s="29" t="s">
        <v>186</v>
      </c>
      <c r="G35" s="6"/>
      <c r="H35" s="8"/>
    </row>
    <row r="36" spans="2:8" x14ac:dyDescent="0.2">
      <c r="B36" s="28" t="s">
        <v>158</v>
      </c>
      <c r="C36" s="29" t="s">
        <v>161</v>
      </c>
      <c r="D36" s="7">
        <v>1</v>
      </c>
      <c r="E36" s="44" t="s">
        <v>196</v>
      </c>
      <c r="F36" s="29" t="s">
        <v>186</v>
      </c>
      <c r="G36" s="6"/>
      <c r="H36" s="8"/>
    </row>
    <row r="37" spans="2:8" x14ac:dyDescent="0.2">
      <c r="B37" s="28" t="s">
        <v>187</v>
      </c>
      <c r="C37" s="29" t="s">
        <v>188</v>
      </c>
      <c r="D37" s="7">
        <v>1</v>
      </c>
      <c r="E37" s="44" t="s">
        <v>189</v>
      </c>
      <c r="F37" s="29" t="s">
        <v>186</v>
      </c>
      <c r="G37" s="6"/>
      <c r="H37" s="8"/>
    </row>
    <row r="38" spans="2:8" x14ac:dyDescent="0.2">
      <c r="B38" s="28" t="s">
        <v>192</v>
      </c>
      <c r="C38" s="29" t="s">
        <v>95</v>
      </c>
      <c r="D38" s="44" t="s">
        <v>96</v>
      </c>
      <c r="E38" s="44"/>
      <c r="F38" s="29" t="s">
        <v>186</v>
      </c>
      <c r="G38" s="6"/>
      <c r="H38" s="8"/>
    </row>
    <row r="39" spans="2:8" x14ac:dyDescent="0.2">
      <c r="B39" s="28" t="s">
        <v>316</v>
      </c>
      <c r="C39" s="29" t="s">
        <v>145</v>
      </c>
      <c r="D39" s="44">
        <v>1</v>
      </c>
      <c r="E39" s="44" t="s">
        <v>317</v>
      </c>
      <c r="F39" s="29" t="s">
        <v>186</v>
      </c>
      <c r="G39" s="6"/>
      <c r="H39" s="8"/>
    </row>
    <row r="40" spans="2:8" x14ac:dyDescent="0.2">
      <c r="B40" s="28" t="s">
        <v>331</v>
      </c>
      <c r="C40" s="29" t="s">
        <v>190</v>
      </c>
      <c r="D40" s="7">
        <v>1</v>
      </c>
      <c r="E40" s="44" t="s">
        <v>191</v>
      </c>
      <c r="F40" s="29" t="s">
        <v>186</v>
      </c>
      <c r="G40" s="6"/>
      <c r="H40" s="8"/>
    </row>
    <row r="41" spans="2:8" x14ac:dyDescent="0.2">
      <c r="B41" s="28" t="s">
        <v>193</v>
      </c>
      <c r="C41" s="29" t="s">
        <v>194</v>
      </c>
      <c r="D41" s="44" t="s">
        <v>195</v>
      </c>
      <c r="E41" s="44"/>
      <c r="F41" s="29" t="s">
        <v>186</v>
      </c>
      <c r="G41" s="6"/>
      <c r="H41" s="8"/>
    </row>
    <row r="42" spans="2:8" x14ac:dyDescent="0.2">
      <c r="B42" s="28" t="s">
        <v>198</v>
      </c>
      <c r="C42" s="29" t="s">
        <v>113</v>
      </c>
      <c r="D42" s="44" t="s">
        <v>112</v>
      </c>
      <c r="E42" s="44" t="s">
        <v>200</v>
      </c>
      <c r="F42" s="29" t="s">
        <v>199</v>
      </c>
      <c r="G42" s="6"/>
      <c r="H42" s="8"/>
    </row>
    <row r="43" spans="2:8" x14ac:dyDescent="0.2">
      <c r="B43" s="28" t="s">
        <v>201</v>
      </c>
      <c r="C43" s="29" t="s">
        <v>113</v>
      </c>
      <c r="D43" s="44" t="s">
        <v>112</v>
      </c>
      <c r="E43" s="44" t="s">
        <v>203</v>
      </c>
      <c r="F43" s="29" t="s">
        <v>199</v>
      </c>
      <c r="G43" s="6"/>
      <c r="H43" s="8"/>
    </row>
    <row r="44" spans="2:8" x14ac:dyDescent="0.2">
      <c r="B44" s="28" t="s">
        <v>202</v>
      </c>
      <c r="C44" s="29" t="s">
        <v>113</v>
      </c>
      <c r="D44" s="44" t="s">
        <v>112</v>
      </c>
      <c r="E44" s="44" t="s">
        <v>204</v>
      </c>
      <c r="F44" s="29" t="s">
        <v>199</v>
      </c>
      <c r="G44" s="6"/>
      <c r="H44" s="8"/>
    </row>
    <row r="45" spans="2:8" x14ac:dyDescent="0.2">
      <c r="B45" s="28" t="s">
        <v>215</v>
      </c>
      <c r="C45" s="29" t="s">
        <v>42</v>
      </c>
      <c r="D45" s="44">
        <v>1</v>
      </c>
      <c r="E45" s="44"/>
      <c r="F45" s="29" t="s">
        <v>186</v>
      </c>
      <c r="G45" s="6"/>
      <c r="H45" s="8"/>
    </row>
    <row r="46" spans="2:8" x14ac:dyDescent="0.2">
      <c r="B46" s="28" t="s">
        <v>205</v>
      </c>
      <c r="C46" s="29" t="s">
        <v>26</v>
      </c>
      <c r="D46" s="44">
        <v>1</v>
      </c>
      <c r="E46" s="44" t="s">
        <v>79</v>
      </c>
      <c r="F46" s="29" t="s">
        <v>199</v>
      </c>
      <c r="G46" s="6"/>
      <c r="H46" s="8"/>
    </row>
    <row r="47" spans="2:8" x14ac:dyDescent="0.2">
      <c r="B47" s="28" t="s">
        <v>206</v>
      </c>
      <c r="C47" s="29" t="s">
        <v>207</v>
      </c>
      <c r="D47" s="44">
        <v>1</v>
      </c>
      <c r="E47" s="44" t="s">
        <v>79</v>
      </c>
      <c r="F47" s="29" t="s">
        <v>199</v>
      </c>
      <c r="G47" s="6"/>
      <c r="H47" s="8"/>
    </row>
    <row r="48" spans="2:8" x14ac:dyDescent="0.2">
      <c r="B48" s="28" t="s">
        <v>197</v>
      </c>
      <c r="C48" s="29" t="s">
        <v>26</v>
      </c>
      <c r="D48" s="44">
        <v>1</v>
      </c>
      <c r="E48" s="44" t="s">
        <v>318</v>
      </c>
      <c r="F48" s="29" t="s">
        <v>186</v>
      </c>
      <c r="G48" s="6"/>
      <c r="H48" s="8"/>
    </row>
    <row r="49" spans="2:8" x14ac:dyDescent="0.2">
      <c r="B49" s="5" t="s">
        <v>109</v>
      </c>
      <c r="C49" s="6" t="s">
        <v>110</v>
      </c>
      <c r="D49" s="7">
        <v>1</v>
      </c>
      <c r="E49" s="7"/>
      <c r="F49" s="6" t="s">
        <v>107</v>
      </c>
      <c r="G49" s="6"/>
      <c r="H49" s="8" t="s">
        <v>111</v>
      </c>
    </row>
    <row r="50" spans="2:8" x14ac:dyDescent="0.2">
      <c r="B50" s="28" t="s">
        <v>208</v>
      </c>
      <c r="C50" s="29" t="s">
        <v>49</v>
      </c>
      <c r="D50" s="7">
        <v>1</v>
      </c>
      <c r="E50" s="44" t="s">
        <v>74</v>
      </c>
      <c r="F50" s="29" t="s">
        <v>199</v>
      </c>
      <c r="G50" s="6"/>
      <c r="H50" s="8"/>
    </row>
    <row r="51" spans="2:8" x14ac:dyDescent="0.2">
      <c r="B51" s="28" t="s">
        <v>209</v>
      </c>
      <c r="C51" s="29" t="s">
        <v>161</v>
      </c>
      <c r="D51" s="7">
        <v>1</v>
      </c>
      <c r="E51" s="44" t="s">
        <v>211</v>
      </c>
      <c r="F51" s="29" t="s">
        <v>199</v>
      </c>
      <c r="G51" s="6"/>
      <c r="H51" s="8"/>
    </row>
    <row r="52" spans="2:8" x14ac:dyDescent="0.2">
      <c r="B52" s="28" t="s">
        <v>210</v>
      </c>
      <c r="C52" s="29" t="s">
        <v>161</v>
      </c>
      <c r="D52" s="7">
        <v>1</v>
      </c>
      <c r="E52" s="44" t="s">
        <v>211</v>
      </c>
      <c r="F52" s="29" t="s">
        <v>199</v>
      </c>
      <c r="G52" s="6"/>
      <c r="H52" s="8"/>
    </row>
    <row r="53" spans="2:8" x14ac:dyDescent="0.2">
      <c r="B53" s="28" t="s">
        <v>212</v>
      </c>
      <c r="C53" s="29" t="s">
        <v>113</v>
      </c>
      <c r="D53" s="7">
        <v>1</v>
      </c>
      <c r="E53" s="44" t="s">
        <v>213</v>
      </c>
      <c r="F53" s="29" t="s">
        <v>199</v>
      </c>
      <c r="G53" s="6"/>
      <c r="H53" s="8"/>
    </row>
    <row r="54" spans="2:8" x14ac:dyDescent="0.2">
      <c r="B54" s="5" t="s">
        <v>47</v>
      </c>
      <c r="C54" s="6" t="s">
        <v>48</v>
      </c>
      <c r="D54" s="7"/>
      <c r="E54" s="7"/>
      <c r="F54" s="6"/>
      <c r="G54" s="6"/>
      <c r="H54" s="8"/>
    </row>
    <row r="55" spans="2:8" x14ac:dyDescent="0.2">
      <c r="B55" s="9" t="s">
        <v>80</v>
      </c>
      <c r="C55" s="10" t="s">
        <v>49</v>
      </c>
      <c r="D55" s="11"/>
      <c r="E55" s="11" t="s">
        <v>74</v>
      </c>
      <c r="F55" s="32" t="s">
        <v>160</v>
      </c>
      <c r="G55" s="10"/>
      <c r="H55" s="12"/>
    </row>
    <row r="57" spans="2:8" x14ac:dyDescent="0.2">
      <c r="F57" s="22" t="s">
        <v>93</v>
      </c>
    </row>
    <row r="58" spans="2:8" x14ac:dyDescent="0.2">
      <c r="F58" s="22" t="s">
        <v>94</v>
      </c>
    </row>
    <row r="59" spans="2:8" x14ac:dyDescent="0.2">
      <c r="F59" s="22" t="s">
        <v>323</v>
      </c>
    </row>
    <row r="60" spans="2:8" x14ac:dyDescent="0.2">
      <c r="F60" s="22" t="s">
        <v>328</v>
      </c>
    </row>
  </sheetData>
  <phoneticPr fontId="3" type="noConversion"/>
  <hyperlinks>
    <hyperlink ref="B18" location="'SYR-322'!A1" display="SYR-322 (alogliptin)" xr:uid="{00000000-0004-0000-0100-000000000000}"/>
    <hyperlink ref="B3" location="Prevacid!A1" display="Prevacid/Takepron" xr:uid="{00000000-0004-0000-0100-000001000000}"/>
    <hyperlink ref="B9" location="Lupron!A1" display="Lupron" xr:uid="{00000000-0004-0000-0100-000002000000}"/>
    <hyperlink ref="B15" location="Dexilant!A1" display="Dexilant" xr:uid="{00000000-0004-0000-0100-000003000000}"/>
    <hyperlink ref="B8" location="Actos!A1" display="Actos (pioglitazone)" xr:uid="{00000000-0004-0000-0100-000004000000}"/>
    <hyperlink ref="B12" location="Entyvio!A1" display="Entyvio (vedolizumab)" xr:uid="{4312F393-35EC-42C0-89D6-61F7C56533A1}"/>
  </hyperlinks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T130"/>
  <sheetViews>
    <sheetView zoomScale="145" zoomScaleNormal="145" workbookViewId="0">
      <pane xSplit="2" ySplit="3" topLeftCell="BM4" activePane="bottomRight" state="frozen"/>
      <selection pane="topRight" activeCell="C1" sqref="C1"/>
      <selection pane="bottomLeft" activeCell="A5" sqref="A5"/>
      <selection pane="bottomRight" activeCell="BX4" sqref="BX4"/>
    </sheetView>
  </sheetViews>
  <sheetFormatPr defaultRowHeight="12.75" x14ac:dyDescent="0.2"/>
  <cols>
    <col min="1" max="1" width="5" style="1" bestFit="1" customWidth="1"/>
    <col min="2" max="2" width="18.5703125" style="1" customWidth="1"/>
    <col min="3" max="41" width="9.140625" style="33"/>
    <col min="42" max="49" width="8.85546875" style="33" hidden="1" customWidth="1"/>
    <col min="50" max="68" width="8.85546875" style="33" customWidth="1"/>
    <col min="69" max="77" width="9.5703125" style="33" customWidth="1"/>
    <col min="78" max="93" width="8.85546875" style="33" customWidth="1"/>
    <col min="94" max="94" width="9.5703125" style="33" customWidth="1"/>
    <col min="95" max="16384" width="9.140625" style="1"/>
  </cols>
  <sheetData>
    <row r="1" spans="1:94" x14ac:dyDescent="0.2">
      <c r="A1" s="14" t="s">
        <v>12</v>
      </c>
    </row>
    <row r="2" spans="1:94" x14ac:dyDescent="0.2">
      <c r="F2" s="33" t="s">
        <v>267</v>
      </c>
      <c r="G2" s="33" t="s">
        <v>266</v>
      </c>
      <c r="H2" s="33" t="s">
        <v>265</v>
      </c>
      <c r="I2" s="33" t="s">
        <v>264</v>
      </c>
      <c r="J2" s="33" t="s">
        <v>245</v>
      </c>
      <c r="K2" s="33" t="s">
        <v>246</v>
      </c>
      <c r="L2" s="33" t="s">
        <v>247</v>
      </c>
      <c r="M2" s="33" t="s">
        <v>248</v>
      </c>
      <c r="N2" s="33" t="s">
        <v>244</v>
      </c>
      <c r="O2" s="33" t="s">
        <v>243</v>
      </c>
      <c r="P2" s="33" t="s">
        <v>242</v>
      </c>
      <c r="Q2" s="33" t="s">
        <v>241</v>
      </c>
      <c r="R2" s="33" t="s">
        <v>218</v>
      </c>
      <c r="S2" s="33" t="s">
        <v>217</v>
      </c>
      <c r="T2" s="33" t="s">
        <v>228</v>
      </c>
      <c r="U2" s="33" t="s">
        <v>229</v>
      </c>
      <c r="V2" s="33" t="s">
        <v>284</v>
      </c>
      <c r="W2" s="33" t="s">
        <v>285</v>
      </c>
      <c r="X2" s="33" t="s">
        <v>286</v>
      </c>
      <c r="Y2" s="33" t="s">
        <v>287</v>
      </c>
      <c r="Z2" s="33" t="s">
        <v>335</v>
      </c>
      <c r="AA2" s="33" t="s">
        <v>336</v>
      </c>
      <c r="AB2" s="33" t="s">
        <v>337</v>
      </c>
      <c r="AC2" s="33" t="s">
        <v>338</v>
      </c>
      <c r="AD2" s="33" t="s">
        <v>339</v>
      </c>
      <c r="AE2" s="33" t="s">
        <v>340</v>
      </c>
      <c r="AF2" s="33" t="s">
        <v>341</v>
      </c>
      <c r="AG2" s="33" t="s">
        <v>342</v>
      </c>
      <c r="AH2" s="33" t="s">
        <v>343</v>
      </c>
      <c r="AI2" s="33" t="s">
        <v>344</v>
      </c>
      <c r="AJ2" s="33" t="s">
        <v>345</v>
      </c>
      <c r="AK2" s="33" t="s">
        <v>346</v>
      </c>
      <c r="AL2" s="33" t="s">
        <v>347</v>
      </c>
      <c r="AM2" s="33" t="s">
        <v>348</v>
      </c>
      <c r="AN2" s="33" t="s">
        <v>349</v>
      </c>
      <c r="AO2" s="33" t="s">
        <v>350</v>
      </c>
      <c r="AX2" s="33" t="s">
        <v>351</v>
      </c>
      <c r="AY2" s="33" t="s">
        <v>352</v>
      </c>
      <c r="AZ2" s="33" t="s">
        <v>353</v>
      </c>
      <c r="BA2" s="33" t="s">
        <v>354</v>
      </c>
      <c r="BB2" s="33" t="s">
        <v>355</v>
      </c>
      <c r="BC2" s="33" t="s">
        <v>356</v>
      </c>
      <c r="BD2" s="33" t="s">
        <v>357</v>
      </c>
      <c r="BE2" s="33" t="s">
        <v>358</v>
      </c>
      <c r="BF2" s="33" t="s">
        <v>359</v>
      </c>
      <c r="BG2" s="33" t="s">
        <v>360</v>
      </c>
      <c r="BH2" s="33" t="s">
        <v>361</v>
      </c>
      <c r="BI2" s="33" t="s">
        <v>362</v>
      </c>
      <c r="BJ2" s="33" t="s">
        <v>363</v>
      </c>
      <c r="BK2" s="33" t="s">
        <v>364</v>
      </c>
      <c r="BL2" s="33" t="s">
        <v>365</v>
      </c>
      <c r="BM2" s="33" t="s">
        <v>366</v>
      </c>
      <c r="BN2" s="33" t="s">
        <v>367</v>
      </c>
      <c r="BO2" s="33" t="s">
        <v>368</v>
      </c>
      <c r="BP2" s="33" t="s">
        <v>369</v>
      </c>
      <c r="BQ2" s="33" t="s">
        <v>370</v>
      </c>
      <c r="BR2" s="33" t="s">
        <v>371</v>
      </c>
      <c r="BS2" s="33" t="s">
        <v>372</v>
      </c>
      <c r="BT2" s="33" t="s">
        <v>373</v>
      </c>
      <c r="BU2" s="33" t="s">
        <v>374</v>
      </c>
      <c r="BV2" s="33" t="s">
        <v>375</v>
      </c>
      <c r="BW2" s="33" t="s">
        <v>334</v>
      </c>
      <c r="BX2" s="33" t="s">
        <v>376</v>
      </c>
      <c r="BY2" s="33" t="s">
        <v>377</v>
      </c>
      <c r="BZ2" s="33" t="s">
        <v>379</v>
      </c>
      <c r="CA2" s="33" t="s">
        <v>380</v>
      </c>
      <c r="CB2" s="33" t="s">
        <v>381</v>
      </c>
      <c r="CC2" s="33" t="s">
        <v>382</v>
      </c>
      <c r="CH2" s="33" t="s">
        <v>274</v>
      </c>
      <c r="CI2" s="33" t="s">
        <v>273</v>
      </c>
      <c r="CJ2" s="27" t="s">
        <v>256</v>
      </c>
      <c r="CK2" s="27" t="s">
        <v>257</v>
      </c>
      <c r="CL2" s="27" t="s">
        <v>258</v>
      </c>
      <c r="CM2" s="27" t="s">
        <v>259</v>
      </c>
      <c r="CN2" s="27" t="s">
        <v>260</v>
      </c>
      <c r="CO2" s="27" t="s">
        <v>261</v>
      </c>
    </row>
    <row r="3" spans="1:94" x14ac:dyDescent="0.2">
      <c r="C3" s="34">
        <v>38961</v>
      </c>
      <c r="D3" s="47">
        <v>39052</v>
      </c>
      <c r="E3" s="47">
        <v>39142</v>
      </c>
      <c r="F3" s="34">
        <v>39263</v>
      </c>
      <c r="G3" s="34">
        <v>39326</v>
      </c>
      <c r="H3" s="34">
        <v>39417</v>
      </c>
      <c r="I3" s="34">
        <v>39508</v>
      </c>
      <c r="J3" s="34">
        <v>39629</v>
      </c>
      <c r="K3" s="34">
        <v>39692</v>
      </c>
      <c r="L3" s="34">
        <v>39783</v>
      </c>
      <c r="M3" s="34">
        <v>39873</v>
      </c>
      <c r="N3" s="34">
        <v>39994</v>
      </c>
      <c r="O3" s="34">
        <v>40086</v>
      </c>
      <c r="P3" s="34">
        <v>40148</v>
      </c>
      <c r="Q3" s="34">
        <v>40238</v>
      </c>
      <c r="R3" s="34">
        <v>40330</v>
      </c>
      <c r="S3" s="34">
        <v>40451</v>
      </c>
      <c r="T3" s="34">
        <v>40513</v>
      </c>
      <c r="U3" s="34">
        <v>40633</v>
      </c>
      <c r="V3" s="34">
        <v>40705</v>
      </c>
      <c r="W3" s="34">
        <v>40797</v>
      </c>
      <c r="X3" s="34">
        <v>40888</v>
      </c>
      <c r="Y3" s="34">
        <v>40980</v>
      </c>
      <c r="Z3" s="34">
        <v>41090</v>
      </c>
      <c r="AA3" s="34">
        <v>41182</v>
      </c>
      <c r="AB3" s="34">
        <v>41274</v>
      </c>
      <c r="AC3" s="34">
        <v>41364</v>
      </c>
      <c r="AD3" s="34">
        <v>41455</v>
      </c>
      <c r="AE3" s="34">
        <v>41547</v>
      </c>
      <c r="AF3" s="34">
        <v>41639</v>
      </c>
      <c r="AG3" s="34">
        <v>41729</v>
      </c>
      <c r="AH3" s="34">
        <v>41820</v>
      </c>
      <c r="AI3" s="34">
        <v>41912</v>
      </c>
      <c r="AJ3" s="34">
        <v>42004</v>
      </c>
      <c r="AK3" s="34">
        <v>42094</v>
      </c>
      <c r="AL3" s="34">
        <v>42185</v>
      </c>
      <c r="AM3" s="34">
        <v>42277</v>
      </c>
      <c r="AN3" s="34">
        <v>42369</v>
      </c>
      <c r="AO3" s="34">
        <v>42460</v>
      </c>
      <c r="AP3" s="34">
        <v>36951</v>
      </c>
      <c r="AQ3" s="34">
        <v>37316</v>
      </c>
      <c r="AR3" s="34">
        <v>37681</v>
      </c>
      <c r="AS3" s="34">
        <v>38047</v>
      </c>
      <c r="AT3" s="34">
        <v>38412</v>
      </c>
      <c r="AU3" s="34">
        <v>38777</v>
      </c>
      <c r="AV3" s="34">
        <v>39142</v>
      </c>
      <c r="AW3" s="34">
        <v>39508</v>
      </c>
      <c r="AX3" s="34">
        <v>42551</v>
      </c>
      <c r="AY3" s="34">
        <v>42643</v>
      </c>
      <c r="AZ3" s="34">
        <v>42735</v>
      </c>
      <c r="BA3" s="34">
        <v>42825</v>
      </c>
      <c r="BB3" s="34">
        <v>42916</v>
      </c>
      <c r="BC3" s="34">
        <v>43008</v>
      </c>
      <c r="BD3" s="34">
        <v>43100</v>
      </c>
      <c r="BE3" s="34">
        <v>43190</v>
      </c>
      <c r="BF3" s="34">
        <v>43281</v>
      </c>
      <c r="BG3" s="34">
        <v>43373</v>
      </c>
      <c r="BH3" s="34">
        <v>43465</v>
      </c>
      <c r="BI3" s="34">
        <v>43555</v>
      </c>
      <c r="BJ3" s="34">
        <v>43646</v>
      </c>
      <c r="BK3" s="34">
        <v>43738</v>
      </c>
      <c r="BL3" s="34">
        <v>43830</v>
      </c>
      <c r="BM3" s="34">
        <v>43921</v>
      </c>
      <c r="BN3" s="34">
        <v>44012</v>
      </c>
      <c r="BO3" s="34">
        <v>44104</v>
      </c>
      <c r="BP3" s="34">
        <v>44196</v>
      </c>
      <c r="BQ3" s="34">
        <v>44286</v>
      </c>
      <c r="BR3" s="34">
        <v>44377</v>
      </c>
      <c r="BS3" s="34">
        <v>44469</v>
      </c>
      <c r="BT3" s="34">
        <v>44561</v>
      </c>
      <c r="BU3" s="34">
        <v>44651</v>
      </c>
      <c r="BV3" s="34">
        <v>44742</v>
      </c>
      <c r="BW3" s="34">
        <v>44834</v>
      </c>
      <c r="BX3" s="34">
        <v>44926</v>
      </c>
      <c r="BY3" s="34">
        <v>45016</v>
      </c>
      <c r="BZ3" s="34">
        <v>45107</v>
      </c>
      <c r="CA3" s="34">
        <v>45199</v>
      </c>
      <c r="CB3" s="34">
        <v>45291</v>
      </c>
      <c r="CC3" s="34">
        <v>45382</v>
      </c>
      <c r="CD3" s="34"/>
      <c r="CE3" s="34"/>
      <c r="CF3" s="34"/>
      <c r="CG3" s="34"/>
      <c r="CH3" s="34">
        <v>39873</v>
      </c>
      <c r="CI3" s="34">
        <v>40238</v>
      </c>
      <c r="CJ3" s="34">
        <v>40603</v>
      </c>
      <c r="CK3" s="34">
        <v>40969</v>
      </c>
      <c r="CL3" s="34">
        <v>41334</v>
      </c>
      <c r="CM3" s="34">
        <v>41699</v>
      </c>
      <c r="CN3" s="34">
        <v>42065</v>
      </c>
      <c r="CO3" s="34">
        <v>42432</v>
      </c>
    </row>
    <row r="4" spans="1:94" s="17" customFormat="1" x14ac:dyDescent="0.2">
      <c r="B4" s="17" t="s">
        <v>99</v>
      </c>
      <c r="C4" s="35">
        <f>64500-2000</f>
        <v>62500</v>
      </c>
      <c r="D4" s="36"/>
      <c r="E4" s="36"/>
      <c r="F4" s="35">
        <v>33800</v>
      </c>
      <c r="G4" s="35">
        <f>64500-F4</f>
        <v>30700</v>
      </c>
      <c r="H4" s="35">
        <f>95000-G4-F4</f>
        <v>30500</v>
      </c>
      <c r="I4" s="35"/>
      <c r="J4" s="35">
        <f t="shared" ref="J4:U4" si="0">SUM(J5:J8)</f>
        <v>32700</v>
      </c>
      <c r="K4" s="35">
        <f t="shared" si="0"/>
        <v>32300</v>
      </c>
      <c r="L4" s="35">
        <f t="shared" si="0"/>
        <v>32900</v>
      </c>
      <c r="M4" s="35">
        <f t="shared" si="0"/>
        <v>28200</v>
      </c>
      <c r="N4" s="35">
        <f t="shared" si="0"/>
        <v>30200</v>
      </c>
      <c r="O4" s="35">
        <f t="shared" si="0"/>
        <v>29100</v>
      </c>
      <c r="P4" s="35">
        <f t="shared" si="0"/>
        <v>33500</v>
      </c>
      <c r="Q4" s="35">
        <f t="shared" si="0"/>
        <v>29400</v>
      </c>
      <c r="R4" s="35">
        <f t="shared" si="0"/>
        <v>27900</v>
      </c>
      <c r="S4" s="35">
        <f t="shared" si="0"/>
        <v>28100</v>
      </c>
      <c r="T4" s="35">
        <f t="shared" si="0"/>
        <v>32200</v>
      </c>
      <c r="U4" s="35">
        <f t="shared" si="0"/>
        <v>29400</v>
      </c>
      <c r="V4" s="35">
        <f>SUM(V5:V8)</f>
        <v>27900</v>
      </c>
      <c r="W4" s="35">
        <f>SUM(W5:W8)</f>
        <v>28100</v>
      </c>
      <c r="X4" s="35">
        <f>SUM(X5:X8)</f>
        <v>32200</v>
      </c>
      <c r="Y4" s="35">
        <f>SUM(Y5:Y8)</f>
        <v>29400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6"/>
      <c r="AP4" s="35">
        <v>155</v>
      </c>
      <c r="AQ4" s="35">
        <v>180</v>
      </c>
      <c r="AR4" s="35">
        <v>194</v>
      </c>
      <c r="AS4" s="35">
        <v>181</v>
      </c>
      <c r="AT4" s="35"/>
      <c r="AU4" s="35">
        <f>AV4-5200</f>
        <v>122300</v>
      </c>
      <c r="AV4" s="35">
        <v>127500</v>
      </c>
      <c r="AW4" s="35">
        <f>AV4</f>
        <v>127500</v>
      </c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42">
        <v>26200</v>
      </c>
      <c r="BS4" s="42">
        <v>27600</v>
      </c>
      <c r="BT4" s="42">
        <v>28400</v>
      </c>
      <c r="BU4" s="42">
        <v>24200</v>
      </c>
      <c r="BV4" s="42">
        <v>28000</v>
      </c>
      <c r="BW4" s="42">
        <v>25700</v>
      </c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>
        <f>SUM(J4:M4)</f>
        <v>126100</v>
      </c>
      <c r="CI4" s="35">
        <f t="shared" ref="CI4:CI10" si="1">SUM(N4:Q4)</f>
        <v>122200</v>
      </c>
      <c r="CJ4" s="35">
        <f>SUM(R4:U4)</f>
        <v>117600</v>
      </c>
      <c r="CK4" s="35">
        <f>SUM(CK5:CK8)</f>
        <v>117600</v>
      </c>
      <c r="CL4" s="35">
        <f>CK4*0.9</f>
        <v>105840</v>
      </c>
      <c r="CM4" s="35">
        <f>CL4*0.9</f>
        <v>95256</v>
      </c>
      <c r="CN4" s="36"/>
      <c r="CO4" s="36"/>
      <c r="CP4" s="36"/>
    </row>
    <row r="5" spans="1:94" x14ac:dyDescent="0.2">
      <c r="B5" s="1" t="s">
        <v>125</v>
      </c>
      <c r="C5" s="37"/>
      <c r="F5" s="37">
        <v>17500</v>
      </c>
      <c r="G5" s="37">
        <f>33300-F5</f>
        <v>15800</v>
      </c>
      <c r="H5" s="37">
        <v>18900</v>
      </c>
      <c r="I5" s="37">
        <f>66400-H5-G5-F5</f>
        <v>14200</v>
      </c>
      <c r="J5" s="37">
        <v>16500</v>
      </c>
      <c r="K5" s="37">
        <f>32900-J5</f>
        <v>16400</v>
      </c>
      <c r="L5" s="42">
        <v>18400</v>
      </c>
      <c r="M5" s="37">
        <f>66300-L5-K5-J5</f>
        <v>15000</v>
      </c>
      <c r="N5" s="37">
        <v>16400</v>
      </c>
      <c r="O5" s="37">
        <f>33800-N5</f>
        <v>17400</v>
      </c>
      <c r="P5" s="37">
        <f>53000-O5-N5</f>
        <v>19200</v>
      </c>
      <c r="Q5" s="37">
        <f>67100-P5-O5-N5</f>
        <v>14100</v>
      </c>
      <c r="R5" s="37">
        <v>16200</v>
      </c>
      <c r="S5" s="37">
        <f>32600-R5</f>
        <v>16400</v>
      </c>
      <c r="T5" s="37">
        <v>18200</v>
      </c>
      <c r="U5" s="37">
        <f t="shared" ref="U5:Y8" si="2">Q5</f>
        <v>14100</v>
      </c>
      <c r="V5" s="37">
        <f t="shared" si="2"/>
        <v>16200</v>
      </c>
      <c r="W5" s="37">
        <f t="shared" si="2"/>
        <v>16400</v>
      </c>
      <c r="X5" s="37">
        <f t="shared" si="2"/>
        <v>18200</v>
      </c>
      <c r="Y5" s="37">
        <f t="shared" si="2"/>
        <v>14100</v>
      </c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P5" s="37"/>
      <c r="AQ5" s="37"/>
      <c r="AR5" s="37"/>
      <c r="AS5" s="37"/>
      <c r="AT5" s="37"/>
      <c r="AU5" s="37"/>
      <c r="AV5" s="37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>
        <f>SUM(J5:M5)</f>
        <v>66300</v>
      </c>
      <c r="CI5" s="42">
        <f t="shared" si="1"/>
        <v>67100</v>
      </c>
      <c r="CJ5" s="42">
        <f>SUM(R5:U5)</f>
        <v>64900</v>
      </c>
      <c r="CK5" s="37">
        <f>SUM(V5:Y5)</f>
        <v>64900</v>
      </c>
      <c r="CL5" s="37"/>
      <c r="CM5" s="37"/>
    </row>
    <row r="6" spans="1:94" x14ac:dyDescent="0.2">
      <c r="B6" s="1" t="s">
        <v>127</v>
      </c>
      <c r="C6" s="37"/>
      <c r="F6" s="37">
        <v>19100</v>
      </c>
      <c r="G6" s="37">
        <f>37300-F6</f>
        <v>18200</v>
      </c>
      <c r="H6" s="37">
        <v>19700</v>
      </c>
      <c r="I6" s="37"/>
      <c r="J6" s="37">
        <v>4400</v>
      </c>
      <c r="K6" s="37">
        <f>9700-J6</f>
        <v>5300</v>
      </c>
      <c r="L6" s="37">
        <v>3700</v>
      </c>
      <c r="M6" s="37">
        <f>17200-L6-K6-J6</f>
        <v>3800</v>
      </c>
      <c r="N6" s="37">
        <v>4000</v>
      </c>
      <c r="O6" s="37">
        <f>6700-N6</f>
        <v>2700</v>
      </c>
      <c r="P6" s="37">
        <f>10300-O6-N6</f>
        <v>3600</v>
      </c>
      <c r="Q6" s="37">
        <f>15800-P6-O6-N6</f>
        <v>5500</v>
      </c>
      <c r="R6" s="37">
        <v>2600</v>
      </c>
      <c r="S6" s="37">
        <f>5700-R6</f>
        <v>3100</v>
      </c>
      <c r="T6" s="37">
        <v>5000</v>
      </c>
      <c r="U6" s="37">
        <f t="shared" si="2"/>
        <v>5500</v>
      </c>
      <c r="V6" s="37">
        <f t="shared" si="2"/>
        <v>2600</v>
      </c>
      <c r="W6" s="37">
        <f t="shared" si="2"/>
        <v>3100</v>
      </c>
      <c r="X6" s="37">
        <f t="shared" si="2"/>
        <v>5000</v>
      </c>
      <c r="Y6" s="37">
        <f t="shared" si="2"/>
        <v>5500</v>
      </c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P6" s="37"/>
      <c r="AQ6" s="37"/>
      <c r="AR6" s="37"/>
      <c r="AS6" s="37"/>
      <c r="AT6" s="37"/>
      <c r="AU6" s="37"/>
      <c r="AV6" s="37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>
        <f>SUM(J6:M6)</f>
        <v>17200</v>
      </c>
      <c r="CI6" s="42">
        <f t="shared" si="1"/>
        <v>15800</v>
      </c>
      <c r="CJ6" s="42">
        <f>SUM(R6:U6)</f>
        <v>16200</v>
      </c>
      <c r="CK6" s="37">
        <f>SUM(V6:Y6)</f>
        <v>16200</v>
      </c>
      <c r="CL6" s="37"/>
      <c r="CM6" s="37"/>
    </row>
    <row r="7" spans="1:94" x14ac:dyDescent="0.2">
      <c r="B7" s="1" t="s">
        <v>128</v>
      </c>
      <c r="C7" s="37"/>
      <c r="F7" s="37">
        <v>9900</v>
      </c>
      <c r="G7" s="37">
        <f>20200-F7</f>
        <v>10300</v>
      </c>
      <c r="H7" s="37">
        <v>10200</v>
      </c>
      <c r="I7" s="37"/>
      <c r="J7" s="37">
        <v>11100</v>
      </c>
      <c r="K7" s="37">
        <f>21100-J7</f>
        <v>10000</v>
      </c>
      <c r="L7" s="37">
        <v>10000</v>
      </c>
      <c r="M7" s="37">
        <f>39800-L7-K7-J7</f>
        <v>8700</v>
      </c>
      <c r="N7" s="37">
        <v>9000</v>
      </c>
      <c r="O7" s="37">
        <f>17200-N7</f>
        <v>8200</v>
      </c>
      <c r="P7" s="37">
        <f>27100-O7-N7</f>
        <v>9900</v>
      </c>
      <c r="Q7" s="37">
        <f>36200-P7-O7-N7</f>
        <v>9100</v>
      </c>
      <c r="R7" s="37">
        <v>8000</v>
      </c>
      <c r="S7" s="37">
        <f>15500-R7</f>
        <v>7500</v>
      </c>
      <c r="T7" s="37">
        <v>7700</v>
      </c>
      <c r="U7" s="37">
        <f t="shared" si="2"/>
        <v>9100</v>
      </c>
      <c r="V7" s="37">
        <f t="shared" si="2"/>
        <v>8000</v>
      </c>
      <c r="W7" s="37">
        <f t="shared" si="2"/>
        <v>7500</v>
      </c>
      <c r="X7" s="37">
        <f t="shared" si="2"/>
        <v>7700</v>
      </c>
      <c r="Y7" s="37">
        <f t="shared" si="2"/>
        <v>9100</v>
      </c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P7" s="37"/>
      <c r="AQ7" s="37"/>
      <c r="AR7" s="37"/>
      <c r="AS7" s="37"/>
      <c r="AT7" s="37"/>
      <c r="AU7" s="37"/>
      <c r="AV7" s="37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>
        <f>SUM(J7:M7)</f>
        <v>39800</v>
      </c>
      <c r="CI7" s="42">
        <f t="shared" si="1"/>
        <v>36200</v>
      </c>
      <c r="CJ7" s="42">
        <f>SUM(R7:U7)</f>
        <v>32300</v>
      </c>
      <c r="CK7" s="37">
        <f>SUM(V7:Y7)</f>
        <v>32300</v>
      </c>
      <c r="CL7" s="37"/>
      <c r="CM7" s="37"/>
    </row>
    <row r="8" spans="1:94" x14ac:dyDescent="0.2">
      <c r="B8" s="1" t="s">
        <v>129</v>
      </c>
      <c r="C8" s="37"/>
      <c r="F8" s="37">
        <v>1000</v>
      </c>
      <c r="G8" s="37">
        <f>2000-F8</f>
        <v>1000</v>
      </c>
      <c r="H8" s="37">
        <v>900</v>
      </c>
      <c r="I8" s="37"/>
      <c r="J8" s="37">
        <v>700</v>
      </c>
      <c r="K8" s="37">
        <f>1300-J8</f>
        <v>600</v>
      </c>
      <c r="L8" s="37">
        <v>800</v>
      </c>
      <c r="M8" s="37">
        <f>2800-L8-K8-J8</f>
        <v>700</v>
      </c>
      <c r="N8" s="37">
        <v>800</v>
      </c>
      <c r="O8" s="37">
        <f>1600-N8</f>
        <v>800</v>
      </c>
      <c r="P8" s="37">
        <f>2400-O8-N8</f>
        <v>800</v>
      </c>
      <c r="Q8" s="37">
        <f>3100-P8-O8-N8</f>
        <v>700</v>
      </c>
      <c r="R8" s="37">
        <v>1100</v>
      </c>
      <c r="S8" s="37">
        <f>2200-R8</f>
        <v>1100</v>
      </c>
      <c r="T8" s="37">
        <v>1300</v>
      </c>
      <c r="U8" s="37">
        <f t="shared" si="2"/>
        <v>700</v>
      </c>
      <c r="V8" s="37">
        <f t="shared" si="2"/>
        <v>1100</v>
      </c>
      <c r="W8" s="37">
        <f t="shared" si="2"/>
        <v>1100</v>
      </c>
      <c r="X8" s="37">
        <f t="shared" si="2"/>
        <v>1300</v>
      </c>
      <c r="Y8" s="37">
        <f t="shared" si="2"/>
        <v>700</v>
      </c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P8" s="37"/>
      <c r="AQ8" s="37"/>
      <c r="AR8" s="37"/>
      <c r="AS8" s="37"/>
      <c r="AT8" s="37"/>
      <c r="AU8" s="37"/>
      <c r="AV8" s="37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>
        <f>SUM(J8:M8)</f>
        <v>2800</v>
      </c>
      <c r="CI8" s="42">
        <f t="shared" si="1"/>
        <v>3100</v>
      </c>
      <c r="CJ8" s="42">
        <f>SUM(R8:U8)</f>
        <v>4200</v>
      </c>
      <c r="CK8" s="37">
        <f>SUM(V8:Y8)</f>
        <v>4200</v>
      </c>
      <c r="CL8" s="37"/>
      <c r="CM8" s="37"/>
    </row>
    <row r="9" spans="1:94" s="22" customFormat="1" x14ac:dyDescent="0.2">
      <c r="B9" s="26" t="s">
        <v>268</v>
      </c>
      <c r="C9" s="38"/>
      <c r="D9" s="39"/>
      <c r="E9" s="39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42">
        <f>7700-R9</f>
        <v>7700</v>
      </c>
      <c r="T9" s="53">
        <v>7800</v>
      </c>
      <c r="U9" s="42">
        <v>8000</v>
      </c>
      <c r="V9" s="42">
        <f>U9</f>
        <v>8000</v>
      </c>
      <c r="W9" s="42">
        <f>V9</f>
        <v>8000</v>
      </c>
      <c r="X9" s="42">
        <f>W9</f>
        <v>8000</v>
      </c>
      <c r="Y9" s="42">
        <f>X9</f>
        <v>8000</v>
      </c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39"/>
      <c r="AP9" s="42">
        <v>0</v>
      </c>
      <c r="AQ9" s="42">
        <v>0</v>
      </c>
      <c r="AR9" s="42">
        <v>0</v>
      </c>
      <c r="AS9" s="42">
        <v>0</v>
      </c>
      <c r="AT9" s="42">
        <v>0</v>
      </c>
      <c r="AU9" s="42">
        <v>0</v>
      </c>
      <c r="AV9" s="42">
        <v>0</v>
      </c>
      <c r="AW9" s="42">
        <v>0</v>
      </c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>
        <v>10800</v>
      </c>
      <c r="BS9" s="42">
        <v>14900</v>
      </c>
      <c r="BT9" s="42">
        <v>14400</v>
      </c>
      <c r="BU9" s="42">
        <v>10600</v>
      </c>
      <c r="BV9" s="42">
        <v>22300</v>
      </c>
      <c r="BW9" s="42">
        <v>15700</v>
      </c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>
        <v>0</v>
      </c>
      <c r="CI9" s="42">
        <f t="shared" si="1"/>
        <v>0</v>
      </c>
      <c r="CJ9" s="42">
        <v>40000</v>
      </c>
      <c r="CK9" s="42">
        <f>SUM(V9:Y9)</f>
        <v>32000</v>
      </c>
      <c r="CL9" s="42">
        <v>60000</v>
      </c>
      <c r="CM9" s="42">
        <v>70000</v>
      </c>
      <c r="CN9" s="39"/>
      <c r="CO9" s="39"/>
      <c r="CP9" s="39"/>
    </row>
    <row r="10" spans="1:94" s="17" customFormat="1" x14ac:dyDescent="0.2">
      <c r="B10" s="17" t="s">
        <v>98</v>
      </c>
      <c r="C10" s="35">
        <f>77600-1000</f>
        <v>76600</v>
      </c>
      <c r="D10" s="36"/>
      <c r="E10" s="36"/>
      <c r="F10" s="35">
        <v>40800</v>
      </c>
      <c r="G10" s="35">
        <f>77600-F10</f>
        <v>36800</v>
      </c>
      <c r="H10" s="35">
        <f>113800-G10-F10</f>
        <v>36200</v>
      </c>
      <c r="I10" s="35"/>
      <c r="J10" s="35">
        <f t="shared" ref="J10:P10" si="3">SUM(J11:J14)</f>
        <v>72500</v>
      </c>
      <c r="K10" s="35">
        <f t="shared" si="3"/>
        <v>76600</v>
      </c>
      <c r="L10" s="35">
        <f t="shared" si="3"/>
        <v>75200</v>
      </c>
      <c r="M10" s="35">
        <f t="shared" si="3"/>
        <v>47000</v>
      </c>
      <c r="N10" s="35">
        <f t="shared" si="3"/>
        <v>70500</v>
      </c>
      <c r="O10" s="35">
        <f t="shared" si="3"/>
        <v>61500</v>
      </c>
      <c r="P10" s="35">
        <f t="shared" si="3"/>
        <v>48300</v>
      </c>
      <c r="Q10" s="35">
        <f>218100-P10-O10-N10</f>
        <v>37800</v>
      </c>
      <c r="R10" s="35">
        <f t="shared" ref="R10:Y10" si="4">SUM(R11:R14)</f>
        <v>38800</v>
      </c>
      <c r="S10" s="35">
        <f t="shared" si="4"/>
        <v>36400</v>
      </c>
      <c r="T10" s="54">
        <f t="shared" si="4"/>
        <v>30800</v>
      </c>
      <c r="U10" s="35">
        <f t="shared" si="4"/>
        <v>22190</v>
      </c>
      <c r="V10" s="35">
        <f t="shared" si="4"/>
        <v>23027.5</v>
      </c>
      <c r="W10" s="35">
        <f t="shared" si="4"/>
        <v>21428.125</v>
      </c>
      <c r="X10" s="35">
        <f t="shared" si="4"/>
        <v>23553.59375</v>
      </c>
      <c r="Y10" s="35">
        <f t="shared" si="4"/>
        <v>17452.6953125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6"/>
      <c r="AP10" s="35">
        <v>338</v>
      </c>
      <c r="AQ10" s="35">
        <v>421</v>
      </c>
      <c r="AR10" s="35">
        <v>471</v>
      </c>
      <c r="AS10" s="35">
        <v>459</v>
      </c>
      <c r="AT10" s="35"/>
      <c r="AU10" s="35">
        <f>AV10+9100</f>
        <v>159800</v>
      </c>
      <c r="AV10" s="35">
        <v>150700</v>
      </c>
      <c r="AW10" s="35">
        <v>125000</v>
      </c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>
        <f>SUM(J10:M10)</f>
        <v>271300</v>
      </c>
      <c r="CI10" s="35">
        <f t="shared" si="1"/>
        <v>218100</v>
      </c>
      <c r="CJ10" s="35">
        <f>SUM(CJ11:CJ14)</f>
        <v>128190</v>
      </c>
      <c r="CK10" s="35">
        <f>SUM(CK11:CK14)</f>
        <v>85461.9140625</v>
      </c>
      <c r="CL10" s="35">
        <f>CK10*0.5</f>
        <v>42730.95703125</v>
      </c>
      <c r="CM10" s="35">
        <f>CL10*0.5</f>
        <v>21365.478515625</v>
      </c>
      <c r="CN10" s="36"/>
      <c r="CO10" s="36"/>
      <c r="CP10" s="36"/>
    </row>
    <row r="11" spans="1:94" x14ac:dyDescent="0.2">
      <c r="B11" s="1" t="s">
        <v>125</v>
      </c>
      <c r="C11" s="37"/>
      <c r="F11" s="37">
        <v>16100</v>
      </c>
      <c r="G11" s="37">
        <f>31500-F11</f>
        <v>15400</v>
      </c>
      <c r="H11" s="37">
        <v>19000</v>
      </c>
      <c r="I11" s="37"/>
      <c r="J11" s="37">
        <v>17500</v>
      </c>
      <c r="K11" s="37">
        <f>34200-J11</f>
        <v>16700</v>
      </c>
      <c r="L11" s="37">
        <v>20200</v>
      </c>
      <c r="M11" s="37">
        <f>70700-L11-K11-J11</f>
        <v>16300</v>
      </c>
      <c r="N11" s="37">
        <v>18800</v>
      </c>
      <c r="O11" s="37">
        <f>37500-N11</f>
        <v>18700</v>
      </c>
      <c r="P11" s="37">
        <f>58900-O11-N11</f>
        <v>21400</v>
      </c>
      <c r="Q11" s="37">
        <f>74300-P11-O11-N11</f>
        <v>15400</v>
      </c>
      <c r="R11" s="37">
        <v>17200</v>
      </c>
      <c r="S11" s="37">
        <f>34100-R11</f>
        <v>16900</v>
      </c>
      <c r="T11" s="55">
        <v>20000</v>
      </c>
      <c r="U11" s="37">
        <f>Q11*0.95</f>
        <v>14630</v>
      </c>
      <c r="V11" s="37">
        <f>R11</f>
        <v>17200</v>
      </c>
      <c r="W11" s="37">
        <f>S11</f>
        <v>16900</v>
      </c>
      <c r="X11" s="37">
        <f>T11</f>
        <v>20000</v>
      </c>
      <c r="Y11" s="37">
        <f>U11</f>
        <v>14630</v>
      </c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>
        <f>SUM(R11:U11)</f>
        <v>68730</v>
      </c>
      <c r="CK11" s="37">
        <f>SUM(V11:Y11)</f>
        <v>68730</v>
      </c>
      <c r="CL11" s="37"/>
      <c r="CM11" s="37"/>
    </row>
    <row r="12" spans="1:94" x14ac:dyDescent="0.2">
      <c r="B12" s="1" t="s">
        <v>127</v>
      </c>
      <c r="C12" s="37"/>
      <c r="F12" s="37">
        <v>71000</v>
      </c>
      <c r="G12" s="37">
        <f>137800-F12</f>
        <v>66800</v>
      </c>
      <c r="H12" s="37">
        <v>62300</v>
      </c>
      <c r="I12" s="37"/>
      <c r="J12" s="37">
        <v>46200</v>
      </c>
      <c r="K12" s="37">
        <f>98600-J12</f>
        <v>52400</v>
      </c>
      <c r="L12" s="37">
        <v>49300</v>
      </c>
      <c r="M12" s="37">
        <f>173100-L12-K12-J12</f>
        <v>25200</v>
      </c>
      <c r="N12" s="37">
        <v>45000</v>
      </c>
      <c r="O12" s="37">
        <f>81900-N12</f>
        <v>36900</v>
      </c>
      <c r="P12" s="37">
        <f>102600-O12-N12</f>
        <v>20700</v>
      </c>
      <c r="Q12" s="37">
        <f>119000-P12-O12-N12</f>
        <v>16400</v>
      </c>
      <c r="R12" s="37">
        <v>16500</v>
      </c>
      <c r="S12" s="37">
        <f>31500-R12</f>
        <v>15000</v>
      </c>
      <c r="T12" s="55">
        <v>5700</v>
      </c>
      <c r="U12" s="37">
        <f>T12*0.7</f>
        <v>3989.9999999999995</v>
      </c>
      <c r="V12" s="37">
        <f t="shared" ref="V12:Y13" si="5">U12*0.75</f>
        <v>2992.4999999999995</v>
      </c>
      <c r="W12" s="37">
        <f t="shared" si="5"/>
        <v>2244.3749999999995</v>
      </c>
      <c r="X12" s="37">
        <f t="shared" si="5"/>
        <v>1683.2812499999995</v>
      </c>
      <c r="Y12" s="37">
        <f t="shared" si="5"/>
        <v>1262.4609374999995</v>
      </c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>
        <f>SUM(R12:U12)</f>
        <v>41190</v>
      </c>
      <c r="CK12" s="37">
        <f>SUM(V12:Y12)</f>
        <v>8182.6171874999982</v>
      </c>
      <c r="CL12" s="37"/>
      <c r="CM12" s="37"/>
    </row>
    <row r="13" spans="1:94" x14ac:dyDescent="0.2">
      <c r="B13" s="1" t="s">
        <v>128</v>
      </c>
      <c r="C13" s="37"/>
      <c r="F13" s="37">
        <v>10300</v>
      </c>
      <c r="G13" s="37">
        <f>19300-F13</f>
        <v>9000</v>
      </c>
      <c r="H13" s="37">
        <v>9400</v>
      </c>
      <c r="I13" s="37"/>
      <c r="J13" s="37">
        <v>8000</v>
      </c>
      <c r="K13" s="37">
        <f>14600-J13</f>
        <v>6600</v>
      </c>
      <c r="L13" s="37">
        <v>5000</v>
      </c>
      <c r="M13" s="37">
        <f>24300-L13-K13-J13</f>
        <v>4700</v>
      </c>
      <c r="N13" s="37">
        <v>5800</v>
      </c>
      <c r="O13" s="37">
        <f>10800-N13</f>
        <v>5000</v>
      </c>
      <c r="P13" s="37">
        <f>16000-O13-N13</f>
        <v>5200</v>
      </c>
      <c r="Q13" s="37">
        <f>21200-P13-O13-N13</f>
        <v>5200</v>
      </c>
      <c r="R13" s="37">
        <v>4200</v>
      </c>
      <c r="S13" s="37">
        <f>7800-R13</f>
        <v>3600</v>
      </c>
      <c r="T13" s="55">
        <v>4200</v>
      </c>
      <c r="U13" s="37">
        <f>T13*0.7</f>
        <v>2940</v>
      </c>
      <c r="V13" s="37">
        <f t="shared" si="5"/>
        <v>2205</v>
      </c>
      <c r="W13" s="37">
        <f t="shared" si="5"/>
        <v>1653.75</v>
      </c>
      <c r="X13" s="37">
        <f t="shared" si="5"/>
        <v>1240.3125</v>
      </c>
      <c r="Y13" s="37">
        <f t="shared" si="5"/>
        <v>930.234375</v>
      </c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>
        <f>SUM(R13:U13)</f>
        <v>14940</v>
      </c>
      <c r="CK13" s="37">
        <f>SUM(V13:Y13)</f>
        <v>6029.296875</v>
      </c>
      <c r="CL13" s="37"/>
      <c r="CM13" s="37"/>
    </row>
    <row r="14" spans="1:94" x14ac:dyDescent="0.2">
      <c r="B14" s="1" t="s">
        <v>129</v>
      </c>
      <c r="C14" s="37"/>
      <c r="F14" s="37">
        <v>1100</v>
      </c>
      <c r="G14" s="37">
        <f>2000-F14</f>
        <v>900</v>
      </c>
      <c r="H14" s="37">
        <v>1000</v>
      </c>
      <c r="I14" s="37"/>
      <c r="J14" s="37">
        <v>800</v>
      </c>
      <c r="K14" s="37">
        <f>1700-J14</f>
        <v>900</v>
      </c>
      <c r="L14" s="37">
        <v>700</v>
      </c>
      <c r="M14" s="37">
        <f>3200-L14-K14-J14</f>
        <v>800</v>
      </c>
      <c r="N14" s="37">
        <v>900</v>
      </c>
      <c r="O14" s="37">
        <f>1800-N14</f>
        <v>900</v>
      </c>
      <c r="P14" s="37">
        <f>2800-O14-N14</f>
        <v>1000</v>
      </c>
      <c r="Q14" s="37">
        <f>3700-P14-O14-N14</f>
        <v>900</v>
      </c>
      <c r="R14" s="37">
        <v>900</v>
      </c>
      <c r="S14" s="37">
        <f>1800-R14</f>
        <v>900</v>
      </c>
      <c r="T14" s="55">
        <v>900</v>
      </c>
      <c r="U14" s="37">
        <f>T14*0.7</f>
        <v>630</v>
      </c>
      <c r="V14" s="37">
        <f>U14</f>
        <v>630</v>
      </c>
      <c r="W14" s="37">
        <f>V14</f>
        <v>630</v>
      </c>
      <c r="X14" s="37">
        <f>W14</f>
        <v>630</v>
      </c>
      <c r="Y14" s="37">
        <f>X14</f>
        <v>630</v>
      </c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>
        <f>SUM(R14:U14)</f>
        <v>3330</v>
      </c>
      <c r="CK14" s="37">
        <f>SUM(V14:Y14)</f>
        <v>2520</v>
      </c>
      <c r="CL14" s="37"/>
      <c r="CM14" s="37"/>
    </row>
    <row r="15" spans="1:94" s="17" customFormat="1" x14ac:dyDescent="0.2">
      <c r="B15" s="17" t="s">
        <v>19</v>
      </c>
      <c r="C15" s="35">
        <f>112800-12300</f>
        <v>100500</v>
      </c>
      <c r="D15" s="36"/>
      <c r="E15" s="36"/>
      <c r="F15" s="35">
        <v>55400</v>
      </c>
      <c r="G15" s="35">
        <f>112800-F15</f>
        <v>57400</v>
      </c>
      <c r="H15" s="35">
        <f>173000-G15-F15</f>
        <v>60200</v>
      </c>
      <c r="I15" s="35"/>
      <c r="J15" s="35">
        <f t="shared" ref="J15:P15" si="6">J16+J17</f>
        <v>60000</v>
      </c>
      <c r="K15" s="35">
        <f t="shared" si="6"/>
        <v>59400</v>
      </c>
      <c r="L15" s="35">
        <f t="shared" si="6"/>
        <v>58500</v>
      </c>
      <c r="M15" s="35">
        <f t="shared" si="6"/>
        <v>52500</v>
      </c>
      <c r="N15" s="35">
        <f t="shared" si="6"/>
        <v>56700</v>
      </c>
      <c r="O15" s="35">
        <f t="shared" si="6"/>
        <v>55800</v>
      </c>
      <c r="P15" s="35">
        <f t="shared" si="6"/>
        <v>57700</v>
      </c>
      <c r="Q15" s="35">
        <f>222000-P15-O15-N15</f>
        <v>51800</v>
      </c>
      <c r="R15" s="35">
        <f>+R16+R17</f>
        <v>56500</v>
      </c>
      <c r="S15" s="35">
        <f>+S16+S17</f>
        <v>52500</v>
      </c>
      <c r="T15" s="35">
        <f>+T16+T17</f>
        <v>57600</v>
      </c>
      <c r="U15" s="35">
        <f>+U16+U17</f>
        <v>40310</v>
      </c>
      <c r="V15" s="35">
        <f>V16+V17</f>
        <v>34831</v>
      </c>
      <c r="W15" s="35">
        <f>W16+W17</f>
        <v>30189.5</v>
      </c>
      <c r="X15" s="35">
        <f>X16+X17</f>
        <v>26243.83</v>
      </c>
      <c r="Y15" s="35">
        <f>Y16+Y17</f>
        <v>22878.071000000004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6"/>
      <c r="AP15" s="35">
        <v>51000</v>
      </c>
      <c r="AQ15" s="35">
        <v>82000</v>
      </c>
      <c r="AR15" s="35">
        <v>106000</v>
      </c>
      <c r="AS15" s="35">
        <v>141300</v>
      </c>
      <c r="AT15" s="35">
        <v>152400</v>
      </c>
      <c r="AU15" s="35">
        <f>AV15-15300</f>
        <v>190900</v>
      </c>
      <c r="AV15" s="35">
        <v>206200</v>
      </c>
      <c r="AW15" s="35">
        <f>AV15*1.1</f>
        <v>226820.00000000003</v>
      </c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>
        <f>SUM(J15:M15)</f>
        <v>230400</v>
      </c>
      <c r="CI15" s="35">
        <f>SUM(N15:Q15)</f>
        <v>222000</v>
      </c>
      <c r="CJ15" s="35">
        <f>CJ16+CJ17</f>
        <v>206910</v>
      </c>
      <c r="CK15" s="35">
        <f>CK16+CK17</f>
        <v>114142.40100000001</v>
      </c>
      <c r="CL15" s="35">
        <f>CK15*0.5</f>
        <v>57071.200500000006</v>
      </c>
      <c r="CM15" s="35">
        <f>CL15*0.5</f>
        <v>28535.600250000003</v>
      </c>
      <c r="CN15" s="36"/>
      <c r="CO15" s="36"/>
      <c r="CP15" s="36"/>
    </row>
    <row r="16" spans="1:94" x14ac:dyDescent="0.2">
      <c r="B16" s="1" t="s">
        <v>125</v>
      </c>
      <c r="C16" s="37"/>
      <c r="F16" s="37">
        <v>36000</v>
      </c>
      <c r="G16" s="37">
        <f>68600-F16</f>
        <v>32600</v>
      </c>
      <c r="H16" s="37">
        <v>40200</v>
      </c>
      <c r="I16" s="37"/>
      <c r="J16" s="37">
        <v>34700</v>
      </c>
      <c r="K16" s="37">
        <f>67600-J16</f>
        <v>32900</v>
      </c>
      <c r="L16" s="37">
        <v>38100</v>
      </c>
      <c r="M16" s="37">
        <f>137900-L16-K16-J16</f>
        <v>32200</v>
      </c>
      <c r="N16" s="37">
        <v>34200</v>
      </c>
      <c r="O16" s="37">
        <f>68400-N16</f>
        <v>34200</v>
      </c>
      <c r="P16" s="37">
        <f>107500-O16-N16</f>
        <v>39100</v>
      </c>
      <c r="Q16" s="37">
        <f>136200-P16-O16-N16</f>
        <v>28700</v>
      </c>
      <c r="R16" s="37">
        <v>34600</v>
      </c>
      <c r="S16" s="37">
        <f>67700-R16</f>
        <v>33100</v>
      </c>
      <c r="T16" s="37">
        <v>39500</v>
      </c>
      <c r="U16" s="37">
        <f>Q16*0.9</f>
        <v>25830</v>
      </c>
      <c r="V16" s="37">
        <f>U16*0.9</f>
        <v>23247</v>
      </c>
      <c r="W16" s="37">
        <f>V16*0.9</f>
        <v>20922.3</v>
      </c>
      <c r="X16" s="37">
        <f>W16*0.9</f>
        <v>18830.07</v>
      </c>
      <c r="Y16" s="37">
        <f>X16*0.9</f>
        <v>16947.063000000002</v>
      </c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>
        <f>SUM(R16:U16)</f>
        <v>133030</v>
      </c>
      <c r="CK16" s="37">
        <f>SUM(V16:Y16)</f>
        <v>79946.433000000005</v>
      </c>
      <c r="CL16" s="37"/>
      <c r="CM16" s="37"/>
    </row>
    <row r="17" spans="2:94" x14ac:dyDescent="0.2">
      <c r="B17" s="1" t="s">
        <v>127</v>
      </c>
      <c r="C17" s="37"/>
      <c r="F17" s="37">
        <v>19700</v>
      </c>
      <c r="G17" s="37">
        <f>44700-F17</f>
        <v>25000</v>
      </c>
      <c r="H17" s="37">
        <v>20200</v>
      </c>
      <c r="I17" s="37"/>
      <c r="J17" s="37">
        <v>25300</v>
      </c>
      <c r="K17" s="37">
        <f>51800-J17</f>
        <v>26500</v>
      </c>
      <c r="L17" s="37">
        <v>20400</v>
      </c>
      <c r="M17" s="37">
        <f>92500-L17-K17-J17</f>
        <v>20300</v>
      </c>
      <c r="N17" s="37">
        <v>22500</v>
      </c>
      <c r="O17" s="37">
        <f>44100-N17</f>
        <v>21600</v>
      </c>
      <c r="P17" s="37">
        <f>62700-O17-N17</f>
        <v>18600</v>
      </c>
      <c r="Q17" s="37">
        <f>85800-P17-O17-N17</f>
        <v>23100</v>
      </c>
      <c r="R17" s="37">
        <v>21900</v>
      </c>
      <c r="S17" s="37">
        <f>41300-R17</f>
        <v>19400</v>
      </c>
      <c r="T17" s="37">
        <v>18100</v>
      </c>
      <c r="U17" s="37">
        <f>T17*0.8</f>
        <v>14480</v>
      </c>
      <c r="V17" s="37">
        <f>U17*0.8</f>
        <v>11584</v>
      </c>
      <c r="W17" s="37">
        <f>V17*0.8</f>
        <v>9267.2000000000007</v>
      </c>
      <c r="X17" s="37">
        <f>W17*0.8</f>
        <v>7413.7600000000011</v>
      </c>
      <c r="Y17" s="37">
        <f>X17*0.8</f>
        <v>5931.0080000000016</v>
      </c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>
        <f>SUM(R17:U17)</f>
        <v>73880</v>
      </c>
      <c r="CK17" s="37">
        <f>SUM(V17:Y17)</f>
        <v>34195.968000000008</v>
      </c>
      <c r="CL17" s="37"/>
      <c r="CM17" s="37"/>
    </row>
    <row r="18" spans="2:94" s="17" customFormat="1" x14ac:dyDescent="0.2">
      <c r="B18" s="17" t="s">
        <v>20</v>
      </c>
      <c r="C18" s="35">
        <f>207100-46000</f>
        <v>161100</v>
      </c>
      <c r="D18" s="36"/>
      <c r="E18" s="36"/>
      <c r="F18" s="35">
        <v>106600</v>
      </c>
      <c r="G18" s="35">
        <f>207100-F18</f>
        <v>100500</v>
      </c>
      <c r="H18" s="35">
        <f>312700-G18-F18</f>
        <v>105600</v>
      </c>
      <c r="I18" s="35"/>
      <c r="J18" s="35">
        <f t="shared" ref="J18:P18" si="7">SUM(J19:J22)</f>
        <v>103200</v>
      </c>
      <c r="K18" s="35">
        <f t="shared" si="7"/>
        <v>100000</v>
      </c>
      <c r="L18" s="35">
        <f t="shared" si="7"/>
        <v>94500</v>
      </c>
      <c r="M18" s="35">
        <f t="shared" si="7"/>
        <v>89300</v>
      </c>
      <c r="N18" s="35">
        <f t="shared" si="7"/>
        <v>96400</v>
      </c>
      <c r="O18" s="35">
        <f t="shared" si="7"/>
        <v>98300</v>
      </c>
      <c r="P18" s="35">
        <f t="shared" si="7"/>
        <v>97400</v>
      </c>
      <c r="Q18" s="35">
        <f>384700-P18-O18-N18</f>
        <v>92600</v>
      </c>
      <c r="R18" s="35">
        <f t="shared" ref="R18:Y18" si="8">SUM(R19:R22)</f>
        <v>99500</v>
      </c>
      <c r="S18" s="35">
        <f t="shared" si="8"/>
        <v>96100</v>
      </c>
      <c r="T18" s="35">
        <f t="shared" si="8"/>
        <v>97400</v>
      </c>
      <c r="U18" s="35">
        <f t="shared" si="8"/>
        <v>88902</v>
      </c>
      <c r="V18" s="35">
        <f t="shared" si="8"/>
        <v>86789.16</v>
      </c>
      <c r="W18" s="35">
        <f t="shared" si="8"/>
        <v>84773.296799999996</v>
      </c>
      <c r="X18" s="35">
        <f t="shared" si="8"/>
        <v>82846.998864000008</v>
      </c>
      <c r="Y18" s="35">
        <f t="shared" si="8"/>
        <v>81003.550086720003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6"/>
      <c r="AP18" s="35">
        <v>69</v>
      </c>
      <c r="AQ18" s="35">
        <v>122</v>
      </c>
      <c r="AR18" s="35">
        <v>155</v>
      </c>
      <c r="AS18" s="35">
        <v>178</v>
      </c>
      <c r="AT18" s="35"/>
      <c r="AU18" s="35">
        <f>AV18-92400</f>
        <v>243900</v>
      </c>
      <c r="AV18" s="35">
        <v>336300</v>
      </c>
      <c r="AW18" s="35">
        <f>SUM(F18:I18)</f>
        <v>312700</v>
      </c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>
        <f>SUM(J18:M18)</f>
        <v>387000</v>
      </c>
      <c r="CI18" s="35">
        <f>SUM(N18:Q18)</f>
        <v>384700</v>
      </c>
      <c r="CJ18" s="35">
        <f>SUM(CJ19:CJ22)</f>
        <v>381902</v>
      </c>
      <c r="CK18" s="35">
        <f>SUM(CK19:CK22)</f>
        <v>335413.00575072004</v>
      </c>
      <c r="CL18" s="35">
        <f>CK18*0.5</f>
        <v>167706.50287536002</v>
      </c>
      <c r="CM18" s="35">
        <f>CL18*0.5</f>
        <v>83853.25143768001</v>
      </c>
      <c r="CN18" s="36">
        <v>0</v>
      </c>
      <c r="CO18" s="36"/>
      <c r="CP18" s="36"/>
    </row>
    <row r="19" spans="2:94" x14ac:dyDescent="0.2">
      <c r="B19" s="1" t="s">
        <v>125</v>
      </c>
      <c r="C19" s="37"/>
      <c r="F19" s="37">
        <v>10300</v>
      </c>
      <c r="G19" s="37">
        <f>20100-F19</f>
        <v>9800</v>
      </c>
      <c r="H19" s="37">
        <v>12000</v>
      </c>
      <c r="I19" s="37"/>
      <c r="J19" s="37">
        <v>12000</v>
      </c>
      <c r="K19" s="37">
        <f>23700-J19</f>
        <v>11700</v>
      </c>
      <c r="L19" s="37">
        <v>13900</v>
      </c>
      <c r="M19" s="37">
        <f>48800-L19-K19-J19</f>
        <v>11200</v>
      </c>
      <c r="N19" s="37">
        <v>13300</v>
      </c>
      <c r="O19" s="37">
        <f>26500-N19</f>
        <v>13200</v>
      </c>
      <c r="P19" s="37">
        <f>41900-O19-N19</f>
        <v>15400</v>
      </c>
      <c r="Q19" s="37">
        <f>52700-P19-O19-N19</f>
        <v>10800</v>
      </c>
      <c r="R19" s="37">
        <v>12300</v>
      </c>
      <c r="S19" s="37">
        <f>24400-R19</f>
        <v>12100</v>
      </c>
      <c r="T19" s="37">
        <v>13100</v>
      </c>
      <c r="U19" s="37">
        <f>Q19*0.9</f>
        <v>9720</v>
      </c>
      <c r="V19" s="37">
        <f>U19</f>
        <v>9720</v>
      </c>
      <c r="W19" s="37">
        <f>V19</f>
        <v>9720</v>
      </c>
      <c r="X19" s="37">
        <f>W19</f>
        <v>9720</v>
      </c>
      <c r="Y19" s="37">
        <f>X19</f>
        <v>9720</v>
      </c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42">
        <f>SUM(N19:Q19)</f>
        <v>52700</v>
      </c>
      <c r="CJ19" s="42">
        <f>SUM(R19:U19)</f>
        <v>47220</v>
      </c>
      <c r="CK19" s="37">
        <f>SUM(V19:Y19)</f>
        <v>38880</v>
      </c>
      <c r="CL19" s="37">
        <f>CK19*0.9</f>
        <v>34992</v>
      </c>
      <c r="CM19" s="37">
        <f>CL19*0.9</f>
        <v>31492.799999999999</v>
      </c>
    </row>
    <row r="20" spans="2:94" x14ac:dyDescent="0.2">
      <c r="B20" s="1" t="s">
        <v>127</v>
      </c>
      <c r="C20" s="37"/>
      <c r="F20" s="37">
        <v>88000</v>
      </c>
      <c r="G20" s="37">
        <f>170600-F20</f>
        <v>82600</v>
      </c>
      <c r="H20" s="37">
        <v>83500</v>
      </c>
      <c r="I20" s="37"/>
      <c r="J20" s="37">
        <v>80600</v>
      </c>
      <c r="K20" s="37">
        <f>159300-J20</f>
        <v>78700</v>
      </c>
      <c r="L20" s="37">
        <v>72100</v>
      </c>
      <c r="M20" s="37">
        <f>301700-L20-K20-J20</f>
        <v>70300</v>
      </c>
      <c r="N20" s="37">
        <v>74200</v>
      </c>
      <c r="O20" s="37">
        <f>150900-N20</f>
        <v>76700</v>
      </c>
      <c r="P20" s="37">
        <f>224100-O20-N20</f>
        <v>73200</v>
      </c>
      <c r="Q20" s="37">
        <f>297000-P20-O20-N20</f>
        <v>72900</v>
      </c>
      <c r="R20" s="37">
        <v>78800</v>
      </c>
      <c r="S20" s="37">
        <f>155100-R20</f>
        <v>76300</v>
      </c>
      <c r="T20" s="37">
        <v>74500</v>
      </c>
      <c r="U20" s="37">
        <f>Q20*0.98</f>
        <v>71442</v>
      </c>
      <c r="V20" s="37">
        <f>U20*0.98</f>
        <v>70013.16</v>
      </c>
      <c r="W20" s="37">
        <f>V20*0.98</f>
        <v>68612.896800000002</v>
      </c>
      <c r="X20" s="37">
        <f>W20*0.98</f>
        <v>67240.638864000008</v>
      </c>
      <c r="Y20" s="37">
        <f>X20*0.98</f>
        <v>65895.826086720001</v>
      </c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42">
        <f>SUM(N20:Q20)</f>
        <v>297000</v>
      </c>
      <c r="CJ20" s="42">
        <f>SUM(R20:U20)</f>
        <v>301042</v>
      </c>
      <c r="CK20" s="37">
        <f>SUM(V20:Y20)</f>
        <v>271762.52175072004</v>
      </c>
      <c r="CL20" s="37">
        <f>0.5*CK20</f>
        <v>135881.26087536002</v>
      </c>
      <c r="CM20" s="37">
        <f>CL20*0.25</f>
        <v>33970.315218840005</v>
      </c>
    </row>
    <row r="21" spans="2:94" x14ac:dyDescent="0.2">
      <c r="B21" s="1" t="s">
        <v>128</v>
      </c>
      <c r="C21" s="37"/>
      <c r="F21" s="37">
        <v>7500</v>
      </c>
      <c r="G21" s="37">
        <f>14800-F21</f>
        <v>7300</v>
      </c>
      <c r="H21" s="37">
        <v>9300</v>
      </c>
      <c r="I21" s="37"/>
      <c r="J21" s="37">
        <v>9400</v>
      </c>
      <c r="K21" s="37">
        <f>18000-J21</f>
        <v>8600</v>
      </c>
      <c r="L21" s="37">
        <v>7800</v>
      </c>
      <c r="M21" s="37">
        <f>32800-L21-K21-J21</f>
        <v>7000</v>
      </c>
      <c r="N21" s="37">
        <v>7900</v>
      </c>
      <c r="O21" s="37">
        <f>15500-N21</f>
        <v>7600</v>
      </c>
      <c r="P21" s="37">
        <f>23600-O21-N21</f>
        <v>8100</v>
      </c>
      <c r="Q21" s="37">
        <f>31200-P21-O21-N21</f>
        <v>7600</v>
      </c>
      <c r="R21" s="37">
        <v>7400</v>
      </c>
      <c r="S21" s="37">
        <f>13900-R21</f>
        <v>6500</v>
      </c>
      <c r="T21" s="37">
        <v>8600</v>
      </c>
      <c r="U21" s="37">
        <f>Q21*0.9</f>
        <v>6840</v>
      </c>
      <c r="V21" s="37">
        <f>U21*0.9</f>
        <v>6156</v>
      </c>
      <c r="W21" s="37">
        <f>V21*0.9</f>
        <v>5540.4000000000005</v>
      </c>
      <c r="X21" s="37">
        <f>W21*0.9</f>
        <v>4986.3600000000006</v>
      </c>
      <c r="Y21" s="37">
        <f>X21*0.9</f>
        <v>4487.7240000000011</v>
      </c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42">
        <f>SUM(N21:Q21)</f>
        <v>31200</v>
      </c>
      <c r="CJ21" s="42">
        <f>SUM(R21:U21)</f>
        <v>29340</v>
      </c>
      <c r="CK21" s="37">
        <f>SUM(V21:Y21)</f>
        <v>21170.484000000004</v>
      </c>
      <c r="CL21" s="37">
        <f>CK21*0.75</f>
        <v>15877.863000000003</v>
      </c>
      <c r="CM21" s="37">
        <f>CL21*0.5</f>
        <v>7938.9315000000015</v>
      </c>
    </row>
    <row r="22" spans="2:94" x14ac:dyDescent="0.2">
      <c r="B22" s="1" t="s">
        <v>129</v>
      </c>
      <c r="C22" s="37"/>
      <c r="F22" s="37">
        <v>1200</v>
      </c>
      <c r="G22" s="37">
        <f>2300-F22</f>
        <v>1100</v>
      </c>
      <c r="H22" s="37">
        <v>1100</v>
      </c>
      <c r="I22" s="37"/>
      <c r="J22" s="37">
        <v>1200</v>
      </c>
      <c r="K22" s="37">
        <f>2200-J22</f>
        <v>1000</v>
      </c>
      <c r="L22" s="37">
        <v>700</v>
      </c>
      <c r="M22" s="37">
        <f>3700-L22-K22-J22</f>
        <v>800</v>
      </c>
      <c r="N22" s="37">
        <v>1000</v>
      </c>
      <c r="O22" s="37">
        <f>1800-N22</f>
        <v>800</v>
      </c>
      <c r="P22" s="37">
        <f>2500-O22-N22</f>
        <v>700</v>
      </c>
      <c r="Q22" s="37">
        <f>3500-P22-O22-N22</f>
        <v>1000</v>
      </c>
      <c r="R22" s="37">
        <v>1000</v>
      </c>
      <c r="S22" s="37">
        <f>2200-R22</f>
        <v>1200</v>
      </c>
      <c r="T22" s="37">
        <v>1200</v>
      </c>
      <c r="U22" s="37">
        <f>Q22*0.9</f>
        <v>900</v>
      </c>
      <c r="V22" s="37">
        <f t="shared" ref="V22:Y23" si="9">U22</f>
        <v>900</v>
      </c>
      <c r="W22" s="37">
        <f t="shared" si="9"/>
        <v>900</v>
      </c>
      <c r="X22" s="37">
        <f t="shared" si="9"/>
        <v>900</v>
      </c>
      <c r="Y22" s="37">
        <f t="shared" si="9"/>
        <v>900</v>
      </c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42">
        <f>SUM(R22:U22)</f>
        <v>4300</v>
      </c>
      <c r="CK22" s="37">
        <f>SUM(V22:Y22)</f>
        <v>3600</v>
      </c>
      <c r="CL22" s="37">
        <f>CK22</f>
        <v>3600</v>
      </c>
      <c r="CM22" s="37">
        <f>CL22*0.75</f>
        <v>2700</v>
      </c>
    </row>
    <row r="23" spans="2:94" x14ac:dyDescent="0.2">
      <c r="B23" s="1" t="s">
        <v>232</v>
      </c>
      <c r="C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42">
        <v>13200</v>
      </c>
      <c r="S23" s="37">
        <f>25600-R23</f>
        <v>12400</v>
      </c>
      <c r="T23" s="37">
        <v>12600</v>
      </c>
      <c r="U23" s="37">
        <f>T23</f>
        <v>12600</v>
      </c>
      <c r="V23" s="37">
        <f t="shared" si="9"/>
        <v>12600</v>
      </c>
      <c r="W23" s="37">
        <f t="shared" si="9"/>
        <v>12600</v>
      </c>
      <c r="X23" s="37">
        <f t="shared" si="9"/>
        <v>12600</v>
      </c>
      <c r="Y23" s="37">
        <f t="shared" si="9"/>
        <v>12600</v>
      </c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P23" s="37"/>
      <c r="AQ23" s="37"/>
      <c r="AR23" s="37"/>
      <c r="AS23" s="37"/>
      <c r="AT23" s="37"/>
      <c r="AU23" s="37"/>
      <c r="AV23" s="37"/>
      <c r="AW23" s="37">
        <v>37700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>
        <v>30100</v>
      </c>
      <c r="BS23" s="37">
        <v>25000</v>
      </c>
      <c r="BT23" s="37">
        <v>29300</v>
      </c>
      <c r="BU23" s="37">
        <v>25600</v>
      </c>
      <c r="BV23" s="37">
        <v>16500</v>
      </c>
      <c r="BW23" s="37">
        <v>4300</v>
      </c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>
        <v>46200</v>
      </c>
      <c r="CI23" s="42">
        <f t="shared" ref="CI23:CI39" si="10">SUM(R23:U23)</f>
        <v>50800</v>
      </c>
      <c r="CJ23" s="37">
        <f>CI23</f>
        <v>50800</v>
      </c>
      <c r="CK23" s="37">
        <f>CJ23</f>
        <v>50800</v>
      </c>
      <c r="CL23" s="37">
        <f>CK23</f>
        <v>50800</v>
      </c>
      <c r="CM23" s="37">
        <f>CL23</f>
        <v>50800</v>
      </c>
    </row>
    <row r="24" spans="2:94" x14ac:dyDescent="0.2">
      <c r="B24" s="1" t="s">
        <v>70</v>
      </c>
      <c r="C24" s="37">
        <f>81000-500</f>
        <v>80500</v>
      </c>
      <c r="F24" s="37">
        <f>13400+24100</f>
        <v>37500</v>
      </c>
      <c r="G24" s="37">
        <f>F24-30500+50500</f>
        <v>57500</v>
      </c>
      <c r="H24" s="37">
        <f>48534+75792-G24-F24</f>
        <v>29326</v>
      </c>
      <c r="I24" s="37"/>
      <c r="J24" s="37">
        <f>14100+23500</f>
        <v>37600</v>
      </c>
      <c r="K24" s="37">
        <f>33900+46800-J24</f>
        <v>43100</v>
      </c>
      <c r="L24" s="37">
        <f>50104+68566-K24-J24</f>
        <v>37970</v>
      </c>
      <c r="M24" s="37">
        <f>64400+89900-L24-K24-J24</f>
        <v>35630</v>
      </c>
      <c r="N24" s="37">
        <f>13300+20800</f>
        <v>34100</v>
      </c>
      <c r="O24" s="37">
        <f>32400+42400-N24</f>
        <v>40700</v>
      </c>
      <c r="P24" s="37">
        <f>47000+65000-N24-O24</f>
        <v>37200</v>
      </c>
      <c r="Q24" s="37">
        <f>58200+90100-P24-O24-N24</f>
        <v>36300</v>
      </c>
      <c r="R24" s="37">
        <v>13834</v>
      </c>
      <c r="S24" s="37">
        <f>31200-R24</f>
        <v>17366</v>
      </c>
      <c r="T24" s="55">
        <f>48400-S24-R24</f>
        <v>17200</v>
      </c>
      <c r="U24" s="37">
        <f>Q24</f>
        <v>36300</v>
      </c>
      <c r="V24" s="37">
        <f>R24</f>
        <v>13834</v>
      </c>
      <c r="W24" s="37">
        <f>S24</f>
        <v>17366</v>
      </c>
      <c r="X24" s="37">
        <f>T24</f>
        <v>17200</v>
      </c>
      <c r="Y24" s="37">
        <f>U24</f>
        <v>36300</v>
      </c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W24" s="37">
        <f>H24+G24*2</f>
        <v>144326</v>
      </c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>
        <f>AW24*1.03</f>
        <v>148655.78</v>
      </c>
      <c r="CI24" s="42">
        <f t="shared" si="10"/>
        <v>84700</v>
      </c>
      <c r="CJ24" s="37">
        <f>CI24*1.03</f>
        <v>87241</v>
      </c>
      <c r="CK24" s="37">
        <f>CJ24*1.03</f>
        <v>89858.23</v>
      </c>
      <c r="CL24" s="37">
        <f>CK24*1.03</f>
        <v>92553.976899999994</v>
      </c>
      <c r="CM24" s="37">
        <f>CL24*1.03</f>
        <v>95330.596206999995</v>
      </c>
    </row>
    <row r="25" spans="2:94" x14ac:dyDescent="0.2">
      <c r="B25" s="1" t="s">
        <v>84</v>
      </c>
      <c r="F25" s="37">
        <f>G25</f>
        <v>5625</v>
      </c>
      <c r="G25" s="37">
        <f>90*125/2</f>
        <v>5625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>
        <v>4800</v>
      </c>
      <c r="S25" s="37">
        <f>9800-R25</f>
        <v>5000</v>
      </c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U25" s="37">
        <v>5700</v>
      </c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I25" s="42">
        <f t="shared" si="10"/>
        <v>9800</v>
      </c>
    </row>
    <row r="26" spans="2:94" x14ac:dyDescent="0.2">
      <c r="B26" s="1" t="s">
        <v>85</v>
      </c>
      <c r="F26" s="37">
        <f>G26</f>
        <v>3562.5</v>
      </c>
      <c r="G26" s="37">
        <f>57*125/2</f>
        <v>3562.5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U26" s="37">
        <v>10300</v>
      </c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>
        <v>3200</v>
      </c>
      <c r="BS26" s="37">
        <v>3100</v>
      </c>
      <c r="BT26" s="37">
        <v>3100</v>
      </c>
      <c r="BU26" s="37">
        <v>2200</v>
      </c>
      <c r="BV26" s="37">
        <v>3300</v>
      </c>
      <c r="BW26" s="37">
        <v>3200</v>
      </c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I26" s="42">
        <f t="shared" si="10"/>
        <v>0</v>
      </c>
    </row>
    <row r="27" spans="2:94" x14ac:dyDescent="0.2">
      <c r="B27" s="1" t="s">
        <v>86</v>
      </c>
      <c r="F27" s="37">
        <f>G27</f>
        <v>13550</v>
      </c>
      <c r="G27" s="37">
        <v>13550</v>
      </c>
      <c r="H27" s="37">
        <f>42100-G27-F27</f>
        <v>15000</v>
      </c>
      <c r="I27" s="37"/>
      <c r="J27" s="37">
        <v>12600</v>
      </c>
      <c r="K27" s="37">
        <f>24100-J27</f>
        <v>11500</v>
      </c>
      <c r="L27" s="37">
        <v>13000</v>
      </c>
      <c r="M27" s="37">
        <f>47100-L27-K27-J27</f>
        <v>10000</v>
      </c>
      <c r="N27" s="37">
        <v>11500</v>
      </c>
      <c r="O27" s="37">
        <f>22600-N27</f>
        <v>11100</v>
      </c>
      <c r="P27" s="37">
        <f>34900-O27-N27</f>
        <v>12300</v>
      </c>
      <c r="Q27" s="37">
        <f>43000-P27-O27-N27</f>
        <v>8100</v>
      </c>
      <c r="R27" s="37">
        <v>8800</v>
      </c>
      <c r="S27" s="37">
        <f>16900-R27</f>
        <v>8100</v>
      </c>
      <c r="T27" s="37">
        <v>8900</v>
      </c>
      <c r="U27" s="37">
        <f t="shared" ref="U27:U39" si="11">Q27*0.9</f>
        <v>7290</v>
      </c>
      <c r="V27" s="37">
        <f t="shared" ref="V27:Y29" si="12">U27</f>
        <v>7290</v>
      </c>
      <c r="W27" s="37">
        <f t="shared" si="12"/>
        <v>7290</v>
      </c>
      <c r="X27" s="37">
        <f t="shared" si="12"/>
        <v>7290</v>
      </c>
      <c r="Y27" s="37">
        <f t="shared" si="12"/>
        <v>7290</v>
      </c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CI27" s="42">
        <f t="shared" si="10"/>
        <v>33090</v>
      </c>
      <c r="CJ27" s="37">
        <f>CI27</f>
        <v>33090</v>
      </c>
      <c r="CK27" s="37">
        <f>CJ27</f>
        <v>33090</v>
      </c>
      <c r="CL27" s="37">
        <f>CK27</f>
        <v>33090</v>
      </c>
      <c r="CM27" s="37">
        <f>CL27</f>
        <v>33090</v>
      </c>
    </row>
    <row r="28" spans="2:94" x14ac:dyDescent="0.2">
      <c r="B28" s="1" t="s">
        <v>283</v>
      </c>
      <c r="F28" s="37"/>
      <c r="G28" s="37"/>
      <c r="H28" s="37">
        <v>5800</v>
      </c>
      <c r="I28" s="37"/>
      <c r="J28" s="37">
        <v>6700</v>
      </c>
      <c r="K28" s="37">
        <f>13000-J28</f>
        <v>6300</v>
      </c>
      <c r="L28" s="37">
        <v>7300</v>
      </c>
      <c r="M28" s="37">
        <f>26300-L28-K28-J28</f>
        <v>6000</v>
      </c>
      <c r="N28" s="37">
        <v>7600</v>
      </c>
      <c r="O28" s="37">
        <f>15600-N28</f>
        <v>8000</v>
      </c>
      <c r="P28" s="37">
        <f>24500-O28-N28</f>
        <v>8900</v>
      </c>
      <c r="Q28" s="37">
        <f>32300-P28-O28-N28</f>
        <v>7800</v>
      </c>
      <c r="R28" s="37">
        <v>9100</v>
      </c>
      <c r="S28" s="37">
        <f>18400-R28</f>
        <v>9300</v>
      </c>
      <c r="T28" s="37">
        <v>11100</v>
      </c>
      <c r="U28" s="37">
        <f t="shared" si="11"/>
        <v>7020</v>
      </c>
      <c r="V28" s="37">
        <f t="shared" si="12"/>
        <v>7020</v>
      </c>
      <c r="W28" s="37">
        <f t="shared" si="12"/>
        <v>7020</v>
      </c>
      <c r="X28" s="37">
        <f t="shared" si="12"/>
        <v>7020</v>
      </c>
      <c r="Y28" s="37">
        <f t="shared" si="12"/>
        <v>7020</v>
      </c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CI28" s="42">
        <f t="shared" si="10"/>
        <v>36520</v>
      </c>
      <c r="CJ28" s="37">
        <f t="shared" ref="CJ28:CM39" si="13">CI28</f>
        <v>36520</v>
      </c>
      <c r="CK28" s="37">
        <f t="shared" si="13"/>
        <v>36520</v>
      </c>
      <c r="CL28" s="37">
        <f t="shared" si="13"/>
        <v>36520</v>
      </c>
      <c r="CM28" s="37">
        <f t="shared" si="13"/>
        <v>36520</v>
      </c>
    </row>
    <row r="29" spans="2:94" x14ac:dyDescent="0.2">
      <c r="B29" s="1" t="s">
        <v>101</v>
      </c>
      <c r="F29" s="37"/>
      <c r="G29" s="37"/>
      <c r="H29" s="37">
        <v>4400</v>
      </c>
      <c r="I29" s="37"/>
      <c r="J29" s="37">
        <v>4000</v>
      </c>
      <c r="K29" s="37">
        <f>8000-J29</f>
        <v>4000</v>
      </c>
      <c r="L29" s="37">
        <v>4700</v>
      </c>
      <c r="M29" s="37">
        <f>16300-L29-K29-J29</f>
        <v>3600</v>
      </c>
      <c r="N29" s="37">
        <v>4400</v>
      </c>
      <c r="O29" s="37">
        <f>8900-N29</f>
        <v>4500</v>
      </c>
      <c r="P29" s="37">
        <f>14000-O29-N29</f>
        <v>5100</v>
      </c>
      <c r="Q29" s="37">
        <f>17900-P29-O29-N29</f>
        <v>3900</v>
      </c>
      <c r="R29" s="37">
        <v>4500</v>
      </c>
      <c r="S29" s="37">
        <f>8800-R29</f>
        <v>4300</v>
      </c>
      <c r="T29" s="37">
        <v>5000</v>
      </c>
      <c r="U29" s="37">
        <f t="shared" si="11"/>
        <v>3510</v>
      </c>
      <c r="V29" s="37">
        <f t="shared" si="12"/>
        <v>3510</v>
      </c>
      <c r="W29" s="37">
        <f t="shared" si="12"/>
        <v>3510</v>
      </c>
      <c r="X29" s="37">
        <f t="shared" si="12"/>
        <v>3510</v>
      </c>
      <c r="Y29" s="37">
        <f t="shared" si="12"/>
        <v>3510</v>
      </c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CI29" s="42">
        <f t="shared" si="10"/>
        <v>17310</v>
      </c>
      <c r="CJ29" s="37">
        <f t="shared" si="13"/>
        <v>17310</v>
      </c>
      <c r="CK29" s="37">
        <f t="shared" si="13"/>
        <v>17310</v>
      </c>
      <c r="CL29" s="37">
        <f t="shared" si="13"/>
        <v>17310</v>
      </c>
      <c r="CM29" s="37">
        <f t="shared" si="13"/>
        <v>17310</v>
      </c>
    </row>
    <row r="30" spans="2:94" x14ac:dyDescent="0.2">
      <c r="B30" s="26" t="s">
        <v>216</v>
      </c>
      <c r="F30" s="37"/>
      <c r="G30" s="37"/>
      <c r="H30" s="37"/>
      <c r="I30" s="37"/>
      <c r="J30" s="37">
        <v>3200</v>
      </c>
      <c r="K30" s="37">
        <f>4900-J30</f>
        <v>1700</v>
      </c>
      <c r="L30" s="37">
        <v>1300</v>
      </c>
      <c r="M30" s="37">
        <f>8400-L30-K30-J30</f>
        <v>2200</v>
      </c>
      <c r="N30" s="37">
        <v>3100</v>
      </c>
      <c r="O30" s="37">
        <f>5200-N30</f>
        <v>2100</v>
      </c>
      <c r="P30" s="37">
        <f>5900-O30-N30</f>
        <v>700</v>
      </c>
      <c r="Q30" s="37">
        <f>8200-P30-O30-N30</f>
        <v>2300</v>
      </c>
      <c r="R30" s="37">
        <v>3100</v>
      </c>
      <c r="S30" s="37">
        <f>5000-R30</f>
        <v>1900</v>
      </c>
      <c r="T30" s="55">
        <v>1100</v>
      </c>
      <c r="U30" s="37">
        <f t="shared" si="11"/>
        <v>2070</v>
      </c>
      <c r="V30" s="37">
        <f>R30</f>
        <v>3100</v>
      </c>
      <c r="W30" s="37">
        <f>S30</f>
        <v>1900</v>
      </c>
      <c r="X30" s="37">
        <f>T30</f>
        <v>1100</v>
      </c>
      <c r="Y30" s="37">
        <f>U30</f>
        <v>2070</v>
      </c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CI30" s="42">
        <f t="shared" si="10"/>
        <v>8170</v>
      </c>
      <c r="CJ30" s="37">
        <f t="shared" si="13"/>
        <v>8170</v>
      </c>
      <c r="CK30" s="37">
        <f t="shared" si="13"/>
        <v>8170</v>
      </c>
      <c r="CL30" s="37">
        <f t="shared" si="13"/>
        <v>8170</v>
      </c>
      <c r="CM30" s="37">
        <f t="shared" si="13"/>
        <v>8170</v>
      </c>
    </row>
    <row r="31" spans="2:94" x14ac:dyDescent="0.2">
      <c r="B31" s="1" t="s">
        <v>130</v>
      </c>
      <c r="F31" s="37"/>
      <c r="G31" s="37"/>
      <c r="H31" s="37">
        <v>3600</v>
      </c>
      <c r="I31" s="37"/>
      <c r="J31" s="37">
        <v>2400</v>
      </c>
      <c r="K31" s="37">
        <f>4800-J31</f>
        <v>2400</v>
      </c>
      <c r="L31" s="37">
        <v>1600</v>
      </c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CI31" s="42">
        <f t="shared" si="10"/>
        <v>0</v>
      </c>
      <c r="CJ31" s="37">
        <f t="shared" si="13"/>
        <v>0</v>
      </c>
      <c r="CK31" s="37">
        <f t="shared" si="13"/>
        <v>0</v>
      </c>
      <c r="CL31" s="37">
        <f t="shared" si="13"/>
        <v>0</v>
      </c>
      <c r="CM31" s="37">
        <f t="shared" si="13"/>
        <v>0</v>
      </c>
    </row>
    <row r="32" spans="2:94" x14ac:dyDescent="0.2">
      <c r="B32" s="26" t="s">
        <v>233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>
        <v>2200</v>
      </c>
      <c r="S32" s="37">
        <f>5300-R32</f>
        <v>3100</v>
      </c>
      <c r="T32" s="37">
        <v>3500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CI32" s="42">
        <f t="shared" si="10"/>
        <v>8800</v>
      </c>
      <c r="CJ32" s="37">
        <f t="shared" si="13"/>
        <v>8800</v>
      </c>
      <c r="CK32" s="37">
        <f t="shared" si="13"/>
        <v>8800</v>
      </c>
      <c r="CL32" s="37">
        <f t="shared" si="13"/>
        <v>8800</v>
      </c>
      <c r="CM32" s="37">
        <f t="shared" si="13"/>
        <v>8800</v>
      </c>
    </row>
    <row r="33" spans="2:91" x14ac:dyDescent="0.2">
      <c r="B33" s="26" t="s">
        <v>162</v>
      </c>
      <c r="F33" s="37"/>
      <c r="G33" s="37"/>
      <c r="H33" s="37"/>
      <c r="I33" s="37"/>
      <c r="J33" s="37">
        <v>2100</v>
      </c>
      <c r="K33" s="37">
        <f>4400-J33</f>
        <v>2300</v>
      </c>
      <c r="L33" s="37">
        <v>2800</v>
      </c>
      <c r="M33" s="37">
        <f>9300-L33-K33-J33</f>
        <v>2100</v>
      </c>
      <c r="N33" s="37">
        <v>2600</v>
      </c>
      <c r="O33" s="37">
        <f>5300-N33</f>
        <v>2700</v>
      </c>
      <c r="P33" s="37">
        <f>8200-O33-N33</f>
        <v>2900</v>
      </c>
      <c r="Q33" s="37">
        <f>10300-P33-O33-N33</f>
        <v>2100</v>
      </c>
      <c r="R33" s="37">
        <v>2700</v>
      </c>
      <c r="S33" s="37">
        <f>5300-R33</f>
        <v>2600</v>
      </c>
      <c r="T33" s="37">
        <v>3000</v>
      </c>
      <c r="U33" s="37">
        <f t="shared" si="11"/>
        <v>1890</v>
      </c>
      <c r="V33" s="37">
        <f t="shared" ref="V33:Y34" si="14">U33</f>
        <v>1890</v>
      </c>
      <c r="W33" s="37">
        <f t="shared" si="14"/>
        <v>1890</v>
      </c>
      <c r="X33" s="37">
        <f t="shared" si="14"/>
        <v>1890</v>
      </c>
      <c r="Y33" s="37">
        <f t="shared" si="14"/>
        <v>1890</v>
      </c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CI33" s="42">
        <f t="shared" si="10"/>
        <v>10190</v>
      </c>
      <c r="CJ33" s="37">
        <f t="shared" si="13"/>
        <v>10190</v>
      </c>
      <c r="CK33" s="37">
        <f t="shared" si="13"/>
        <v>10190</v>
      </c>
      <c r="CL33" s="37">
        <f t="shared" si="13"/>
        <v>10190</v>
      </c>
      <c r="CM33" s="37">
        <f t="shared" si="13"/>
        <v>10190</v>
      </c>
    </row>
    <row r="34" spans="2:91" x14ac:dyDescent="0.2">
      <c r="B34" s="1" t="s">
        <v>131</v>
      </c>
      <c r="F34" s="37"/>
      <c r="G34" s="37"/>
      <c r="H34" s="37">
        <v>2600</v>
      </c>
      <c r="I34" s="37"/>
      <c r="J34" s="37">
        <v>3100</v>
      </c>
      <c r="K34" s="37">
        <f>6100-J34</f>
        <v>3000</v>
      </c>
      <c r="L34" s="37">
        <v>3100</v>
      </c>
      <c r="M34" s="37">
        <f>11300-L34-K34-J34</f>
        <v>2100</v>
      </c>
      <c r="N34" s="37">
        <v>2900</v>
      </c>
      <c r="O34" s="37">
        <f>5700-N34</f>
        <v>2800</v>
      </c>
      <c r="P34" s="37">
        <f>8500-O34-N34</f>
        <v>2800</v>
      </c>
      <c r="Q34" s="37">
        <f>10500-P34-O34-N34</f>
        <v>2000</v>
      </c>
      <c r="R34" s="37">
        <v>2400</v>
      </c>
      <c r="S34" s="37">
        <f>4600-R34</f>
        <v>2200</v>
      </c>
      <c r="T34" s="37">
        <v>2200</v>
      </c>
      <c r="U34" s="37">
        <f t="shared" si="11"/>
        <v>1800</v>
      </c>
      <c r="V34" s="37">
        <f t="shared" si="14"/>
        <v>1800</v>
      </c>
      <c r="W34" s="37">
        <f t="shared" si="14"/>
        <v>1800</v>
      </c>
      <c r="X34" s="37">
        <f t="shared" si="14"/>
        <v>1800</v>
      </c>
      <c r="Y34" s="37">
        <f t="shared" si="14"/>
        <v>1800</v>
      </c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CI34" s="42">
        <f t="shared" si="10"/>
        <v>8600</v>
      </c>
      <c r="CJ34" s="37">
        <f t="shared" si="13"/>
        <v>8600</v>
      </c>
      <c r="CK34" s="37">
        <f t="shared" si="13"/>
        <v>8600</v>
      </c>
      <c r="CL34" s="37">
        <f t="shared" si="13"/>
        <v>8600</v>
      </c>
      <c r="CM34" s="37">
        <f t="shared" si="13"/>
        <v>8600</v>
      </c>
    </row>
    <row r="35" spans="2:91" x14ac:dyDescent="0.2">
      <c r="B35" s="1" t="s">
        <v>132</v>
      </c>
      <c r="F35" s="37"/>
      <c r="G35" s="37"/>
      <c r="H35" s="37">
        <v>2400</v>
      </c>
      <c r="I35" s="37"/>
      <c r="J35" s="37">
        <v>2000</v>
      </c>
      <c r="K35" s="37">
        <f>3800-J35</f>
        <v>1800</v>
      </c>
      <c r="L35" s="37">
        <v>2100</v>
      </c>
      <c r="M35" s="37">
        <f>7200-L35-K35-J35</f>
        <v>1300</v>
      </c>
      <c r="N35" s="37">
        <v>1500</v>
      </c>
      <c r="O35" s="37">
        <f>2900-N35</f>
        <v>1400</v>
      </c>
      <c r="P35" s="37">
        <f>4300-O35-N35</f>
        <v>1400</v>
      </c>
      <c r="Q35" s="37">
        <f>5200-P35-O35-N35</f>
        <v>900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CI35" s="42">
        <f t="shared" si="10"/>
        <v>0</v>
      </c>
      <c r="CJ35" s="37">
        <f t="shared" si="13"/>
        <v>0</v>
      </c>
      <c r="CK35" s="37">
        <f t="shared" si="13"/>
        <v>0</v>
      </c>
      <c r="CL35" s="37">
        <f t="shared" si="13"/>
        <v>0</v>
      </c>
      <c r="CM35" s="37">
        <f t="shared" si="13"/>
        <v>0</v>
      </c>
    </row>
    <row r="36" spans="2:91" x14ac:dyDescent="0.2">
      <c r="B36" s="1" t="s">
        <v>133</v>
      </c>
      <c r="F36" s="37"/>
      <c r="G36" s="37"/>
      <c r="H36" s="37">
        <v>2200</v>
      </c>
      <c r="I36" s="37"/>
      <c r="J36" s="37">
        <v>2100</v>
      </c>
      <c r="K36" s="37">
        <f>4200-J36</f>
        <v>2100</v>
      </c>
      <c r="L36" s="37">
        <v>2300</v>
      </c>
      <c r="M36" s="37">
        <f>8500-L36-K36-J36</f>
        <v>2000</v>
      </c>
      <c r="N36" s="37">
        <v>2300</v>
      </c>
      <c r="O36" s="37">
        <f>4600-N36</f>
        <v>2300</v>
      </c>
      <c r="P36" s="37">
        <f>7200-O36-N36</f>
        <v>2600</v>
      </c>
      <c r="Q36" s="37">
        <f>9000-P36-O36-N36</f>
        <v>1800</v>
      </c>
      <c r="R36" s="37">
        <v>2400</v>
      </c>
      <c r="S36" s="37">
        <f>4600-R36</f>
        <v>2200</v>
      </c>
      <c r="T36" s="37">
        <v>2500</v>
      </c>
      <c r="U36" s="37">
        <f t="shared" si="11"/>
        <v>1620</v>
      </c>
      <c r="V36" s="37">
        <f>U36</f>
        <v>1620</v>
      </c>
      <c r="W36" s="37">
        <f>V36</f>
        <v>1620</v>
      </c>
      <c r="X36" s="37">
        <f>W36</f>
        <v>1620</v>
      </c>
      <c r="Y36" s="37">
        <f>X36</f>
        <v>1620</v>
      </c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CI36" s="42">
        <f t="shared" si="10"/>
        <v>8720</v>
      </c>
      <c r="CJ36" s="37">
        <f t="shared" si="13"/>
        <v>8720</v>
      </c>
      <c r="CK36" s="37">
        <f t="shared" si="13"/>
        <v>8720</v>
      </c>
      <c r="CL36" s="37">
        <f t="shared" si="13"/>
        <v>8720</v>
      </c>
      <c r="CM36" s="37">
        <f t="shared" si="13"/>
        <v>8720</v>
      </c>
    </row>
    <row r="37" spans="2:91" x14ac:dyDescent="0.2">
      <c r="B37" s="26" t="s">
        <v>234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>
        <f>3600-O37-N37</f>
        <v>3600</v>
      </c>
      <c r="Q37" s="37"/>
      <c r="R37" s="37">
        <v>1300</v>
      </c>
      <c r="S37" s="37">
        <f>2400-R37</f>
        <v>1100</v>
      </c>
      <c r="T37" s="55"/>
      <c r="U37" s="37">
        <f t="shared" si="11"/>
        <v>0</v>
      </c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CI37" s="42">
        <f t="shared" si="10"/>
        <v>2400</v>
      </c>
      <c r="CJ37" s="37">
        <f t="shared" si="13"/>
        <v>2400</v>
      </c>
      <c r="CK37" s="37">
        <f t="shared" si="13"/>
        <v>2400</v>
      </c>
      <c r="CL37" s="37">
        <f t="shared" si="13"/>
        <v>2400</v>
      </c>
      <c r="CM37" s="37">
        <f t="shared" si="13"/>
        <v>2400</v>
      </c>
    </row>
    <row r="38" spans="2:91" x14ac:dyDescent="0.2">
      <c r="B38" s="1" t="s">
        <v>134</v>
      </c>
      <c r="F38" s="37"/>
      <c r="G38" s="37"/>
      <c r="H38" s="37">
        <v>2400</v>
      </c>
      <c r="I38" s="37"/>
      <c r="J38" s="37">
        <v>1800</v>
      </c>
      <c r="K38" s="37">
        <f>3100-J38</f>
        <v>1300</v>
      </c>
      <c r="L38" s="37">
        <v>2200</v>
      </c>
      <c r="M38" s="37">
        <f>7200-L38-K38-J38</f>
        <v>1900</v>
      </c>
      <c r="N38" s="37">
        <v>1700</v>
      </c>
      <c r="O38" s="37">
        <f>3100-N38</f>
        <v>1400</v>
      </c>
      <c r="P38" s="37">
        <f>5200-O38-N38</f>
        <v>2100</v>
      </c>
      <c r="Q38" s="37">
        <f>6700-P38-O38-N38</f>
        <v>1500</v>
      </c>
      <c r="R38" s="37">
        <v>1500</v>
      </c>
      <c r="S38" s="37">
        <f>2700-R38</f>
        <v>1200</v>
      </c>
      <c r="T38" s="37">
        <v>1800</v>
      </c>
      <c r="U38" s="37">
        <f t="shared" si="11"/>
        <v>1350</v>
      </c>
      <c r="V38" s="37">
        <f>U38</f>
        <v>1350</v>
      </c>
      <c r="W38" s="37">
        <f>V38</f>
        <v>1350</v>
      </c>
      <c r="X38" s="37">
        <f>W38</f>
        <v>1350</v>
      </c>
      <c r="Y38" s="37">
        <f>X38</f>
        <v>1350</v>
      </c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CI38" s="42">
        <f t="shared" si="10"/>
        <v>5850</v>
      </c>
      <c r="CJ38" s="37">
        <f t="shared" si="13"/>
        <v>5850</v>
      </c>
      <c r="CK38" s="37">
        <f t="shared" si="13"/>
        <v>5850</v>
      </c>
      <c r="CL38" s="37">
        <f t="shared" si="13"/>
        <v>5850</v>
      </c>
      <c r="CM38" s="37">
        <f t="shared" si="13"/>
        <v>5850</v>
      </c>
    </row>
    <row r="39" spans="2:91" x14ac:dyDescent="0.2">
      <c r="B39" s="1" t="s">
        <v>135</v>
      </c>
      <c r="F39" s="37"/>
      <c r="G39" s="37"/>
      <c r="H39" s="37">
        <v>1800</v>
      </c>
      <c r="I39" s="37"/>
      <c r="J39" s="37">
        <v>1500</v>
      </c>
      <c r="K39" s="37">
        <f>3000-J39</f>
        <v>1500</v>
      </c>
      <c r="L39" s="37">
        <v>1700</v>
      </c>
      <c r="M39" s="37">
        <f>5900-L39-K39-J39</f>
        <v>1200</v>
      </c>
      <c r="N39" s="37">
        <v>1400</v>
      </c>
      <c r="O39" s="37">
        <f>2800-N39</f>
        <v>1400</v>
      </c>
      <c r="P39" s="37">
        <f>4300-O39-N39</f>
        <v>1500</v>
      </c>
      <c r="Q39" s="37">
        <f>5300-P39-O39-N39</f>
        <v>1000</v>
      </c>
      <c r="R39" s="37">
        <v>1400</v>
      </c>
      <c r="S39" s="37">
        <f>2700-R39</f>
        <v>1300</v>
      </c>
      <c r="T39" s="55"/>
      <c r="U39" s="37">
        <f t="shared" si="11"/>
        <v>900</v>
      </c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CI39" s="42">
        <f t="shared" si="10"/>
        <v>3600</v>
      </c>
      <c r="CJ39" s="37">
        <f t="shared" si="13"/>
        <v>3600</v>
      </c>
      <c r="CK39" s="37">
        <f t="shared" si="13"/>
        <v>3600</v>
      </c>
      <c r="CL39" s="37">
        <f t="shared" si="13"/>
        <v>3600</v>
      </c>
      <c r="CM39" s="37">
        <f t="shared" si="13"/>
        <v>3600</v>
      </c>
    </row>
    <row r="40" spans="2:91" x14ac:dyDescent="0.2">
      <c r="B40" s="1" t="s">
        <v>136</v>
      </c>
      <c r="F40" s="37"/>
      <c r="G40" s="37"/>
      <c r="H40" s="37">
        <v>1500</v>
      </c>
      <c r="I40" s="37"/>
      <c r="J40" s="37">
        <v>1300</v>
      </c>
      <c r="K40" s="37">
        <v>1300</v>
      </c>
      <c r="L40" s="37">
        <f>+K40</f>
        <v>1300</v>
      </c>
      <c r="M40" s="37"/>
      <c r="N40" s="37">
        <v>1200</v>
      </c>
      <c r="O40" s="37">
        <f>2400-N40</f>
        <v>1200</v>
      </c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CI40" s="42"/>
    </row>
    <row r="41" spans="2:91" x14ac:dyDescent="0.2">
      <c r="B41" s="26" t="s">
        <v>235</v>
      </c>
      <c r="F41" s="37">
        <f>F98-SUM(F4:F27)</f>
        <v>-239204.5</v>
      </c>
      <c r="G41" s="37">
        <f>G98-SUM(G4:G27)</f>
        <v>-259302.5</v>
      </c>
      <c r="H41" s="37">
        <f>H98-SUM(H15:H29)+H4+H10</f>
        <v>47606</v>
      </c>
      <c r="I41" s="37"/>
      <c r="J41" s="37"/>
      <c r="K41" s="37"/>
      <c r="L41" s="37"/>
      <c r="M41" s="37"/>
      <c r="N41" s="37">
        <f>138900-SUM(N27:N40)-N5-N11-N16-N19</f>
        <v>16000</v>
      </c>
      <c r="O41" s="37"/>
      <c r="P41" s="37"/>
      <c r="Q41" s="37"/>
      <c r="R41" s="37">
        <f>140448-SUM(R27:R40)-R5-R11-R16-R19</f>
        <v>20748</v>
      </c>
      <c r="S41" s="37">
        <f>283600-SUM(S27:S40)-S5-S11-S16-S19-R127</f>
        <v>27352</v>
      </c>
      <c r="T41" s="37">
        <f>T127-T5-T11-T16-T19-SUM(T27:T40)</f>
        <v>32400</v>
      </c>
      <c r="U41" s="37">
        <f t="shared" ref="U41:Y45" si="15">T41</f>
        <v>32400</v>
      </c>
      <c r="V41" s="37">
        <f t="shared" si="15"/>
        <v>32400</v>
      </c>
      <c r="W41" s="37">
        <f t="shared" si="15"/>
        <v>32400</v>
      </c>
      <c r="X41" s="37">
        <f t="shared" si="15"/>
        <v>32400</v>
      </c>
      <c r="Y41" s="37">
        <f t="shared" si="15"/>
        <v>32400</v>
      </c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W41" s="37">
        <f>AW98-SUM(AW4:AW24)</f>
        <v>400754</v>
      </c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>
        <f>AW41*1.05</f>
        <v>420791.7</v>
      </c>
      <c r="CI41" s="42">
        <f>SUM(R41:U41)</f>
        <v>112900</v>
      </c>
      <c r="CJ41" s="37">
        <f>CI41*1.05</f>
        <v>118545</v>
      </c>
      <c r="CK41" s="37">
        <f>CJ41*1.05</f>
        <v>124472.25</v>
      </c>
      <c r="CL41" s="37">
        <f>CK41*1.05</f>
        <v>130695.8625</v>
      </c>
      <c r="CM41" s="37">
        <f>CL41*1.05</f>
        <v>137230.65562500001</v>
      </c>
    </row>
    <row r="42" spans="2:91" x14ac:dyDescent="0.2">
      <c r="B42" s="26" t="s">
        <v>236</v>
      </c>
      <c r="F42" s="37"/>
      <c r="G42" s="37"/>
      <c r="H42" s="37"/>
      <c r="I42" s="37"/>
      <c r="J42" s="37"/>
      <c r="K42" s="37"/>
      <c r="L42" s="37"/>
      <c r="M42" s="37"/>
      <c r="N42" s="37">
        <f>148100-N20-N17-N12-N6</f>
        <v>2400</v>
      </c>
      <c r="O42" s="37"/>
      <c r="P42" s="37"/>
      <c r="Q42" s="37"/>
      <c r="R42" s="37">
        <f>126000-R20-R17-R12-R6</f>
        <v>6200</v>
      </c>
      <c r="S42" s="37">
        <f>248000-R128-S6-S12-S17-S20</f>
        <v>8200</v>
      </c>
      <c r="T42" s="37">
        <f>T128-T6-T12-T17-T20</f>
        <v>9500</v>
      </c>
      <c r="U42" s="37">
        <f t="shared" si="15"/>
        <v>9500</v>
      </c>
      <c r="V42" s="37">
        <f t="shared" si="15"/>
        <v>9500</v>
      </c>
      <c r="W42" s="37">
        <f t="shared" si="15"/>
        <v>9500</v>
      </c>
      <c r="X42" s="37">
        <f t="shared" si="15"/>
        <v>9500</v>
      </c>
      <c r="Y42" s="37">
        <f t="shared" si="15"/>
        <v>9500</v>
      </c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42">
        <f>SUM(R42:U42)</f>
        <v>33400</v>
      </c>
      <c r="CJ42" s="37">
        <f t="shared" ref="CJ42:CM45" si="16">CI42</f>
        <v>33400</v>
      </c>
      <c r="CK42" s="37">
        <f t="shared" si="16"/>
        <v>33400</v>
      </c>
      <c r="CL42" s="37">
        <f t="shared" si="16"/>
        <v>33400</v>
      </c>
      <c r="CM42" s="37">
        <f t="shared" si="16"/>
        <v>33400</v>
      </c>
    </row>
    <row r="43" spans="2:91" x14ac:dyDescent="0.2">
      <c r="B43" s="26" t="s">
        <v>237</v>
      </c>
      <c r="F43" s="37"/>
      <c r="G43" s="37"/>
      <c r="H43" s="37"/>
      <c r="I43" s="37"/>
      <c r="J43" s="37"/>
      <c r="K43" s="37"/>
      <c r="L43" s="37"/>
      <c r="M43" s="37"/>
      <c r="N43" s="37">
        <f>31300-N7-N13-N21</f>
        <v>8600</v>
      </c>
      <c r="O43" s="37"/>
      <c r="P43" s="37"/>
      <c r="Q43" s="37"/>
      <c r="R43" s="37">
        <f>38800-R7-R13-R21</f>
        <v>19200</v>
      </c>
      <c r="S43" s="37">
        <f>73100-R129-S7-S13-S21</f>
        <v>16700</v>
      </c>
      <c r="T43" s="37">
        <f>T129-T7-T13-T21</f>
        <v>16200</v>
      </c>
      <c r="U43" s="37">
        <f t="shared" si="15"/>
        <v>16200</v>
      </c>
      <c r="V43" s="37">
        <f t="shared" si="15"/>
        <v>16200</v>
      </c>
      <c r="W43" s="37">
        <f t="shared" si="15"/>
        <v>16200</v>
      </c>
      <c r="X43" s="37">
        <f t="shared" si="15"/>
        <v>16200</v>
      </c>
      <c r="Y43" s="37">
        <f t="shared" si="15"/>
        <v>16200</v>
      </c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42">
        <f>SUM(R43:U43)</f>
        <v>68300</v>
      </c>
      <c r="CJ43" s="37">
        <f t="shared" si="16"/>
        <v>68300</v>
      </c>
      <c r="CK43" s="37">
        <f t="shared" si="16"/>
        <v>68300</v>
      </c>
      <c r="CL43" s="37">
        <f t="shared" si="16"/>
        <v>68300</v>
      </c>
      <c r="CM43" s="37">
        <f t="shared" si="16"/>
        <v>68300</v>
      </c>
    </row>
    <row r="44" spans="2:91" x14ac:dyDescent="0.2">
      <c r="B44" s="26" t="s">
        <v>238</v>
      </c>
      <c r="F44" s="37"/>
      <c r="G44" s="37"/>
      <c r="H44" s="37"/>
      <c r="I44" s="37"/>
      <c r="J44" s="37"/>
      <c r="K44" s="37"/>
      <c r="L44" s="37"/>
      <c r="M44" s="37"/>
      <c r="N44" s="37">
        <f>2700-N8-N14-N22</f>
        <v>0</v>
      </c>
      <c r="O44" s="37"/>
      <c r="P44" s="37"/>
      <c r="Q44" s="37"/>
      <c r="R44" s="37">
        <f>5200-R8-R14-R22</f>
        <v>2200</v>
      </c>
      <c r="S44" s="37">
        <f>11400-R130-S8-S14-S22</f>
        <v>3000</v>
      </c>
      <c r="T44" s="37">
        <f>T130-T8-T14-T22</f>
        <v>2700</v>
      </c>
      <c r="U44" s="37">
        <f t="shared" si="15"/>
        <v>2700</v>
      </c>
      <c r="V44" s="37">
        <f t="shared" si="15"/>
        <v>2700</v>
      </c>
      <c r="W44" s="37">
        <f t="shared" si="15"/>
        <v>2700</v>
      </c>
      <c r="X44" s="37">
        <f t="shared" si="15"/>
        <v>2700</v>
      </c>
      <c r="Y44" s="37">
        <f t="shared" si="15"/>
        <v>2700</v>
      </c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42">
        <f>SUM(R44:U44)</f>
        <v>10600</v>
      </c>
      <c r="CJ44" s="37">
        <f t="shared" si="16"/>
        <v>10600</v>
      </c>
      <c r="CK44" s="37">
        <f t="shared" si="16"/>
        <v>10600</v>
      </c>
      <c r="CL44" s="37">
        <f t="shared" si="16"/>
        <v>10600</v>
      </c>
      <c r="CM44" s="37">
        <f t="shared" si="16"/>
        <v>10600</v>
      </c>
    </row>
    <row r="45" spans="2:91" x14ac:dyDescent="0.2">
      <c r="B45" s="26" t="s">
        <v>239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>
        <f>23962-1167-6667</f>
        <v>16128</v>
      </c>
      <c r="S45" s="37">
        <f>47000-2300-R45</f>
        <v>28572</v>
      </c>
      <c r="T45" s="37">
        <f>T98-T4-T10-T15-T18-SUM(T23:T44)</f>
        <v>19405</v>
      </c>
      <c r="U45" s="37">
        <f t="shared" si="15"/>
        <v>19405</v>
      </c>
      <c r="V45" s="37">
        <f t="shared" si="15"/>
        <v>19405</v>
      </c>
      <c r="W45" s="37">
        <f t="shared" si="15"/>
        <v>19405</v>
      </c>
      <c r="X45" s="37">
        <f t="shared" si="15"/>
        <v>19405</v>
      </c>
      <c r="Y45" s="37">
        <f t="shared" si="15"/>
        <v>19405</v>
      </c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42">
        <f>SUM(R45:U45)</f>
        <v>83510</v>
      </c>
      <c r="CJ45" s="37">
        <f t="shared" si="16"/>
        <v>83510</v>
      </c>
      <c r="CK45" s="37">
        <f t="shared" si="16"/>
        <v>83510</v>
      </c>
      <c r="CL45" s="37">
        <f t="shared" si="16"/>
        <v>83510</v>
      </c>
      <c r="CM45" s="37">
        <f t="shared" si="16"/>
        <v>83510</v>
      </c>
    </row>
    <row r="46" spans="2:91" x14ac:dyDescent="0.2">
      <c r="B46" s="26" t="s">
        <v>428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>
        <v>3200</v>
      </c>
      <c r="BS46" s="37">
        <v>3500</v>
      </c>
      <c r="BT46" s="37">
        <v>4300</v>
      </c>
      <c r="BU46" s="37">
        <v>2400</v>
      </c>
      <c r="BV46" s="37">
        <v>3200</v>
      </c>
      <c r="BW46" s="37">
        <v>4400</v>
      </c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42"/>
      <c r="CJ46" s="37"/>
      <c r="CK46" s="37"/>
      <c r="CL46" s="37"/>
      <c r="CM46" s="37"/>
    </row>
    <row r="47" spans="2:91" x14ac:dyDescent="0.2">
      <c r="B47" s="26" t="s">
        <v>427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>
        <v>3400</v>
      </c>
      <c r="BS47" s="37">
        <v>3600</v>
      </c>
      <c r="BT47" s="37">
        <v>3200</v>
      </c>
      <c r="BU47" s="37">
        <v>3400</v>
      </c>
      <c r="BV47" s="37">
        <v>4200</v>
      </c>
      <c r="BW47" s="37">
        <v>3300</v>
      </c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42"/>
      <c r="CJ47" s="37"/>
      <c r="CK47" s="37"/>
      <c r="CL47" s="37"/>
      <c r="CM47" s="37"/>
    </row>
    <row r="48" spans="2:91" x14ac:dyDescent="0.2">
      <c r="B48" s="26" t="s">
        <v>426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>
        <v>7800</v>
      </c>
      <c r="BS48" s="37">
        <v>8200</v>
      </c>
      <c r="BT48" s="37">
        <v>8700</v>
      </c>
      <c r="BU48" s="37">
        <v>7900</v>
      </c>
      <c r="BV48" s="37">
        <v>8400</v>
      </c>
      <c r="BW48" s="37">
        <v>2100</v>
      </c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42"/>
      <c r="CJ48" s="37"/>
      <c r="CK48" s="37"/>
      <c r="CL48" s="37"/>
      <c r="CM48" s="37"/>
    </row>
    <row r="49" spans="2:91" x14ac:dyDescent="0.2">
      <c r="B49" s="26" t="s">
        <v>425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>
        <v>22600</v>
      </c>
      <c r="BS49" s="37">
        <v>17700</v>
      </c>
      <c r="BT49" s="37">
        <v>19700</v>
      </c>
      <c r="BU49" s="37">
        <v>16200</v>
      </c>
      <c r="BV49" s="37">
        <v>19600</v>
      </c>
      <c r="BW49" s="37">
        <v>17600</v>
      </c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42"/>
      <c r="CJ49" s="37"/>
      <c r="CK49" s="37"/>
      <c r="CL49" s="37"/>
      <c r="CM49" s="37"/>
    </row>
    <row r="50" spans="2:91" x14ac:dyDescent="0.2">
      <c r="B50" s="26" t="s">
        <v>424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>
        <v>5900</v>
      </c>
      <c r="BS50" s="37">
        <v>5100</v>
      </c>
      <c r="BT50" s="37">
        <v>5700</v>
      </c>
      <c r="BU50" s="37">
        <v>4700</v>
      </c>
      <c r="BV50" s="37">
        <v>6400</v>
      </c>
      <c r="BW50" s="37">
        <v>5400</v>
      </c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42"/>
      <c r="CJ50" s="37"/>
      <c r="CK50" s="37"/>
      <c r="CL50" s="37"/>
      <c r="CM50" s="37"/>
    </row>
    <row r="51" spans="2:91" x14ac:dyDescent="0.2">
      <c r="B51" s="26" t="s">
        <v>423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>
        <v>3900</v>
      </c>
      <c r="BS51" s="37">
        <v>5700</v>
      </c>
      <c r="BT51" s="37">
        <v>6300</v>
      </c>
      <c r="BU51" s="37">
        <v>4900</v>
      </c>
      <c r="BV51" s="37">
        <v>6200</v>
      </c>
      <c r="BW51" s="37">
        <v>6300</v>
      </c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42"/>
      <c r="CJ51" s="37"/>
      <c r="CK51" s="37"/>
      <c r="CL51" s="37"/>
      <c r="CM51" s="37"/>
    </row>
    <row r="52" spans="2:91" x14ac:dyDescent="0.2">
      <c r="B52" s="26" t="s">
        <v>422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>
        <v>3300</v>
      </c>
      <c r="BS52" s="37">
        <v>4200</v>
      </c>
      <c r="BT52" s="37">
        <v>5000</v>
      </c>
      <c r="BU52" s="37">
        <v>6400</v>
      </c>
      <c r="BV52" s="37">
        <v>5100</v>
      </c>
      <c r="BW52" s="37">
        <v>5300</v>
      </c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42"/>
      <c r="CJ52" s="37"/>
      <c r="CK52" s="37"/>
      <c r="CL52" s="37"/>
      <c r="CM52" s="37"/>
    </row>
    <row r="53" spans="2:91" x14ac:dyDescent="0.2">
      <c r="B53" s="26" t="s">
        <v>421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>
        <v>17900</v>
      </c>
      <c r="BS53" s="37">
        <v>22200</v>
      </c>
      <c r="BT53" s="37">
        <v>23000</v>
      </c>
      <c r="BU53" s="37">
        <v>19300</v>
      </c>
      <c r="BV53" s="37">
        <v>21400</v>
      </c>
      <c r="BW53" s="37">
        <v>28400</v>
      </c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42"/>
      <c r="CJ53" s="37"/>
      <c r="CK53" s="37"/>
      <c r="CL53" s="37"/>
      <c r="CM53" s="37"/>
    </row>
    <row r="54" spans="2:91" x14ac:dyDescent="0.2">
      <c r="B54" s="26" t="s">
        <v>420</v>
      </c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>
        <v>79200</v>
      </c>
      <c r="BS54" s="37">
        <v>80100</v>
      </c>
      <c r="BT54" s="37">
        <v>85700</v>
      </c>
      <c r="BU54" s="37">
        <v>82100</v>
      </c>
      <c r="BV54" s="37">
        <v>100000</v>
      </c>
      <c r="BW54" s="37">
        <v>111300</v>
      </c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42"/>
      <c r="CJ54" s="37"/>
      <c r="CK54" s="37"/>
      <c r="CL54" s="37"/>
      <c r="CM54" s="37"/>
    </row>
    <row r="55" spans="2:91" x14ac:dyDescent="0.2">
      <c r="B55" s="26" t="s">
        <v>419</v>
      </c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>
        <v>600</v>
      </c>
      <c r="BS55" s="37">
        <v>700</v>
      </c>
      <c r="BT55" s="37">
        <v>1400</v>
      </c>
      <c r="BU55" s="37">
        <v>600</v>
      </c>
      <c r="BV55" s="37">
        <v>1000</v>
      </c>
      <c r="BW55" s="37">
        <v>1300</v>
      </c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42"/>
      <c r="CJ55" s="37"/>
      <c r="CK55" s="37"/>
      <c r="CL55" s="37"/>
      <c r="CM55" s="37"/>
    </row>
    <row r="56" spans="2:91" x14ac:dyDescent="0.2">
      <c r="B56" s="26" t="s">
        <v>418</v>
      </c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>
        <v>0</v>
      </c>
      <c r="BS56" s="37">
        <v>200</v>
      </c>
      <c r="BT56" s="37">
        <v>200</v>
      </c>
      <c r="BU56" s="37">
        <v>500</v>
      </c>
      <c r="BV56" s="37">
        <v>700</v>
      </c>
      <c r="BW56" s="37">
        <v>700</v>
      </c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42"/>
      <c r="CJ56" s="37"/>
      <c r="CK56" s="37"/>
      <c r="CL56" s="37"/>
      <c r="CM56" s="37"/>
    </row>
    <row r="57" spans="2:91" x14ac:dyDescent="0.2">
      <c r="B57" s="26" t="s">
        <v>417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>
        <v>1600</v>
      </c>
      <c r="BS57" s="37">
        <v>1500</v>
      </c>
      <c r="BT57" s="37">
        <v>1800</v>
      </c>
      <c r="BU57" s="37">
        <v>1600</v>
      </c>
      <c r="BV57" s="37">
        <v>2100</v>
      </c>
      <c r="BW57" s="37">
        <v>1900</v>
      </c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42"/>
      <c r="CJ57" s="37"/>
      <c r="CK57" s="37"/>
      <c r="CL57" s="37"/>
      <c r="CM57" s="37"/>
    </row>
    <row r="58" spans="2:91" x14ac:dyDescent="0.2">
      <c r="B58" s="26" t="s">
        <v>416</v>
      </c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>
        <v>1600</v>
      </c>
      <c r="BS58" s="37">
        <v>1800</v>
      </c>
      <c r="BT58" s="37">
        <v>2400</v>
      </c>
      <c r="BU58" s="37">
        <v>2200</v>
      </c>
      <c r="BV58" s="37">
        <v>3000</v>
      </c>
      <c r="BW58" s="37">
        <v>3300</v>
      </c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42"/>
      <c r="CJ58" s="37"/>
      <c r="CK58" s="37"/>
      <c r="CL58" s="37"/>
      <c r="CM58" s="37"/>
    </row>
    <row r="59" spans="2:91" x14ac:dyDescent="0.2">
      <c r="B59" s="26" t="s">
        <v>415</v>
      </c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>
        <v>3100</v>
      </c>
      <c r="BS59" s="37">
        <v>3100</v>
      </c>
      <c r="BT59" s="37">
        <v>3900</v>
      </c>
      <c r="BU59" s="37">
        <v>3500</v>
      </c>
      <c r="BV59" s="37">
        <v>4500</v>
      </c>
      <c r="BW59" s="37">
        <v>5200</v>
      </c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42"/>
      <c r="CJ59" s="37"/>
      <c r="CK59" s="37"/>
      <c r="CL59" s="37"/>
      <c r="CM59" s="37"/>
    </row>
    <row r="60" spans="2:91" x14ac:dyDescent="0.2">
      <c r="B60" s="26" t="s">
        <v>414</v>
      </c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>
        <v>6200</v>
      </c>
      <c r="BS60" s="37">
        <v>6600</v>
      </c>
      <c r="BT60" s="37">
        <v>6600</v>
      </c>
      <c r="BU60" s="37">
        <v>5300</v>
      </c>
      <c r="BV60" s="37">
        <v>6700</v>
      </c>
      <c r="BW60" s="37">
        <v>6600</v>
      </c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42"/>
      <c r="CJ60" s="37"/>
      <c r="CK60" s="37"/>
      <c r="CL60" s="37"/>
      <c r="CM60" s="37"/>
    </row>
    <row r="61" spans="2:91" x14ac:dyDescent="0.2">
      <c r="B61" s="26" t="s">
        <v>413</v>
      </c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>
        <v>10400</v>
      </c>
      <c r="BS61" s="37">
        <v>7500</v>
      </c>
      <c r="BT61" s="37">
        <v>8800</v>
      </c>
      <c r="BU61" s="37">
        <v>8200</v>
      </c>
      <c r="BV61" s="37">
        <v>11300</v>
      </c>
      <c r="BW61" s="37">
        <v>12000</v>
      </c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42"/>
      <c r="CJ61" s="37"/>
      <c r="CK61" s="37"/>
      <c r="CL61" s="37"/>
      <c r="CM61" s="37"/>
    </row>
    <row r="62" spans="2:91" x14ac:dyDescent="0.2">
      <c r="B62" s="26" t="s">
        <v>412</v>
      </c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>
        <v>17200</v>
      </c>
      <c r="BS62" s="37">
        <v>16900</v>
      </c>
      <c r="BT62" s="37">
        <v>17600</v>
      </c>
      <c r="BU62" s="37">
        <v>17400</v>
      </c>
      <c r="BV62" s="37">
        <v>20000</v>
      </c>
      <c r="BW62" s="37">
        <v>21800</v>
      </c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42"/>
      <c r="CJ62" s="37"/>
      <c r="CK62" s="37"/>
      <c r="CL62" s="37"/>
      <c r="CM62" s="37"/>
    </row>
    <row r="63" spans="2:91" x14ac:dyDescent="0.2">
      <c r="B63" s="26" t="s">
        <v>411</v>
      </c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>
        <v>24400</v>
      </c>
      <c r="BS63" s="37">
        <v>21400</v>
      </c>
      <c r="BT63" s="37">
        <v>24900</v>
      </c>
      <c r="BU63" s="37">
        <v>20500</v>
      </c>
      <c r="BV63" s="37">
        <v>23700</v>
      </c>
      <c r="BW63" s="37">
        <v>25100</v>
      </c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42"/>
      <c r="CJ63" s="37"/>
      <c r="CK63" s="37"/>
      <c r="CL63" s="37"/>
      <c r="CM63" s="37"/>
    </row>
    <row r="64" spans="2:91" x14ac:dyDescent="0.2">
      <c r="B64" s="26" t="s">
        <v>410</v>
      </c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>
        <v>7800</v>
      </c>
      <c r="BS64" s="37">
        <v>7100</v>
      </c>
      <c r="BT64" s="37">
        <v>8500</v>
      </c>
      <c r="BU64" s="37">
        <v>7600</v>
      </c>
      <c r="BV64" s="37">
        <v>8000</v>
      </c>
      <c r="BW64" s="37">
        <v>9100</v>
      </c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42"/>
      <c r="CJ64" s="37"/>
      <c r="CK64" s="37"/>
      <c r="CL64" s="37"/>
      <c r="CM64" s="37"/>
    </row>
    <row r="65" spans="2:91" x14ac:dyDescent="0.2">
      <c r="B65" s="26" t="s">
        <v>409</v>
      </c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>
        <v>17800</v>
      </c>
      <c r="BS65" s="37">
        <v>24000</v>
      </c>
      <c r="BT65" s="37">
        <v>19700</v>
      </c>
      <c r="BU65" s="37">
        <v>28500</v>
      </c>
      <c r="BV65" s="37">
        <v>22000</v>
      </c>
      <c r="BW65" s="37">
        <v>29800</v>
      </c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42"/>
      <c r="CJ65" s="37"/>
      <c r="CK65" s="37"/>
      <c r="CL65" s="37"/>
      <c r="CM65" s="37"/>
    </row>
    <row r="66" spans="2:91" x14ac:dyDescent="0.2">
      <c r="B66" s="26" t="s">
        <v>408</v>
      </c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>
        <v>81600</v>
      </c>
      <c r="BS66" s="37">
        <f>181300-BR66</f>
        <v>99700</v>
      </c>
      <c r="BT66" s="37">
        <v>97000</v>
      </c>
      <c r="BU66" s="37">
        <v>107600</v>
      </c>
      <c r="BV66" s="37">
        <v>111800</v>
      </c>
      <c r="BW66" s="37">
        <f>245100-BV66</f>
        <v>133300</v>
      </c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42"/>
      <c r="CJ66" s="37"/>
      <c r="CK66" s="37"/>
      <c r="CL66" s="37"/>
      <c r="CM66" s="37"/>
    </row>
    <row r="67" spans="2:91" x14ac:dyDescent="0.2">
      <c r="B67" s="26" t="s">
        <v>407</v>
      </c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>
        <v>2200</v>
      </c>
      <c r="BS67" s="37">
        <v>2400</v>
      </c>
      <c r="BT67" s="37">
        <v>2400</v>
      </c>
      <c r="BU67" s="37">
        <v>2600</v>
      </c>
      <c r="BV67" s="37">
        <v>3200</v>
      </c>
      <c r="BW67" s="37">
        <v>3300</v>
      </c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42"/>
      <c r="CJ67" s="37"/>
      <c r="CK67" s="37"/>
      <c r="CL67" s="37"/>
      <c r="CM67" s="37"/>
    </row>
    <row r="68" spans="2:91" x14ac:dyDescent="0.2">
      <c r="B68" s="26" t="s">
        <v>406</v>
      </c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>
        <v>0</v>
      </c>
      <c r="BS68" s="37">
        <v>0</v>
      </c>
      <c r="BT68" s="37">
        <v>200</v>
      </c>
      <c r="BU68" s="37">
        <v>1100</v>
      </c>
      <c r="BV68" s="37">
        <v>2200</v>
      </c>
      <c r="BW68" s="37">
        <v>2000</v>
      </c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42"/>
      <c r="CJ68" s="37"/>
      <c r="CK68" s="37"/>
      <c r="CL68" s="37"/>
      <c r="CM68" s="37"/>
    </row>
    <row r="69" spans="2:91" x14ac:dyDescent="0.2">
      <c r="B69" s="26" t="s">
        <v>405</v>
      </c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>
        <v>5600</v>
      </c>
      <c r="BS69" s="37">
        <v>4600</v>
      </c>
      <c r="BT69" s="37">
        <v>4500</v>
      </c>
      <c r="BU69" s="37">
        <v>4600</v>
      </c>
      <c r="BV69" s="37">
        <v>4700</v>
      </c>
      <c r="BW69" s="37">
        <v>4900</v>
      </c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42"/>
      <c r="CJ69" s="37"/>
      <c r="CK69" s="37"/>
      <c r="CL69" s="37"/>
      <c r="CM69" s="37"/>
    </row>
    <row r="70" spans="2:91" x14ac:dyDescent="0.2">
      <c r="B70" s="26" t="s">
        <v>404</v>
      </c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>
        <v>6900</v>
      </c>
      <c r="BS70" s="37">
        <v>7500</v>
      </c>
      <c r="BT70" s="37">
        <v>7100</v>
      </c>
      <c r="BU70" s="37">
        <v>5200</v>
      </c>
      <c r="BV70" s="37">
        <v>6800</v>
      </c>
      <c r="BW70" s="37">
        <v>6600</v>
      </c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42"/>
      <c r="CJ70" s="37"/>
      <c r="CK70" s="37"/>
      <c r="CL70" s="37"/>
      <c r="CM70" s="37"/>
    </row>
    <row r="71" spans="2:91" x14ac:dyDescent="0.2">
      <c r="B71" s="26" t="s">
        <v>403</v>
      </c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>
        <v>10500</v>
      </c>
      <c r="BS71" s="37">
        <v>10500</v>
      </c>
      <c r="BT71" s="37">
        <v>11200</v>
      </c>
      <c r="BU71" s="37">
        <v>10200</v>
      </c>
      <c r="BV71" s="37">
        <v>11900</v>
      </c>
      <c r="BW71" s="37">
        <v>11500</v>
      </c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42"/>
      <c r="CJ71" s="37"/>
      <c r="CK71" s="37"/>
      <c r="CL71" s="37"/>
      <c r="CM71" s="37"/>
    </row>
    <row r="72" spans="2:91" x14ac:dyDescent="0.2">
      <c r="B72" s="26" t="s">
        <v>402</v>
      </c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>
        <v>14100</v>
      </c>
      <c r="BS72" s="37">
        <v>11900</v>
      </c>
      <c r="BT72" s="37">
        <v>13600</v>
      </c>
      <c r="BU72" s="37">
        <v>12100</v>
      </c>
      <c r="BV72" s="37">
        <v>17600</v>
      </c>
      <c r="BW72" s="37">
        <v>16700</v>
      </c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42"/>
      <c r="CJ72" s="37"/>
      <c r="CK72" s="37"/>
      <c r="CL72" s="37"/>
      <c r="CM72" s="37"/>
    </row>
    <row r="73" spans="2:91" x14ac:dyDescent="0.2">
      <c r="B73" s="26" t="s">
        <v>401</v>
      </c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>
        <v>18600</v>
      </c>
      <c r="BS73" s="37">
        <v>16200</v>
      </c>
      <c r="BT73" s="37">
        <v>22900</v>
      </c>
      <c r="BU73" s="37">
        <v>15400</v>
      </c>
      <c r="BV73" s="37">
        <v>22200</v>
      </c>
      <c r="BW73" s="37">
        <v>20200</v>
      </c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42"/>
      <c r="CJ73" s="37"/>
      <c r="CK73" s="37"/>
      <c r="CL73" s="37"/>
      <c r="CM73" s="37"/>
    </row>
    <row r="74" spans="2:91" x14ac:dyDescent="0.2">
      <c r="B74" s="26" t="s">
        <v>400</v>
      </c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>
        <v>25500</v>
      </c>
      <c r="BS74" s="37">
        <v>22100</v>
      </c>
      <c r="BT74" s="37">
        <v>30900</v>
      </c>
      <c r="BU74" s="37">
        <v>24800</v>
      </c>
      <c r="BV74" s="37">
        <v>34000</v>
      </c>
      <c r="BW74" s="37">
        <v>38800</v>
      </c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42"/>
      <c r="CJ74" s="37"/>
      <c r="CK74" s="37"/>
      <c r="CL74" s="37"/>
      <c r="CM74" s="37"/>
    </row>
    <row r="75" spans="2:91" x14ac:dyDescent="0.2">
      <c r="B75" s="26" t="s">
        <v>399</v>
      </c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>
        <v>6900</v>
      </c>
      <c r="BS75" s="37">
        <v>6600</v>
      </c>
      <c r="BT75" s="37">
        <v>7700</v>
      </c>
      <c r="BU75" s="37">
        <v>10100</v>
      </c>
      <c r="BV75" s="37">
        <v>9200</v>
      </c>
      <c r="BW75" s="37">
        <v>9500</v>
      </c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42"/>
      <c r="CJ75" s="37"/>
      <c r="CK75" s="37"/>
      <c r="CL75" s="37"/>
      <c r="CM75" s="37"/>
    </row>
    <row r="76" spans="2:91" x14ac:dyDescent="0.2">
      <c r="B76" s="26" t="s">
        <v>398</v>
      </c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>
        <v>900</v>
      </c>
      <c r="BS76" s="37">
        <v>1100</v>
      </c>
      <c r="BT76" s="37">
        <v>1100</v>
      </c>
      <c r="BU76" s="37">
        <v>900</v>
      </c>
      <c r="BV76" s="37">
        <v>1100</v>
      </c>
      <c r="BW76" s="37">
        <v>1000</v>
      </c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42"/>
      <c r="CJ76" s="37"/>
      <c r="CK76" s="37"/>
      <c r="CL76" s="37"/>
      <c r="CM76" s="37"/>
    </row>
    <row r="77" spans="2:91" x14ac:dyDescent="0.2">
      <c r="B77" s="26" t="s">
        <v>397</v>
      </c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>
        <v>3300</v>
      </c>
      <c r="BS77" s="37">
        <v>5100</v>
      </c>
      <c r="BT77" s="37">
        <v>5200</v>
      </c>
      <c r="BU77" s="37">
        <v>4200</v>
      </c>
      <c r="BV77" s="37">
        <v>5400</v>
      </c>
      <c r="BW77" s="37">
        <v>5300</v>
      </c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42"/>
      <c r="CJ77" s="37"/>
      <c r="CK77" s="37"/>
      <c r="CL77" s="37"/>
      <c r="CM77" s="37"/>
    </row>
    <row r="78" spans="2:91" x14ac:dyDescent="0.2">
      <c r="B78" s="26" t="s">
        <v>396</v>
      </c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>
        <v>3700</v>
      </c>
      <c r="BS78" s="37">
        <v>2600</v>
      </c>
      <c r="BT78" s="37">
        <v>3300</v>
      </c>
      <c r="BU78" s="37">
        <v>2700</v>
      </c>
      <c r="BV78" s="37">
        <v>3200</v>
      </c>
      <c r="BW78" s="37">
        <v>3000</v>
      </c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42"/>
      <c r="CJ78" s="37"/>
      <c r="CK78" s="37"/>
      <c r="CL78" s="37"/>
      <c r="CM78" s="37"/>
    </row>
    <row r="79" spans="2:91" x14ac:dyDescent="0.2">
      <c r="B79" s="26" t="s">
        <v>395</v>
      </c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>
        <v>11400</v>
      </c>
      <c r="BS79" s="37">
        <v>8800</v>
      </c>
      <c r="BT79" s="37">
        <v>8800</v>
      </c>
      <c r="BU79" s="37">
        <v>10200</v>
      </c>
      <c r="BV79" s="37">
        <v>10500</v>
      </c>
      <c r="BW79" s="37">
        <v>10800</v>
      </c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42"/>
      <c r="CJ79" s="37"/>
      <c r="CK79" s="37"/>
      <c r="CL79" s="37"/>
      <c r="CM79" s="37"/>
    </row>
    <row r="80" spans="2:91" x14ac:dyDescent="0.2">
      <c r="B80" s="26" t="s">
        <v>394</v>
      </c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>
        <v>15400</v>
      </c>
      <c r="BS80" s="37">
        <v>14600</v>
      </c>
      <c r="BT80" s="37">
        <v>15900</v>
      </c>
      <c r="BU80" s="37">
        <v>14900</v>
      </c>
      <c r="BV80" s="37">
        <v>17500</v>
      </c>
      <c r="BW80" s="37">
        <v>16900</v>
      </c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42"/>
      <c r="CJ80" s="37"/>
      <c r="CK80" s="37"/>
      <c r="CL80" s="37"/>
      <c r="CM80" s="37"/>
    </row>
    <row r="81" spans="2:91" x14ac:dyDescent="0.2">
      <c r="B81" s="26" t="s">
        <v>393</v>
      </c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>
        <v>30700</v>
      </c>
      <c r="BS81" s="37">
        <f>61300-BR81</f>
        <v>30600</v>
      </c>
      <c r="BT81" s="37">
        <v>28000</v>
      </c>
      <c r="BU81" s="37">
        <v>29200</v>
      </c>
      <c r="BV81" s="37">
        <v>32100</v>
      </c>
      <c r="BW81" s="37">
        <f>62400-BV81</f>
        <v>30300</v>
      </c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42"/>
      <c r="CJ81" s="37"/>
      <c r="CK81" s="37"/>
      <c r="CL81" s="37"/>
      <c r="CM81" s="37"/>
    </row>
    <row r="82" spans="2:91" x14ac:dyDescent="0.2">
      <c r="B82" s="26" t="s">
        <v>392</v>
      </c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>
        <v>12700</v>
      </c>
      <c r="BT82" s="37"/>
      <c r="BU82" s="37"/>
      <c r="BV82" s="37"/>
      <c r="BW82" s="37">
        <v>11600</v>
      </c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42"/>
      <c r="CJ82" s="37"/>
      <c r="CK82" s="37"/>
      <c r="CL82" s="37"/>
      <c r="CM82" s="37"/>
    </row>
    <row r="83" spans="2:91" x14ac:dyDescent="0.2">
      <c r="B83" s="26" t="s">
        <v>391</v>
      </c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>
        <v>800</v>
      </c>
      <c r="BT83" s="37"/>
      <c r="BU83" s="37"/>
      <c r="BV83" s="37"/>
      <c r="BW83" s="37">
        <v>1100</v>
      </c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42"/>
      <c r="CJ83" s="37"/>
      <c r="CK83" s="37"/>
      <c r="CL83" s="37"/>
      <c r="CM83" s="37"/>
    </row>
    <row r="84" spans="2:91" x14ac:dyDescent="0.2">
      <c r="B84" s="26" t="s">
        <v>390</v>
      </c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>
        <v>6400</v>
      </c>
      <c r="BT84" s="37"/>
      <c r="BU84" s="37"/>
      <c r="BV84" s="37"/>
      <c r="BW84" s="37">
        <v>7700</v>
      </c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42"/>
      <c r="CJ84" s="37"/>
      <c r="CK84" s="37"/>
      <c r="CL84" s="37"/>
      <c r="CM84" s="37"/>
    </row>
    <row r="85" spans="2:91" x14ac:dyDescent="0.2">
      <c r="B85" s="26" t="s">
        <v>389</v>
      </c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>
        <v>10000</v>
      </c>
      <c r="BT85" s="37"/>
      <c r="BU85" s="37"/>
      <c r="BV85" s="37"/>
      <c r="BW85" s="37">
        <v>4700</v>
      </c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42"/>
      <c r="CJ85" s="37"/>
      <c r="CK85" s="37"/>
      <c r="CL85" s="37"/>
      <c r="CM85" s="37"/>
    </row>
    <row r="86" spans="2:91" x14ac:dyDescent="0.2">
      <c r="B86" s="26" t="s">
        <v>388</v>
      </c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>
        <v>11700</v>
      </c>
      <c r="BT86" s="37"/>
      <c r="BU86" s="37"/>
      <c r="BV86" s="37"/>
      <c r="BW86" s="37">
        <v>11300</v>
      </c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42"/>
      <c r="CJ86" s="37"/>
      <c r="CK86" s="37"/>
      <c r="CL86" s="37"/>
      <c r="CM86" s="37"/>
    </row>
    <row r="87" spans="2:91" x14ac:dyDescent="0.2">
      <c r="B87" s="26" t="s">
        <v>387</v>
      </c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>
        <v>19900</v>
      </c>
      <c r="BT87" s="37"/>
      <c r="BU87" s="37"/>
      <c r="BV87" s="37"/>
      <c r="BW87" s="37">
        <v>22200</v>
      </c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42"/>
      <c r="CJ87" s="37"/>
      <c r="CK87" s="37"/>
      <c r="CL87" s="37"/>
      <c r="CM87" s="37"/>
    </row>
    <row r="88" spans="2:91" x14ac:dyDescent="0.2">
      <c r="B88" s="26" t="s">
        <v>386</v>
      </c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>
        <v>49100</v>
      </c>
      <c r="BT88" s="37"/>
      <c r="BU88" s="37"/>
      <c r="BV88" s="37"/>
      <c r="BW88" s="37">
        <v>54700</v>
      </c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42"/>
      <c r="CJ88" s="37"/>
      <c r="CK88" s="37"/>
      <c r="CL88" s="37"/>
      <c r="CM88" s="37"/>
    </row>
    <row r="89" spans="2:91" x14ac:dyDescent="0.2">
      <c r="B89" s="26" t="s">
        <v>385</v>
      </c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>
        <v>18100</v>
      </c>
      <c r="BS89" s="37">
        <f>36800-BR89</f>
        <v>18700</v>
      </c>
      <c r="BT89" s="37">
        <v>19800</v>
      </c>
      <c r="BU89" s="37">
        <v>19100</v>
      </c>
      <c r="BV89" s="37">
        <v>21900</v>
      </c>
      <c r="BW89" s="37">
        <f>48400-BV89</f>
        <v>26500</v>
      </c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42"/>
      <c r="CJ89" s="37"/>
      <c r="CK89" s="37"/>
      <c r="CL89" s="37"/>
      <c r="CM89" s="37"/>
    </row>
    <row r="90" spans="2:91" x14ac:dyDescent="0.2">
      <c r="B90" s="26" t="s">
        <v>378</v>
      </c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>
        <v>125400</v>
      </c>
      <c r="BS90" s="37">
        <f>255900-BR90</f>
        <v>130500</v>
      </c>
      <c r="BT90" s="37">
        <v>139500</v>
      </c>
      <c r="BU90" s="37">
        <v>126400</v>
      </c>
      <c r="BV90" s="37">
        <v>168300</v>
      </c>
      <c r="BW90" s="37">
        <f>346600-BV90</f>
        <v>178300</v>
      </c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42"/>
      <c r="CJ90" s="37"/>
      <c r="CK90" s="37"/>
      <c r="CL90" s="37"/>
      <c r="CM90" s="37"/>
    </row>
    <row r="91" spans="2:91" x14ac:dyDescent="0.2">
      <c r="B91" s="26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42"/>
      <c r="CJ91" s="37"/>
      <c r="CK91" s="37"/>
      <c r="CL91" s="37"/>
      <c r="CM91" s="37"/>
    </row>
    <row r="92" spans="2:91" x14ac:dyDescent="0.2">
      <c r="B92" s="26" t="s">
        <v>240</v>
      </c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>
        <f>354698-353610</f>
        <v>1088</v>
      </c>
      <c r="S92" s="37">
        <f>714025-R98-SUM(S23:S45)-S4-S9-S10-S15-S18</f>
        <v>-22163</v>
      </c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>
        <f>CI92</f>
        <v>0</v>
      </c>
      <c r="CK92" s="37"/>
      <c r="CL92" s="37"/>
      <c r="CM92" s="37"/>
    </row>
    <row r="93" spans="2:91" x14ac:dyDescent="0.2">
      <c r="B93" s="1" t="s">
        <v>78</v>
      </c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W93" s="37">
        <v>0</v>
      </c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>
        <v>30000</v>
      </c>
      <c r="CI93" s="37"/>
      <c r="CJ93" s="37"/>
      <c r="CK93" s="37">
        <v>5000</v>
      </c>
      <c r="CL93" s="37">
        <v>50000</v>
      </c>
      <c r="CM93" s="37">
        <v>100000</v>
      </c>
    </row>
    <row r="94" spans="2:91" x14ac:dyDescent="0.2">
      <c r="B94" s="1" t="s">
        <v>71</v>
      </c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>
        <v>0</v>
      </c>
      <c r="CI94" s="37"/>
      <c r="CJ94" s="37"/>
      <c r="CK94" s="37"/>
      <c r="CL94" s="37"/>
      <c r="CM94" s="37"/>
    </row>
    <row r="95" spans="2:91" x14ac:dyDescent="0.2">
      <c r="B95" s="1" t="s">
        <v>9</v>
      </c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>
        <v>200</v>
      </c>
      <c r="W95" s="37">
        <v>500</v>
      </c>
      <c r="X95" s="37">
        <v>1000</v>
      </c>
      <c r="Y95" s="37">
        <v>1500</v>
      </c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>
        <v>0</v>
      </c>
      <c r="CI95" s="37"/>
      <c r="CJ95" s="37"/>
      <c r="CK95" s="37">
        <f>SUM(V95:Y95)</f>
        <v>3200</v>
      </c>
      <c r="CL95" s="37"/>
      <c r="CM95" s="37"/>
    </row>
    <row r="96" spans="2:91" x14ac:dyDescent="0.2">
      <c r="B96" s="1" t="s">
        <v>81</v>
      </c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</row>
    <row r="97" spans="2:124" x14ac:dyDescent="0.2">
      <c r="F97" s="37"/>
      <c r="G97" s="37"/>
      <c r="H97" s="37"/>
      <c r="I97" s="37"/>
      <c r="J97" s="37">
        <f>J98-SUM(J27:J40)-J24-J18-J15-J10-J4</f>
        <v>48081</v>
      </c>
      <c r="K97" s="37">
        <f>K98-SUM(K27:K40)-K24-K18-K15-K10-K4</f>
        <v>59659</v>
      </c>
      <c r="L97" s="37">
        <f>L98-SUM(L27:L40)-L24-L18-L15-L10-L4</f>
        <v>53150</v>
      </c>
      <c r="M97" s="37"/>
      <c r="N97" s="37">
        <f>N98-SUM(N27:N44)-N24-N18-N15-N10-N4</f>
        <v>23877</v>
      </c>
      <c r="O97" s="37">
        <f>O98-SUM(O27:O40)-O24-O18-O15-O10-O4</f>
        <v>52176</v>
      </c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</row>
    <row r="98" spans="2:124" s="17" customFormat="1" x14ac:dyDescent="0.2">
      <c r="B98" s="17" t="s">
        <v>64</v>
      </c>
      <c r="C98" s="35">
        <v>642427</v>
      </c>
      <c r="D98" s="36"/>
      <c r="E98" s="36"/>
      <c r="F98" s="35">
        <v>366333</v>
      </c>
      <c r="G98" s="35">
        <f>708468-F98</f>
        <v>342135</v>
      </c>
      <c r="H98" s="35">
        <f>1076000-G98-F98</f>
        <v>367532</v>
      </c>
      <c r="I98" s="35">
        <f>1374802-H98-G98-F98</f>
        <v>298802</v>
      </c>
      <c r="J98" s="35">
        <v>396881</v>
      </c>
      <c r="K98" s="35">
        <f>807140-J98</f>
        <v>410259</v>
      </c>
      <c r="L98" s="35">
        <f>1202760-K98-J98</f>
        <v>395620</v>
      </c>
      <c r="M98" s="35">
        <f>1538336-L98-K98-J98</f>
        <v>335576</v>
      </c>
      <c r="N98" s="35">
        <v>378977</v>
      </c>
      <c r="O98" s="35">
        <f>755453-N98</f>
        <v>376476</v>
      </c>
      <c r="P98" s="35">
        <f>1127946-O98-N98</f>
        <v>372493</v>
      </c>
      <c r="Q98" s="35">
        <f>+CI98-P98-O98-N98</f>
        <v>338019</v>
      </c>
      <c r="R98" s="35">
        <f>R4+R10+R15+R18+SUM(R23:R97)</f>
        <v>359498</v>
      </c>
      <c r="S98" s="35">
        <f>S4+S10+S15+S18+SUM(S23:S97)+S9</f>
        <v>354527</v>
      </c>
      <c r="T98" s="35">
        <f>1081130-S98-R98</f>
        <v>367105</v>
      </c>
      <c r="U98" s="35">
        <f>U4+U10+U15+U18+SUM(U23:U97)</f>
        <v>337357</v>
      </c>
      <c r="V98" s="35">
        <f>V4+V10+V15+V18+SUM(V23:V97)</f>
        <v>306966.66000000003</v>
      </c>
      <c r="W98" s="35">
        <f>W4+W10+W15+W18+SUM(W23:W97)</f>
        <v>301541.92180000001</v>
      </c>
      <c r="X98" s="35">
        <f>X4+X10+X15+X18+SUM(X23:X97)</f>
        <v>301429.42261400004</v>
      </c>
      <c r="Y98" s="35">
        <f>Y4+Y10+Y15+Y18+SUM(Y23:Y97)</f>
        <v>307889.31639922003</v>
      </c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6"/>
      <c r="AP98" s="35"/>
      <c r="AQ98" s="35"/>
      <c r="AR98" s="35"/>
      <c r="AS98" s="35"/>
      <c r="AT98" s="35"/>
      <c r="AU98" s="35">
        <v>1212200</v>
      </c>
      <c r="AV98" s="35">
        <v>1305167</v>
      </c>
      <c r="AW98" s="35">
        <v>1374800</v>
      </c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>
        <f>1794423-BR98</f>
        <v>1794423</v>
      </c>
      <c r="BT98" s="35"/>
      <c r="BU98" s="35"/>
      <c r="BV98" s="35"/>
      <c r="BW98" s="35">
        <f>1974771-BV98</f>
        <v>1974771</v>
      </c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>
        <v>1538336</v>
      </c>
      <c r="CI98" s="35">
        <v>1465965</v>
      </c>
      <c r="CJ98" s="35">
        <f>CJ4+CJ10+CJ15+CJ18+SUM(CJ23:CJ97)</f>
        <v>1430248</v>
      </c>
      <c r="CK98" s="35">
        <f>SUM(CK4:CK96)</f>
        <v>1949625.12162644</v>
      </c>
      <c r="CL98" s="35">
        <f>SUM(CL4:CL96)</f>
        <v>1286809.6236819702</v>
      </c>
      <c r="CM98" s="35">
        <f>SUM(CM4:CM96)</f>
        <v>1097533.628754145</v>
      </c>
      <c r="CN98" s="36"/>
      <c r="CO98" s="36"/>
      <c r="CP98" s="36"/>
    </row>
    <row r="99" spans="2:124" x14ac:dyDescent="0.2">
      <c r="B99" s="1" t="s">
        <v>65</v>
      </c>
      <c r="C99" s="37"/>
      <c r="F99" s="37">
        <v>71692</v>
      </c>
      <c r="G99" s="37">
        <f>140091-F99</f>
        <v>68399</v>
      </c>
      <c r="H99" s="37">
        <f>214047-G99-F99</f>
        <v>73956</v>
      </c>
      <c r="I99" s="37">
        <f>278631-H99-G99-F99</f>
        <v>64584</v>
      </c>
      <c r="J99" s="37">
        <v>78628</v>
      </c>
      <c r="K99" s="37">
        <f>150709-J99</f>
        <v>72081</v>
      </c>
      <c r="L99" s="37">
        <f>221270-K99-J99</f>
        <v>70561</v>
      </c>
      <c r="M99" s="37">
        <f>289543-L99-K99-J99</f>
        <v>68273</v>
      </c>
      <c r="N99" s="37">
        <v>71336</v>
      </c>
      <c r="O99" s="37">
        <f>140382-N99</f>
        <v>69046</v>
      </c>
      <c r="P99" s="37">
        <f>214629-O99-N99</f>
        <v>74247</v>
      </c>
      <c r="Q99" s="42">
        <f>+CI99-P99-O99-N99</f>
        <v>70435</v>
      </c>
      <c r="R99" s="37">
        <v>73102</v>
      </c>
      <c r="S99" s="37">
        <f>150583-R99</f>
        <v>77481</v>
      </c>
      <c r="T99" s="37">
        <f>234695-S99-R99</f>
        <v>84112</v>
      </c>
      <c r="U99" s="37">
        <f>U98*(1-U116)</f>
        <v>77592.11</v>
      </c>
      <c r="V99" s="37">
        <f>V98*(1-V116)</f>
        <v>70602.3318</v>
      </c>
      <c r="W99" s="37">
        <f>W98*(1-W116)</f>
        <v>69354.642013999997</v>
      </c>
      <c r="X99" s="37">
        <f>X98*(1-X116)</f>
        <v>69328.767201220006</v>
      </c>
      <c r="Y99" s="37">
        <f>Y98*(1-Y116)</f>
        <v>70814.542771820605</v>
      </c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P99" s="37"/>
      <c r="AQ99" s="37"/>
      <c r="AR99" s="37"/>
      <c r="AS99" s="37"/>
      <c r="AT99" s="37"/>
      <c r="AU99" s="37"/>
      <c r="AV99" s="37">
        <v>279662</v>
      </c>
      <c r="AW99" s="37">
        <f>AW98-AW100</f>
        <v>288708</v>
      </c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>
        <f>517061-BR99</f>
        <v>517061</v>
      </c>
      <c r="BT99" s="37"/>
      <c r="BU99" s="37"/>
      <c r="BV99" s="37"/>
      <c r="BW99" s="37">
        <f>598327-BV99</f>
        <v>598327</v>
      </c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>
        <v>289543</v>
      </c>
      <c r="CI99" s="37">
        <v>285064</v>
      </c>
      <c r="CJ99" s="37">
        <f>CJ98-CJ100</f>
        <v>271747.11999999988</v>
      </c>
      <c r="CK99" s="37">
        <f>CK98-CK100</f>
        <v>370428.77310902346</v>
      </c>
      <c r="CL99" s="37">
        <f>CL98-CL100</f>
        <v>231625.73226275458</v>
      </c>
      <c r="CM99" s="37">
        <f>CM98-CM100</f>
        <v>197556.05317574611</v>
      </c>
    </row>
    <row r="100" spans="2:124" x14ac:dyDescent="0.2">
      <c r="B100" s="1" t="s">
        <v>66</v>
      </c>
      <c r="C100" s="37"/>
      <c r="F100" s="37">
        <f t="shared" ref="F100:P100" si="17">F98-F99</f>
        <v>294641</v>
      </c>
      <c r="G100" s="37">
        <f t="shared" si="17"/>
        <v>273736</v>
      </c>
      <c r="H100" s="37">
        <f t="shared" si="17"/>
        <v>293576</v>
      </c>
      <c r="I100" s="37">
        <f t="shared" si="17"/>
        <v>234218</v>
      </c>
      <c r="J100" s="37">
        <f t="shared" si="17"/>
        <v>318253</v>
      </c>
      <c r="K100" s="37">
        <f t="shared" si="17"/>
        <v>338178</v>
      </c>
      <c r="L100" s="37">
        <f t="shared" si="17"/>
        <v>325059</v>
      </c>
      <c r="M100" s="37">
        <f t="shared" si="17"/>
        <v>267303</v>
      </c>
      <c r="N100" s="37">
        <f t="shared" si="17"/>
        <v>307641</v>
      </c>
      <c r="O100" s="37">
        <f t="shared" si="17"/>
        <v>307430</v>
      </c>
      <c r="P100" s="37">
        <f t="shared" si="17"/>
        <v>298246</v>
      </c>
      <c r="Q100" s="37">
        <f t="shared" ref="Q100:Y100" si="18">Q98-Q99</f>
        <v>267584</v>
      </c>
      <c r="R100" s="37">
        <f t="shared" si="18"/>
        <v>286396</v>
      </c>
      <c r="S100" s="37">
        <f t="shared" si="18"/>
        <v>277046</v>
      </c>
      <c r="T100" s="37">
        <f t="shared" si="18"/>
        <v>282993</v>
      </c>
      <c r="U100" s="37">
        <f t="shared" si="18"/>
        <v>259764.89</v>
      </c>
      <c r="V100" s="37">
        <f t="shared" si="18"/>
        <v>236364.32820000005</v>
      </c>
      <c r="W100" s="37">
        <f t="shared" si="18"/>
        <v>232187.27978600003</v>
      </c>
      <c r="X100" s="37">
        <f t="shared" si="18"/>
        <v>232100.65541278003</v>
      </c>
      <c r="Y100" s="37">
        <f t="shared" si="18"/>
        <v>237074.77362739941</v>
      </c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P100" s="37"/>
      <c r="AQ100" s="37"/>
      <c r="AR100" s="37"/>
      <c r="AS100" s="37"/>
      <c r="AT100" s="37"/>
      <c r="AU100" s="37"/>
      <c r="AV100" s="37">
        <f>AV98-AV99</f>
        <v>1025505</v>
      </c>
      <c r="AW100" s="37">
        <f>AW98*AW116</f>
        <v>1086092</v>
      </c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>
        <f>+BS98-BS99</f>
        <v>1277362</v>
      </c>
      <c r="BT100" s="37"/>
      <c r="BU100" s="37"/>
      <c r="BV100" s="37"/>
      <c r="BW100" s="37">
        <f>+BW98-BW99</f>
        <v>1376444</v>
      </c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>
        <f>+CH98-CH99</f>
        <v>1248793</v>
      </c>
      <c r="CI100" s="37">
        <f>+CI98-CI99</f>
        <v>1180901</v>
      </c>
      <c r="CJ100" s="37">
        <f>CJ98*CJ116</f>
        <v>1158500.8800000001</v>
      </c>
      <c r="CK100" s="37">
        <f>CK98*CK116</f>
        <v>1579196.3485174165</v>
      </c>
      <c r="CL100" s="37">
        <f>CL98*CL116</f>
        <v>1055183.8914192156</v>
      </c>
      <c r="CM100" s="37">
        <f>CM98*CM116</f>
        <v>899977.57557839889</v>
      </c>
    </row>
    <row r="101" spans="2:124" x14ac:dyDescent="0.2">
      <c r="B101" s="1" t="s">
        <v>67</v>
      </c>
      <c r="C101" s="37"/>
      <c r="F101" s="37">
        <v>141520</v>
      </c>
      <c r="G101" s="37">
        <f>303472-F101</f>
        <v>161952</v>
      </c>
      <c r="H101" s="37">
        <f>456103-G101-F101</f>
        <v>152631</v>
      </c>
      <c r="I101" s="37"/>
      <c r="J101" s="37">
        <v>110660</v>
      </c>
      <c r="K101" s="37">
        <f>250334-J101</f>
        <v>139674</v>
      </c>
      <c r="L101" s="37">
        <f>364008-K101-J101</f>
        <v>113674</v>
      </c>
      <c r="M101" s="37"/>
      <c r="N101" s="37">
        <v>117144</v>
      </c>
      <c r="O101" s="37">
        <f>236963-N101</f>
        <v>119819</v>
      </c>
      <c r="P101" s="37">
        <f>347817-O101-N101</f>
        <v>110854</v>
      </c>
      <c r="Q101" s="42"/>
      <c r="R101" s="37">
        <v>112223</v>
      </c>
      <c r="S101" s="37">
        <f>217629-R101</f>
        <v>105406</v>
      </c>
      <c r="T101" s="37">
        <f>323922-S101-R101</f>
        <v>106293</v>
      </c>
      <c r="U101" s="37">
        <f>U98*U117</f>
        <v>97833.53</v>
      </c>
      <c r="V101" s="37">
        <f>V98*V117</f>
        <v>89020.33140000001</v>
      </c>
      <c r="W101" s="37">
        <f>W98*W117</f>
        <v>87447.157321999999</v>
      </c>
      <c r="X101" s="37">
        <f>X98*X117</f>
        <v>87414.532558060004</v>
      </c>
      <c r="Y101" s="37">
        <f>Y98*Y117</f>
        <v>89287.901755773797</v>
      </c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P101" s="37"/>
      <c r="AQ101" s="37"/>
      <c r="AR101" s="37"/>
      <c r="AS101" s="37"/>
      <c r="AT101" s="37"/>
      <c r="AU101" s="37"/>
      <c r="AV101" s="37">
        <v>567005</v>
      </c>
      <c r="AW101" s="37">
        <f>AV101*0.99</f>
        <v>561334.94999999995</v>
      </c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>
        <f>431854-BR101</f>
        <v>431854</v>
      </c>
      <c r="BT101" s="37"/>
      <c r="BU101" s="37"/>
      <c r="BV101" s="37"/>
      <c r="BW101" s="37">
        <f>480214-BV101</f>
        <v>480214</v>
      </c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>
        <v>942325</v>
      </c>
      <c r="CI101" s="37">
        <f>760690-CI102</f>
        <v>464290</v>
      </c>
      <c r="CJ101" s="37">
        <f>CI101*0.99</f>
        <v>459647.1</v>
      </c>
      <c r="CK101" s="37">
        <f>CJ101*0.8</f>
        <v>367717.68</v>
      </c>
      <c r="CL101" s="37">
        <f>CK101*0.8</f>
        <v>294174.14400000003</v>
      </c>
      <c r="CM101" s="37">
        <f>CL101*0.8</f>
        <v>235339.31520000004</v>
      </c>
    </row>
    <row r="102" spans="2:124" x14ac:dyDescent="0.2">
      <c r="B102" s="1" t="s">
        <v>100</v>
      </c>
      <c r="C102" s="37"/>
      <c r="F102" s="37"/>
      <c r="G102" s="37"/>
      <c r="H102" s="40"/>
      <c r="I102" s="37"/>
      <c r="J102" s="37">
        <v>234829</v>
      </c>
      <c r="K102" s="37">
        <f>321067-J102</f>
        <v>86238</v>
      </c>
      <c r="L102" s="37">
        <f>377598-K102-J102</f>
        <v>56531</v>
      </c>
      <c r="M102" s="37"/>
      <c r="N102" s="37">
        <v>64867</v>
      </c>
      <c r="O102" s="37">
        <f>135581-N102</f>
        <v>70714</v>
      </c>
      <c r="P102" s="37">
        <f>209279-O102-N102</f>
        <v>73698</v>
      </c>
      <c r="Q102" s="37"/>
      <c r="R102" s="37">
        <v>62113</v>
      </c>
      <c r="S102" s="37">
        <f>124195-R102</f>
        <v>62082</v>
      </c>
      <c r="T102" s="37">
        <f>190001-S102-R102</f>
        <v>65806</v>
      </c>
      <c r="U102" s="37">
        <f>T102</f>
        <v>65806</v>
      </c>
      <c r="V102" s="37">
        <f>U102*1.005</f>
        <v>66135.03</v>
      </c>
      <c r="W102" s="37">
        <f>V102</f>
        <v>66135.03</v>
      </c>
      <c r="X102" s="37">
        <f>W102*1.005</f>
        <v>66465.705149999994</v>
      </c>
      <c r="Y102" s="37">
        <f>X102*1.005</f>
        <v>66798.03367574999</v>
      </c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P102" s="37"/>
      <c r="AQ102" s="37"/>
      <c r="AR102" s="37"/>
      <c r="AS102" s="37"/>
      <c r="AT102" s="37"/>
      <c r="AU102" s="37"/>
      <c r="AV102" s="52" t="s">
        <v>278</v>
      </c>
      <c r="AW102" s="52" t="s">
        <v>279</v>
      </c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>
        <f>254081-BR102</f>
        <v>254081</v>
      </c>
      <c r="BT102" s="52"/>
      <c r="BU102" s="52"/>
      <c r="BV102" s="52"/>
      <c r="BW102" s="52">
        <f>297752-BV102</f>
        <v>297752</v>
      </c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 t="s">
        <v>280</v>
      </c>
      <c r="CI102" s="52">
        <v>296400</v>
      </c>
      <c r="CJ102" s="52" t="s">
        <v>281</v>
      </c>
      <c r="CK102" s="37"/>
      <c r="CL102" s="37"/>
      <c r="CM102" s="37"/>
    </row>
    <row r="103" spans="2:124" x14ac:dyDescent="0.2">
      <c r="B103" s="26" t="s">
        <v>214</v>
      </c>
      <c r="C103" s="37"/>
      <c r="F103" s="37"/>
      <c r="G103" s="37"/>
      <c r="H103" s="40"/>
      <c r="I103" s="37"/>
      <c r="J103" s="37">
        <f>J102+J101</f>
        <v>345489</v>
      </c>
      <c r="K103" s="37">
        <f>K102+K101</f>
        <v>225912</v>
      </c>
      <c r="L103" s="37">
        <f>L102+L101</f>
        <v>170205</v>
      </c>
      <c r="M103" s="37">
        <f>942325-L103-K103-J103</f>
        <v>200719</v>
      </c>
      <c r="N103" s="37">
        <f>N102+N101</f>
        <v>182011</v>
      </c>
      <c r="O103" s="37">
        <f>O102+O101</f>
        <v>190533</v>
      </c>
      <c r="P103" s="37">
        <f>P102+P101</f>
        <v>184552</v>
      </c>
      <c r="Q103" s="37">
        <f>760690-P103-O103-N103</f>
        <v>203594</v>
      </c>
      <c r="R103" s="37">
        <f>R102+R101</f>
        <v>174336</v>
      </c>
      <c r="S103" s="37">
        <f>S102+S101</f>
        <v>167488</v>
      </c>
      <c r="T103" s="37">
        <f>T102+T101</f>
        <v>172099</v>
      </c>
      <c r="U103" s="37">
        <f>U101+U102</f>
        <v>163639.53</v>
      </c>
      <c r="V103" s="37">
        <f>V101+V102</f>
        <v>155155.36139999999</v>
      </c>
      <c r="W103" s="37">
        <f>W101+W102</f>
        <v>153582.18732199998</v>
      </c>
      <c r="X103" s="37">
        <f>X101+X102</f>
        <v>153880.23770806001</v>
      </c>
      <c r="Y103" s="37">
        <f>Y101+Y102</f>
        <v>156085.93543152377</v>
      </c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>
        <f>+BS101+BS102</f>
        <v>685935</v>
      </c>
      <c r="BT103" s="37"/>
      <c r="BU103" s="37"/>
      <c r="BV103" s="37"/>
      <c r="BW103" s="37">
        <f>+BW101+BW102</f>
        <v>777966</v>
      </c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>
        <f>+CI102+CI101</f>
        <v>760690</v>
      </c>
      <c r="CJ103" s="37"/>
      <c r="CK103" s="37"/>
      <c r="CL103" s="37"/>
      <c r="CM103" s="37"/>
    </row>
    <row r="104" spans="2:124" x14ac:dyDescent="0.2">
      <c r="B104" s="1" t="s">
        <v>91</v>
      </c>
      <c r="C104" s="37"/>
      <c r="F104" s="37">
        <f>F100-F101</f>
        <v>153121</v>
      </c>
      <c r="G104" s="37">
        <f>G100-G101</f>
        <v>111784</v>
      </c>
      <c r="H104" s="37">
        <f>H100-H101</f>
        <v>140945</v>
      </c>
      <c r="I104" s="37"/>
      <c r="J104" s="37">
        <f t="shared" ref="J104:O104" si="19">J100-J103</f>
        <v>-27236</v>
      </c>
      <c r="K104" s="37">
        <f t="shared" si="19"/>
        <v>112266</v>
      </c>
      <c r="L104" s="37">
        <f t="shared" si="19"/>
        <v>154854</v>
      </c>
      <c r="M104" s="37">
        <f t="shared" si="19"/>
        <v>66584</v>
      </c>
      <c r="N104" s="37">
        <f t="shared" si="19"/>
        <v>125630</v>
      </c>
      <c r="O104" s="37">
        <f t="shared" si="19"/>
        <v>116897</v>
      </c>
      <c r="P104" s="37">
        <f t="shared" ref="P104:Y104" si="20">P100-P103</f>
        <v>113694</v>
      </c>
      <c r="Q104" s="37">
        <f t="shared" si="20"/>
        <v>63990</v>
      </c>
      <c r="R104" s="37">
        <f t="shared" si="20"/>
        <v>112060</v>
      </c>
      <c r="S104" s="37">
        <f t="shared" si="20"/>
        <v>109558</v>
      </c>
      <c r="T104" s="37">
        <f t="shared" si="20"/>
        <v>110894</v>
      </c>
      <c r="U104" s="37">
        <f t="shared" si="20"/>
        <v>96125.360000000015</v>
      </c>
      <c r="V104" s="37">
        <f t="shared" si="20"/>
        <v>81208.966800000053</v>
      </c>
      <c r="W104" s="37">
        <f t="shared" si="20"/>
        <v>78605.092464000045</v>
      </c>
      <c r="X104" s="37">
        <f t="shared" si="20"/>
        <v>78220.417704720021</v>
      </c>
      <c r="Y104" s="37">
        <f t="shared" si="20"/>
        <v>80988.838195875636</v>
      </c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P104" s="37"/>
      <c r="AQ104" s="37"/>
      <c r="AR104" s="37"/>
      <c r="AS104" s="37"/>
      <c r="AT104" s="37"/>
      <c r="AU104" s="37"/>
      <c r="AV104" s="37">
        <f>AV100-AV101</f>
        <v>458500</v>
      </c>
      <c r="AW104" s="37">
        <f>AW100-AW101</f>
        <v>524757.05000000005</v>
      </c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>
        <f>+BS100-BS103</f>
        <v>591427</v>
      </c>
      <c r="BT104" s="37"/>
      <c r="BU104" s="37"/>
      <c r="BV104" s="37"/>
      <c r="BW104" s="37">
        <f>+BW100-BW103</f>
        <v>598478</v>
      </c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>
        <f>CH100-CH101</f>
        <v>306468</v>
      </c>
      <c r="CI104" s="37">
        <f>+CI100-CI103</f>
        <v>420211</v>
      </c>
      <c r="CJ104" s="37">
        <f>CJ100-CJ101-CJ102</f>
        <v>398853.78000000014</v>
      </c>
      <c r="CK104" s="37">
        <f>CK100-CK101-CK102</f>
        <v>1211478.6685174166</v>
      </c>
      <c r="CL104" s="37">
        <f>CL100-CL101-CL102</f>
        <v>761009.74741921551</v>
      </c>
      <c r="CM104" s="37">
        <f>CM100-CM101-CM102</f>
        <v>664638.26037839882</v>
      </c>
    </row>
    <row r="105" spans="2:124" x14ac:dyDescent="0.2">
      <c r="B105" s="1" t="s">
        <v>90</v>
      </c>
      <c r="C105" s="37"/>
      <c r="F105" s="37"/>
      <c r="G105" s="37"/>
      <c r="H105" s="37">
        <f>39594+108873-G105-F105</f>
        <v>148467</v>
      </c>
      <c r="I105" s="37"/>
      <c r="J105" s="37">
        <f>5269+2338+5657+2177+3400-384-1816</f>
        <v>16641</v>
      </c>
      <c r="K105" s="37">
        <f>8327+2859+2527+6305-1050-2506-4062-J105</f>
        <v>-4241</v>
      </c>
      <c r="L105" s="37">
        <f>10504+5067+2750+10190-1262-8770-6205-K105-J105</f>
        <v>-126</v>
      </c>
      <c r="M105" s="37">
        <f>11379+5661+2898+5234+12711-1621-8199-7102-L105-K105-J105</f>
        <v>8687</v>
      </c>
      <c r="N105" s="37">
        <f>773+1623+3853+416+2714-342</f>
        <v>9037</v>
      </c>
      <c r="O105" s="37">
        <f>1325+2153+2643+571+6391-821-3843-N105</f>
        <v>-618</v>
      </c>
      <c r="P105" s="37">
        <f>22389-9350-O105-N105</f>
        <v>4620</v>
      </c>
      <c r="Q105" s="37">
        <f>25232-29615-P105-O105-N105</f>
        <v>-17422</v>
      </c>
      <c r="R105" s="37">
        <f>6782-10208</f>
        <v>-3426</v>
      </c>
      <c r="S105" s="37">
        <f>12229-8374-R105</f>
        <v>7281</v>
      </c>
      <c r="T105" s="37">
        <f>11288-S105-R105</f>
        <v>7433</v>
      </c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>
        <f>13476-83359+75707-109272-1366-BR105</f>
        <v>-104814</v>
      </c>
      <c r="BT105" s="37"/>
      <c r="BU105" s="37"/>
      <c r="BV105" s="37"/>
      <c r="BW105" s="37">
        <f>13476-BV105-83359+75707-109272-1366</f>
        <v>-104814</v>
      </c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>
        <f>CI119*$CP$110</f>
        <v>19520</v>
      </c>
      <c r="CK105" s="37">
        <f>CJ119*$CP$110</f>
        <v>25377.232920000006</v>
      </c>
      <c r="CL105" s="37">
        <f>CK119*$CP$110</f>
        <v>42693.215540123841</v>
      </c>
      <c r="CM105" s="37">
        <f>CL119*$CP$110</f>
        <v>53945.057021554596</v>
      </c>
    </row>
    <row r="106" spans="2:124" x14ac:dyDescent="0.2">
      <c r="B106" s="1" t="s">
        <v>92</v>
      </c>
      <c r="C106" s="37"/>
      <c r="F106" s="37"/>
      <c r="G106" s="37"/>
      <c r="H106" s="37">
        <f>H104+H105</f>
        <v>289412</v>
      </c>
      <c r="I106" s="37"/>
      <c r="J106" s="37">
        <f t="shared" ref="J106:O106" si="21">+J104+J105</f>
        <v>-10595</v>
      </c>
      <c r="K106" s="37">
        <f t="shared" si="21"/>
        <v>108025</v>
      </c>
      <c r="L106" s="37">
        <f t="shared" si="21"/>
        <v>154728</v>
      </c>
      <c r="M106" s="37">
        <f t="shared" si="21"/>
        <v>75271</v>
      </c>
      <c r="N106" s="37">
        <f t="shared" si="21"/>
        <v>134667</v>
      </c>
      <c r="O106" s="37">
        <f t="shared" si="21"/>
        <v>116279</v>
      </c>
      <c r="P106" s="37">
        <f t="shared" ref="P106:Y106" si="22">+P104+P105</f>
        <v>118314</v>
      </c>
      <c r="Q106" s="37">
        <f t="shared" si="22"/>
        <v>46568</v>
      </c>
      <c r="R106" s="37">
        <f t="shared" si="22"/>
        <v>108634</v>
      </c>
      <c r="S106" s="37">
        <f t="shared" si="22"/>
        <v>116839</v>
      </c>
      <c r="T106" s="37">
        <f t="shared" si="22"/>
        <v>118327</v>
      </c>
      <c r="U106" s="37">
        <f t="shared" si="22"/>
        <v>96125.360000000015</v>
      </c>
      <c r="V106" s="37">
        <f t="shared" si="22"/>
        <v>81208.966800000053</v>
      </c>
      <c r="W106" s="37">
        <f t="shared" si="22"/>
        <v>78605.092464000045</v>
      </c>
      <c r="X106" s="37">
        <f t="shared" si="22"/>
        <v>78220.417704720021</v>
      </c>
      <c r="Y106" s="37">
        <f t="shared" si="22"/>
        <v>80988.838195875636</v>
      </c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>
        <f>+BS104+BS105</f>
        <v>486613</v>
      </c>
      <c r="BT106" s="37"/>
      <c r="BU106" s="37"/>
      <c r="BV106" s="37"/>
      <c r="BW106" s="37">
        <f>+BW104+BW105</f>
        <v>493664</v>
      </c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>
        <f t="shared" ref="CH106:CM106" si="23">CH104+CH105</f>
        <v>306468</v>
      </c>
      <c r="CI106" s="37">
        <f t="shared" si="23"/>
        <v>420211</v>
      </c>
      <c r="CJ106" s="37">
        <f t="shared" si="23"/>
        <v>418373.78000000014</v>
      </c>
      <c r="CK106" s="37">
        <f t="shared" si="23"/>
        <v>1236855.9014374167</v>
      </c>
      <c r="CL106" s="37">
        <f t="shared" si="23"/>
        <v>803702.96295933938</v>
      </c>
      <c r="CM106" s="37">
        <f t="shared" si="23"/>
        <v>718583.31739995338</v>
      </c>
    </row>
    <row r="107" spans="2:124" x14ac:dyDescent="0.2">
      <c r="B107" s="1" t="s">
        <v>68</v>
      </c>
      <c r="C107" s="37"/>
      <c r="F107" s="37"/>
      <c r="G107" s="37">
        <v>139288</v>
      </c>
      <c r="H107" s="37">
        <f>212282-G107-F107</f>
        <v>72994</v>
      </c>
      <c r="I107" s="37"/>
      <c r="J107" s="37">
        <f>64232+1070</f>
        <v>65302</v>
      </c>
      <c r="K107" s="37">
        <f>102733+1746-J107</f>
        <v>39177</v>
      </c>
      <c r="L107" s="37">
        <f>156464+2526-K107-J107</f>
        <v>54511</v>
      </c>
      <c r="M107" s="37">
        <f>161351+2810-L107-K107-J107</f>
        <v>5171</v>
      </c>
      <c r="N107" s="37">
        <f>24351+649</f>
        <v>25000</v>
      </c>
      <c r="O107" s="37">
        <f>64028+1243-N107</f>
        <v>40271</v>
      </c>
      <c r="P107" s="37">
        <f>108133+1978-O107-N107</f>
        <v>44840</v>
      </c>
      <c r="Q107" s="37">
        <f>115668+2417-P107-O107-N107</f>
        <v>7974</v>
      </c>
      <c r="R107" s="37">
        <f>38988+735</f>
        <v>39723</v>
      </c>
      <c r="S107" s="37">
        <f>79814-R107</f>
        <v>40091</v>
      </c>
      <c r="T107" s="37">
        <f>118711-S107-R107</f>
        <v>38897</v>
      </c>
      <c r="U107" s="37">
        <f>U106*U118</f>
        <v>31598.773973142233</v>
      </c>
      <c r="V107" s="37">
        <f>V106*V118</f>
        <v>26695.38804854008</v>
      </c>
      <c r="W107" s="37">
        <f>W106*W118</f>
        <v>25839.430405336145</v>
      </c>
      <c r="X107" s="37">
        <f>X106*X118</f>
        <v>25712.978335126343</v>
      </c>
      <c r="Y107" s="37">
        <f>Y106*Y118</f>
        <v>26623.026353283483</v>
      </c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P107" s="37"/>
      <c r="AQ107" s="37"/>
      <c r="AR107" s="37"/>
      <c r="AS107" s="37"/>
      <c r="AT107" s="37"/>
      <c r="AU107" s="37"/>
      <c r="AV107" s="37">
        <v>243842</v>
      </c>
      <c r="AW107" s="37">
        <f>AW104-AW108</f>
        <v>129757.05000000005</v>
      </c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>
        <f>53269-3-BR107</f>
        <v>53266</v>
      </c>
      <c r="BT107" s="37"/>
      <c r="BU107" s="37"/>
      <c r="BV107" s="37"/>
      <c r="BW107" s="37">
        <f>53269-BV107-3</f>
        <v>53266</v>
      </c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>
        <f t="shared" ref="CH107:CM107" si="24">CH106*0.3</f>
        <v>91940.4</v>
      </c>
      <c r="CI107" s="37">
        <f t="shared" si="24"/>
        <v>126063.29999999999</v>
      </c>
      <c r="CJ107" s="37">
        <f t="shared" si="24"/>
        <v>125512.13400000003</v>
      </c>
      <c r="CK107" s="37">
        <f t="shared" si="24"/>
        <v>371056.77043122501</v>
      </c>
      <c r="CL107" s="37">
        <f t="shared" si="24"/>
        <v>241110.88888780179</v>
      </c>
      <c r="CM107" s="37">
        <f t="shared" si="24"/>
        <v>215574.99521998601</v>
      </c>
    </row>
    <row r="108" spans="2:124" s="26" customFormat="1" x14ac:dyDescent="0.2">
      <c r="B108" s="26" t="s">
        <v>115</v>
      </c>
      <c r="C108" s="42"/>
      <c r="D108" s="27"/>
      <c r="E108" s="27"/>
      <c r="F108" s="42"/>
      <c r="G108" s="42">
        <f>G104-G107</f>
        <v>-27504</v>
      </c>
      <c r="H108" s="42">
        <f>H106-H107</f>
        <v>216418</v>
      </c>
      <c r="I108" s="42"/>
      <c r="J108" s="42">
        <f t="shared" ref="J108:O108" si="25">+J106-J107</f>
        <v>-75897</v>
      </c>
      <c r="K108" s="42">
        <f t="shared" si="25"/>
        <v>68848</v>
      </c>
      <c r="L108" s="42">
        <f t="shared" si="25"/>
        <v>100217</v>
      </c>
      <c r="M108" s="42">
        <f t="shared" si="25"/>
        <v>70100</v>
      </c>
      <c r="N108" s="42">
        <f t="shared" si="25"/>
        <v>109667</v>
      </c>
      <c r="O108" s="42">
        <f t="shared" si="25"/>
        <v>76008</v>
      </c>
      <c r="P108" s="42">
        <f t="shared" ref="P108:Y108" si="26">+P106-P107</f>
        <v>73474</v>
      </c>
      <c r="Q108" s="42">
        <f t="shared" si="26"/>
        <v>38594</v>
      </c>
      <c r="R108" s="42">
        <f t="shared" si="26"/>
        <v>68911</v>
      </c>
      <c r="S108" s="42">
        <f t="shared" si="26"/>
        <v>76748</v>
      </c>
      <c r="T108" s="42">
        <f t="shared" si="26"/>
        <v>79430</v>
      </c>
      <c r="U108" s="42">
        <f t="shared" si="26"/>
        <v>64526.586026857782</v>
      </c>
      <c r="V108" s="42">
        <f t="shared" si="26"/>
        <v>54513.578751459972</v>
      </c>
      <c r="W108" s="42">
        <f t="shared" si="26"/>
        <v>52765.662058663904</v>
      </c>
      <c r="X108" s="42">
        <f t="shared" si="26"/>
        <v>52507.439369593674</v>
      </c>
      <c r="Y108" s="42">
        <f t="shared" si="26"/>
        <v>54365.811842592157</v>
      </c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27"/>
      <c r="AP108" s="42"/>
      <c r="AQ108" s="42"/>
      <c r="AR108" s="42"/>
      <c r="AS108" s="42"/>
      <c r="AT108" s="42"/>
      <c r="AU108" s="42"/>
      <c r="AV108" s="42">
        <f>AV104-AV107</f>
        <v>214658</v>
      </c>
      <c r="AW108" s="42">
        <v>395000</v>
      </c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>
        <f>+BS106-BS107</f>
        <v>433347</v>
      </c>
      <c r="BT108" s="42"/>
      <c r="BU108" s="42"/>
      <c r="BV108" s="42"/>
      <c r="BW108" s="42">
        <f>+BW106-BW107</f>
        <v>440398</v>
      </c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>
        <f t="shared" ref="CH108:CM108" si="27">CH106-CH107</f>
        <v>214527.6</v>
      </c>
      <c r="CI108" s="42">
        <f t="shared" si="27"/>
        <v>294147.7</v>
      </c>
      <c r="CJ108" s="42">
        <f t="shared" si="27"/>
        <v>292861.64600000012</v>
      </c>
      <c r="CK108" s="42">
        <f t="shared" si="27"/>
        <v>865799.13100619172</v>
      </c>
      <c r="CL108" s="42">
        <f t="shared" si="27"/>
        <v>562592.07407153759</v>
      </c>
      <c r="CM108" s="42">
        <f t="shared" si="27"/>
        <v>503008.32217996736</v>
      </c>
      <c r="CN108" s="42">
        <f>CM108*(1+$CP$111)</f>
        <v>477857.90607096895</v>
      </c>
      <c r="CO108" s="42">
        <f t="shared" ref="CO108:DT108" si="28">CN108*(1+$CP$111)</f>
        <v>453965.01076742046</v>
      </c>
      <c r="CP108" s="42">
        <f t="shared" si="28"/>
        <v>431266.76022904943</v>
      </c>
      <c r="CQ108" s="42">
        <f t="shared" si="28"/>
        <v>409703.42221759696</v>
      </c>
      <c r="CR108" s="42">
        <f t="shared" si="28"/>
        <v>389218.2511067171</v>
      </c>
      <c r="CS108" s="42">
        <f t="shared" si="28"/>
        <v>369757.33855138125</v>
      </c>
      <c r="CT108" s="42">
        <f t="shared" si="28"/>
        <v>351269.47162381216</v>
      </c>
      <c r="CU108" s="42">
        <f t="shared" si="28"/>
        <v>333705.99804262153</v>
      </c>
      <c r="CV108" s="42">
        <f t="shared" si="28"/>
        <v>317020.69814049045</v>
      </c>
      <c r="CW108" s="42">
        <f t="shared" si="28"/>
        <v>301169.66323346592</v>
      </c>
      <c r="CX108" s="42">
        <f t="shared" si="28"/>
        <v>286111.18007179262</v>
      </c>
      <c r="CY108" s="42">
        <f t="shared" si="28"/>
        <v>271805.62106820301</v>
      </c>
      <c r="CZ108" s="42">
        <f t="shared" si="28"/>
        <v>258215.34001479283</v>
      </c>
      <c r="DA108" s="42">
        <f t="shared" si="28"/>
        <v>245304.57301405317</v>
      </c>
      <c r="DB108" s="42">
        <f t="shared" si="28"/>
        <v>233039.34436335051</v>
      </c>
      <c r="DC108" s="42">
        <f t="shared" si="28"/>
        <v>221387.37714518298</v>
      </c>
      <c r="DD108" s="42">
        <f t="shared" si="28"/>
        <v>210318.00828792382</v>
      </c>
      <c r="DE108" s="42">
        <f t="shared" si="28"/>
        <v>199802.10787352762</v>
      </c>
      <c r="DF108" s="42">
        <f t="shared" si="28"/>
        <v>189812.00247985125</v>
      </c>
      <c r="DG108" s="42">
        <f t="shared" si="28"/>
        <v>180321.40235585868</v>
      </c>
      <c r="DH108" s="42">
        <f t="shared" si="28"/>
        <v>171305.33223806575</v>
      </c>
      <c r="DI108" s="42">
        <f t="shared" si="28"/>
        <v>162740.06562616245</v>
      </c>
      <c r="DJ108" s="42">
        <f t="shared" si="28"/>
        <v>154603.06234485432</v>
      </c>
      <c r="DK108" s="42">
        <f t="shared" si="28"/>
        <v>146872.90922761158</v>
      </c>
      <c r="DL108" s="42">
        <f t="shared" si="28"/>
        <v>139529.26376623099</v>
      </c>
      <c r="DM108" s="42">
        <f t="shared" si="28"/>
        <v>132552.80057791944</v>
      </c>
      <c r="DN108" s="42">
        <f t="shared" si="28"/>
        <v>125925.16054902345</v>
      </c>
      <c r="DO108" s="42">
        <f t="shared" si="28"/>
        <v>119628.90252157228</v>
      </c>
      <c r="DP108" s="42">
        <f t="shared" si="28"/>
        <v>113647.45739549366</v>
      </c>
      <c r="DQ108" s="42">
        <f t="shared" si="28"/>
        <v>107965.08452571898</v>
      </c>
      <c r="DR108" s="42">
        <f t="shared" si="28"/>
        <v>102566.83029943303</v>
      </c>
      <c r="DS108" s="42">
        <f t="shared" si="28"/>
        <v>97438.48878446137</v>
      </c>
      <c r="DT108" s="42">
        <f t="shared" si="28"/>
        <v>92566.564345238294</v>
      </c>
    </row>
    <row r="109" spans="2:124" x14ac:dyDescent="0.2">
      <c r="B109" s="1" t="s">
        <v>221</v>
      </c>
      <c r="P109" s="46">
        <f t="shared" ref="P109:Y109" si="29">P108/P110</f>
        <v>93.044389856955931</v>
      </c>
      <c r="Q109" s="46">
        <f t="shared" si="29"/>
        <v>48.891542189611854</v>
      </c>
      <c r="R109" s="46">
        <f t="shared" si="29"/>
        <v>87.297638592225283</v>
      </c>
      <c r="S109" s="46">
        <f t="shared" si="29"/>
        <v>97.225684820654266</v>
      </c>
      <c r="T109" s="46">
        <f t="shared" si="29"/>
        <v>100.62328849357075</v>
      </c>
      <c r="U109" s="46">
        <f t="shared" si="29"/>
        <v>81.743387653099859</v>
      </c>
      <c r="V109" s="46">
        <f t="shared" si="29"/>
        <v>69.05873802751033</v>
      </c>
      <c r="W109" s="46">
        <f t="shared" si="29"/>
        <v>66.844447134372388</v>
      </c>
      <c r="X109" s="46">
        <f t="shared" si="29"/>
        <v>66.517326195962468</v>
      </c>
      <c r="Y109" s="46">
        <f t="shared" si="29"/>
        <v>68.871544368932845</v>
      </c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BS109" s="46">
        <f>+BS108/BS110</f>
        <v>275.66603053435114</v>
      </c>
      <c r="BW109" s="46">
        <f>+BW108/BW110</f>
        <v>283.76159793814435</v>
      </c>
      <c r="CH109" s="46">
        <f t="shared" ref="CH109:CM109" si="30">CH108/CH110</f>
        <v>271.77295998375644</v>
      </c>
      <c r="CI109" s="46">
        <f t="shared" si="30"/>
        <v>372.63135939594991</v>
      </c>
      <c r="CJ109" s="49">
        <f t="shared" si="30"/>
        <v>371.00216409618537</v>
      </c>
      <c r="CK109" s="49">
        <f t="shared" si="30"/>
        <v>1096.8092123469582</v>
      </c>
      <c r="CL109" s="49">
        <f t="shared" si="30"/>
        <v>712.70130395941908</v>
      </c>
      <c r="CM109" s="49">
        <f t="shared" si="30"/>
        <v>637.21958349970839</v>
      </c>
    </row>
    <row r="110" spans="2:124" s="15" customFormat="1" x14ac:dyDescent="0.2">
      <c r="B110" s="15" t="s">
        <v>56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42">
        <v>789.66609500000004</v>
      </c>
      <c r="Q110" s="37">
        <f t="shared" ref="Q110:Y110" si="31">789.666095-0.286209</f>
        <v>789.37988600000006</v>
      </c>
      <c r="R110" s="37">
        <f t="shared" si="31"/>
        <v>789.37988600000006</v>
      </c>
      <c r="S110" s="37">
        <f t="shared" si="31"/>
        <v>789.37988600000006</v>
      </c>
      <c r="T110" s="37">
        <f t="shared" si="31"/>
        <v>789.37988600000006</v>
      </c>
      <c r="U110" s="37">
        <f t="shared" si="31"/>
        <v>789.37988600000006</v>
      </c>
      <c r="V110" s="37">
        <f t="shared" si="31"/>
        <v>789.37988600000006</v>
      </c>
      <c r="W110" s="37">
        <f t="shared" si="31"/>
        <v>789.37988600000006</v>
      </c>
      <c r="X110" s="37">
        <f t="shared" si="31"/>
        <v>789.37988600000006</v>
      </c>
      <c r="Y110" s="37">
        <f t="shared" si="31"/>
        <v>789.37988600000006</v>
      </c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>
        <v>1572</v>
      </c>
      <c r="BT110" s="37"/>
      <c r="BU110" s="37"/>
      <c r="BV110" s="37"/>
      <c r="BW110" s="37">
        <v>1552</v>
      </c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>
        <f>789.666095-0.302797</f>
        <v>789.36329799999999</v>
      </c>
      <c r="CI110" s="37">
        <f>789.666095-0.286209</f>
        <v>789.37988600000006</v>
      </c>
      <c r="CJ110" s="37">
        <f>789.666095-0.286209</f>
        <v>789.37988600000006</v>
      </c>
      <c r="CK110" s="37">
        <f>789.666095-0.286209</f>
        <v>789.37988600000006</v>
      </c>
      <c r="CL110" s="37">
        <f>789.666095-0.286209</f>
        <v>789.37988600000006</v>
      </c>
      <c r="CM110" s="37">
        <f>789.666095-0.286209</f>
        <v>789.37988600000006</v>
      </c>
      <c r="CN110" s="37"/>
      <c r="CO110" s="48" t="s">
        <v>282</v>
      </c>
      <c r="CP110" s="51">
        <v>0.02</v>
      </c>
    </row>
    <row r="111" spans="2:124" x14ac:dyDescent="0.2">
      <c r="P111" s="42"/>
      <c r="CO111" s="48" t="s">
        <v>276</v>
      </c>
      <c r="CP111" s="51">
        <v>-0.05</v>
      </c>
    </row>
    <row r="112" spans="2:124" s="17" customFormat="1" x14ac:dyDescent="0.2">
      <c r="B112" s="17" t="s">
        <v>69</v>
      </c>
      <c r="C112" s="36"/>
      <c r="D112" s="36"/>
      <c r="E112" s="36"/>
      <c r="F112" s="43"/>
      <c r="G112" s="43">
        <f>G98/C98-1</f>
        <v>-0.46743365394044767</v>
      </c>
      <c r="H112" s="43"/>
      <c r="I112" s="43"/>
      <c r="J112" s="43"/>
      <c r="K112" s="43"/>
      <c r="L112" s="43">
        <f t="shared" ref="L112:R112" si="32">+L98/H98-1</f>
        <v>7.6423277428904202E-2</v>
      </c>
      <c r="M112" s="43">
        <f t="shared" si="32"/>
        <v>0.12307146538510461</v>
      </c>
      <c r="N112" s="43">
        <f t="shared" si="32"/>
        <v>-4.5111758940337254E-2</v>
      </c>
      <c r="O112" s="43">
        <f t="shared" si="32"/>
        <v>-8.2345542693761709E-2</v>
      </c>
      <c r="P112" s="43">
        <f t="shared" si="32"/>
        <v>-5.8457610838683616E-2</v>
      </c>
      <c r="Q112" s="43">
        <f t="shared" si="32"/>
        <v>7.280020025270062E-3</v>
      </c>
      <c r="R112" s="43">
        <f t="shared" si="32"/>
        <v>-5.1398897558427081E-2</v>
      </c>
      <c r="S112" s="43">
        <f t="shared" ref="S112:Y112" si="33">+S98/O98-1</f>
        <v>-5.8301193170348209E-2</v>
      </c>
      <c r="T112" s="43">
        <f t="shared" si="33"/>
        <v>-1.4464701350092479E-2</v>
      </c>
      <c r="U112" s="43">
        <f t="shared" si="33"/>
        <v>-1.9584697901596781E-3</v>
      </c>
      <c r="V112" s="43">
        <f t="shared" si="33"/>
        <v>-0.14612415089930952</v>
      </c>
      <c r="W112" s="43">
        <f t="shared" si="33"/>
        <v>-0.14945287157254594</v>
      </c>
      <c r="X112" s="43">
        <f t="shared" si="33"/>
        <v>-0.17890134262949287</v>
      </c>
      <c r="Y112" s="43">
        <f t="shared" si="33"/>
        <v>-8.7348665066324327E-2</v>
      </c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36"/>
      <c r="AP112" s="36"/>
      <c r="AQ112" s="36"/>
      <c r="AR112" s="36"/>
      <c r="AS112" s="36"/>
      <c r="AT112" s="36"/>
      <c r="AU112" s="36"/>
      <c r="AV112" s="43">
        <f>AV98/AU98-1</f>
        <v>7.6692789968652031E-2</v>
      </c>
      <c r="AW112" s="43">
        <f>AW98/AV98-1</f>
        <v>5.3351793295417282E-2</v>
      </c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>
        <f>CH98/AW98-1</f>
        <v>0.11895257491998845</v>
      </c>
      <c r="CI112" s="43">
        <f>CI98/CH98-1</f>
        <v>-4.7044988871091875E-2</v>
      </c>
      <c r="CJ112" s="43">
        <f>CJ98/CI98-1</f>
        <v>-2.4364156033738871E-2</v>
      </c>
      <c r="CK112" s="43">
        <f>CK98/CJ98-1</f>
        <v>0.36313780660867212</v>
      </c>
      <c r="CL112" s="43">
        <f>CL98/CK98-1</f>
        <v>-0.33997074134515037</v>
      </c>
      <c r="CM112" s="43">
        <f>CM98/CL98-1</f>
        <v>-0.1470893529582461</v>
      </c>
      <c r="CN112" s="36"/>
      <c r="CO112" s="48" t="s">
        <v>277</v>
      </c>
      <c r="CP112" s="51">
        <v>0.12</v>
      </c>
    </row>
    <row r="113" spans="2:94" x14ac:dyDescent="0.2">
      <c r="B113" s="1" t="s">
        <v>126</v>
      </c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V113" s="41"/>
      <c r="AW113" s="41">
        <f>AW108/AV108-1</f>
        <v>0.84013640302248227</v>
      </c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>
        <f>CH108/AW108-1</f>
        <v>-0.45689215189873411</v>
      </c>
      <c r="CI113" s="41">
        <f>CI108/CH108-1</f>
        <v>0.37114152211650153</v>
      </c>
      <c r="CJ113" s="41">
        <f>CJ108/CI108-1</f>
        <v>-4.3721368550557749E-3</v>
      </c>
      <c r="CK113" s="41">
        <f>CK108/CJ108-1</f>
        <v>1.9563418181641694</v>
      </c>
      <c r="CL113" s="41">
        <f>CL108/CK108-1</f>
        <v>-0.35020485246073285</v>
      </c>
      <c r="CM113" s="41">
        <f>CM108/CL108-1</f>
        <v>-0.10590933402306291</v>
      </c>
      <c r="CO113" s="48" t="s">
        <v>249</v>
      </c>
      <c r="CP113" s="37">
        <f>NPV(CP112,CL108:EH108)+Main!K6-Main!K7+CK108</f>
        <v>-64809.196681200294</v>
      </c>
    </row>
    <row r="114" spans="2:94" x14ac:dyDescent="0.2"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O114" s="48" t="s">
        <v>250</v>
      </c>
      <c r="CP114" s="37">
        <f>CP113/Main!K4</f>
        <v>-41.785629051203728</v>
      </c>
    </row>
    <row r="116" spans="2:94" x14ac:dyDescent="0.2">
      <c r="B116" s="1" t="s">
        <v>87</v>
      </c>
      <c r="F116" s="41">
        <f>F100/F98</f>
        <v>0.80429827506667428</v>
      </c>
      <c r="G116" s="41">
        <f>G100/G98</f>
        <v>0.80008183904014496</v>
      </c>
      <c r="H116" s="41">
        <f>H100/H98</f>
        <v>0.79877670515764609</v>
      </c>
      <c r="I116" s="41">
        <f t="shared" ref="I116:T116" si="34">I100/I98</f>
        <v>0.78385686842792213</v>
      </c>
      <c r="J116" s="41">
        <f t="shared" si="34"/>
        <v>0.80188519984579765</v>
      </c>
      <c r="K116" s="41">
        <f t="shared" si="34"/>
        <v>0.82430367158307316</v>
      </c>
      <c r="L116" s="41">
        <f t="shared" si="34"/>
        <v>0.82164450735554317</v>
      </c>
      <c r="M116" s="41">
        <f t="shared" si="34"/>
        <v>0.79654981285908411</v>
      </c>
      <c r="N116" s="41">
        <f t="shared" si="34"/>
        <v>0.81176694100169666</v>
      </c>
      <c r="O116" s="41">
        <f t="shared" si="34"/>
        <v>0.816599198886516</v>
      </c>
      <c r="P116" s="41">
        <f t="shared" si="34"/>
        <v>0.80067544893461084</v>
      </c>
      <c r="Q116" s="41">
        <f t="shared" si="34"/>
        <v>0.79162413947144983</v>
      </c>
      <c r="R116" s="41">
        <f t="shared" si="34"/>
        <v>0.79665533605193906</v>
      </c>
      <c r="S116" s="41">
        <f t="shared" si="34"/>
        <v>0.7814524704747452</v>
      </c>
      <c r="T116" s="41">
        <f t="shared" si="34"/>
        <v>0.7708775418477003</v>
      </c>
      <c r="U116" s="41">
        <v>0.77</v>
      </c>
      <c r="V116" s="41">
        <v>0.77</v>
      </c>
      <c r="W116" s="41">
        <v>0.77</v>
      </c>
      <c r="X116" s="41">
        <v>0.77</v>
      </c>
      <c r="Y116" s="41">
        <v>0.77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V116" s="41">
        <f>AV100/AV98</f>
        <v>0.78572703722971848</v>
      </c>
      <c r="AW116" s="41">
        <v>0.79</v>
      </c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>
        <f>CH100/CH98</f>
        <v>0.81178169138601708</v>
      </c>
      <c r="CI116" s="41">
        <f>CI100/CI98</f>
        <v>0.80554515285153461</v>
      </c>
      <c r="CJ116" s="41">
        <v>0.81</v>
      </c>
      <c r="CK116" s="41">
        <v>0.81</v>
      </c>
      <c r="CL116" s="41">
        <v>0.82</v>
      </c>
      <c r="CM116" s="41">
        <v>0.82</v>
      </c>
    </row>
    <row r="117" spans="2:94" x14ac:dyDescent="0.2">
      <c r="B117" s="26" t="s">
        <v>275</v>
      </c>
      <c r="F117" s="41"/>
      <c r="G117" s="41"/>
      <c r="H117" s="41"/>
      <c r="I117" s="41"/>
      <c r="J117" s="41"/>
      <c r="K117" s="41"/>
      <c r="L117" s="41"/>
      <c r="M117" s="41"/>
      <c r="N117" s="41">
        <f t="shared" ref="N117:S117" si="35">N101/N98</f>
        <v>0.30910582964137667</v>
      </c>
      <c r="O117" s="41">
        <f t="shared" si="35"/>
        <v>0.31826464369574686</v>
      </c>
      <c r="P117" s="41">
        <f t="shared" si="35"/>
        <v>0.29760022335990205</v>
      </c>
      <c r="Q117" s="41"/>
      <c r="R117" s="41">
        <f t="shared" si="35"/>
        <v>0.31216585349570791</v>
      </c>
      <c r="S117" s="41">
        <f t="shared" si="35"/>
        <v>0.29731444995726702</v>
      </c>
      <c r="T117" s="41">
        <f>T101/T98</f>
        <v>0.28954386347230354</v>
      </c>
      <c r="U117" s="41">
        <v>0.28999999999999998</v>
      </c>
      <c r="V117" s="41">
        <v>0.28999999999999998</v>
      </c>
      <c r="W117" s="41">
        <v>0.28999999999999998</v>
      </c>
      <c r="X117" s="41">
        <v>0.28999999999999998</v>
      </c>
      <c r="Y117" s="41">
        <v>0.28999999999999998</v>
      </c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V117" s="41">
        <f>AV101/AV98</f>
        <v>0.4344309961866949</v>
      </c>
      <c r="AW117" s="41">
        <f>AW101/AW98</f>
        <v>0.40830298952574917</v>
      </c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>
        <f t="shared" ref="CH117:CM117" si="36">CH101/CH98</f>
        <v>0.61256123499677573</v>
      </c>
      <c r="CI117" s="41">
        <f t="shared" si="36"/>
        <v>0.3167128819583005</v>
      </c>
      <c r="CJ117" s="41">
        <f t="shared" si="36"/>
        <v>0.32137580335718002</v>
      </c>
      <c r="CK117" s="41">
        <f t="shared" si="36"/>
        <v>0.18860942851066573</v>
      </c>
      <c r="CL117" s="41">
        <f t="shared" si="36"/>
        <v>0.22860735464370757</v>
      </c>
      <c r="CM117" s="41">
        <f t="shared" si="36"/>
        <v>0.21442560759358531</v>
      </c>
    </row>
    <row r="118" spans="2:94" x14ac:dyDescent="0.2">
      <c r="B118" s="1" t="s">
        <v>288</v>
      </c>
      <c r="K118" s="56">
        <f t="shared" ref="K118:S118" si="37">K107/K106</f>
        <v>0.3626660495255728</v>
      </c>
      <c r="L118" s="56">
        <f t="shared" si="37"/>
        <v>0.35230210433793496</v>
      </c>
      <c r="M118" s="56">
        <f t="shared" si="37"/>
        <v>6.8698436316775385E-2</v>
      </c>
      <c r="N118" s="56">
        <f t="shared" si="37"/>
        <v>0.18564310484379989</v>
      </c>
      <c r="O118" s="56">
        <f t="shared" si="37"/>
        <v>0.34633080779848469</v>
      </c>
      <c r="P118" s="56">
        <f t="shared" si="37"/>
        <v>0.37899149720235981</v>
      </c>
      <c r="Q118" s="56">
        <f t="shared" si="37"/>
        <v>0.17123346504037107</v>
      </c>
      <c r="R118" s="56">
        <f t="shared" si="37"/>
        <v>0.3656590017858129</v>
      </c>
      <c r="S118" s="56">
        <f t="shared" si="37"/>
        <v>0.34313029039960974</v>
      </c>
      <c r="T118" s="56">
        <f>T107/T106</f>
        <v>0.32872463596643203</v>
      </c>
      <c r="U118" s="41">
        <f>T118</f>
        <v>0.32872463596643203</v>
      </c>
      <c r="V118" s="41">
        <f>U118</f>
        <v>0.32872463596643203</v>
      </c>
      <c r="W118" s="41">
        <f>V118</f>
        <v>0.32872463596643203</v>
      </c>
      <c r="X118" s="41">
        <f>W118</f>
        <v>0.32872463596643203</v>
      </c>
      <c r="Y118" s="41">
        <f>X118</f>
        <v>0.32872463596643203</v>
      </c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</row>
    <row r="119" spans="2:94" x14ac:dyDescent="0.2">
      <c r="B119" s="26" t="s">
        <v>61</v>
      </c>
      <c r="AW119" s="37">
        <v>2110000</v>
      </c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>
        <v>976000</v>
      </c>
      <c r="CJ119" s="37">
        <f>CI119+CJ108</f>
        <v>1268861.6460000002</v>
      </c>
      <c r="CK119" s="37">
        <f>CJ119+CK108</f>
        <v>2134660.7770061921</v>
      </c>
      <c r="CL119" s="37">
        <f>CK119+CL108</f>
        <v>2697252.8510777298</v>
      </c>
      <c r="CM119" s="37">
        <f>CL119+CM108</f>
        <v>3200261.1732576974</v>
      </c>
    </row>
    <row r="120" spans="2:94" x14ac:dyDescent="0.2">
      <c r="CJ120" s="37"/>
      <c r="CK120" s="37"/>
      <c r="CL120" s="37"/>
      <c r="CM120" s="37"/>
    </row>
    <row r="121" spans="2:94" s="15" customFormat="1" x14ac:dyDescent="0.2">
      <c r="B121" s="15" t="s">
        <v>251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>
        <v>326273</v>
      </c>
      <c r="CI121" s="37">
        <v>381168</v>
      </c>
      <c r="CJ121" s="37"/>
      <c r="CK121" s="37"/>
      <c r="CL121" s="37"/>
      <c r="CM121" s="37"/>
      <c r="CN121" s="37"/>
      <c r="CO121" s="37"/>
      <c r="CP121" s="37"/>
    </row>
    <row r="122" spans="2:94" s="15" customFormat="1" x14ac:dyDescent="0.2">
      <c r="B122" s="15" t="s">
        <v>252</v>
      </c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>
        <v>39464</v>
      </c>
      <c r="CI122" s="37">
        <v>86960</v>
      </c>
      <c r="CJ122" s="37"/>
      <c r="CK122" s="37"/>
      <c r="CL122" s="37"/>
      <c r="CM122" s="37"/>
      <c r="CN122" s="37"/>
      <c r="CO122" s="37"/>
      <c r="CP122" s="37"/>
    </row>
    <row r="123" spans="2:94" s="15" customFormat="1" x14ac:dyDescent="0.2">
      <c r="B123" s="15" t="s">
        <v>253</v>
      </c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>
        <f>CH121-CH122</f>
        <v>286809</v>
      </c>
      <c r="CI123" s="37">
        <f>CI121-CI122</f>
        <v>294208</v>
      </c>
      <c r="CJ123" s="37"/>
      <c r="CK123" s="37"/>
      <c r="CL123" s="37"/>
      <c r="CM123" s="37"/>
      <c r="CN123" s="37"/>
      <c r="CO123" s="37"/>
      <c r="CP123" s="37"/>
    </row>
    <row r="127" spans="2:94" x14ac:dyDescent="0.2">
      <c r="B127" s="26" t="s">
        <v>270</v>
      </c>
      <c r="R127" s="37">
        <f>R5+R11+R16+R19+SUM(R27:R39)+R41</f>
        <v>140448</v>
      </c>
      <c r="S127" s="37">
        <f>S5+S11+S16+S19+SUM(S27:S39)</f>
        <v>115800</v>
      </c>
      <c r="T127" s="37">
        <v>162300</v>
      </c>
    </row>
    <row r="128" spans="2:94" x14ac:dyDescent="0.2">
      <c r="B128" s="26" t="s">
        <v>272</v>
      </c>
      <c r="R128" s="37">
        <f>+R6+R12+R17+R20+R42</f>
        <v>126000</v>
      </c>
      <c r="S128" s="37">
        <f>+S6+S12+S17+S20+S42</f>
        <v>122000</v>
      </c>
      <c r="T128" s="37">
        <v>112800</v>
      </c>
    </row>
    <row r="129" spans="2:20" x14ac:dyDescent="0.2">
      <c r="B129" s="26" t="s">
        <v>271</v>
      </c>
      <c r="R129" s="37">
        <f>+R7+R13+R21+R43</f>
        <v>38800</v>
      </c>
      <c r="S129" s="37">
        <f>+S7+S13+S21+S43</f>
        <v>34300</v>
      </c>
      <c r="T129" s="37">
        <v>36700</v>
      </c>
    </row>
    <row r="130" spans="2:20" x14ac:dyDescent="0.2">
      <c r="R130" s="37">
        <f>+R44+R8+R14+R22</f>
        <v>5200</v>
      </c>
      <c r="S130" s="37">
        <f>+S44+S8+S14+S22</f>
        <v>6200</v>
      </c>
      <c r="T130" s="37">
        <v>6100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C7B1F-3C55-44F8-A636-0828C64E1C02}">
  <dimension ref="A1:C4"/>
  <sheetViews>
    <sheetView zoomScale="220" zoomScaleNormal="220" workbookViewId="0"/>
  </sheetViews>
  <sheetFormatPr defaultRowHeight="12.75" x14ac:dyDescent="0.2"/>
  <cols>
    <col min="1" max="1" width="5" bestFit="1" customWidth="1"/>
  </cols>
  <sheetData>
    <row r="1" spans="1:3" x14ac:dyDescent="0.2">
      <c r="A1" s="18" t="s">
        <v>12</v>
      </c>
    </row>
    <row r="2" spans="1:3" x14ac:dyDescent="0.2">
      <c r="B2" s="58" t="s">
        <v>429</v>
      </c>
      <c r="C2" s="58" t="s">
        <v>434</v>
      </c>
    </row>
    <row r="3" spans="1:3" x14ac:dyDescent="0.2">
      <c r="B3" s="58" t="s">
        <v>430</v>
      </c>
      <c r="C3" s="58" t="s">
        <v>431</v>
      </c>
    </row>
    <row r="4" spans="1:3" x14ac:dyDescent="0.2">
      <c r="B4" s="58" t="s">
        <v>1</v>
      </c>
      <c r="C4" s="58" t="s">
        <v>432</v>
      </c>
    </row>
  </sheetData>
  <hyperlinks>
    <hyperlink ref="A1" location="Main!A1" display="Main" xr:uid="{2F7190AB-EE67-4E28-9C6C-67CB5C6ACF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zoomScale="130" workbookViewId="0"/>
  </sheetViews>
  <sheetFormatPr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 x14ac:dyDescent="0.2">
      <c r="A1" s="14" t="s">
        <v>12</v>
      </c>
    </row>
    <row r="2" spans="1:3" x14ac:dyDescent="0.2">
      <c r="B2" s="1" t="s">
        <v>13</v>
      </c>
      <c r="C2" s="1" t="s">
        <v>119</v>
      </c>
    </row>
    <row r="3" spans="1:3" x14ac:dyDescent="0.2">
      <c r="B3" s="1" t="s">
        <v>2</v>
      </c>
      <c r="C3" s="1" t="s">
        <v>120</v>
      </c>
    </row>
    <row r="4" spans="1:3" x14ac:dyDescent="0.2">
      <c r="B4" s="1" t="s">
        <v>1</v>
      </c>
      <c r="C4" s="1" t="s">
        <v>121</v>
      </c>
    </row>
    <row r="5" spans="1:3" x14ac:dyDescent="0.2">
      <c r="B5" s="1" t="s">
        <v>7</v>
      </c>
      <c r="C5" s="25">
        <v>39761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="145"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8" t="s">
        <v>12</v>
      </c>
    </row>
    <row r="2" spans="1:3" x14ac:dyDescent="0.2">
      <c r="B2" t="s">
        <v>13</v>
      </c>
      <c r="C2" t="s">
        <v>21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zoomScaleNormal="10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12</v>
      </c>
    </row>
    <row r="2" spans="1:3" x14ac:dyDescent="0.2">
      <c r="B2" s="1" t="s">
        <v>13</v>
      </c>
      <c r="C2" s="26" t="s">
        <v>269</v>
      </c>
    </row>
    <row r="3" spans="1:3" x14ac:dyDescent="0.2">
      <c r="B3" s="1" t="s">
        <v>14</v>
      </c>
      <c r="C3" s="1" t="s">
        <v>222</v>
      </c>
    </row>
    <row r="4" spans="1:3" x14ac:dyDescent="0.2">
      <c r="B4" s="1" t="s">
        <v>1</v>
      </c>
      <c r="C4" s="1" t="s">
        <v>122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zoomScale="120" workbookViewId="0"/>
  </sheetViews>
  <sheetFormatPr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4" t="s">
        <v>12</v>
      </c>
    </row>
    <row r="2" spans="1:3" x14ac:dyDescent="0.2">
      <c r="B2" s="1" t="s">
        <v>13</v>
      </c>
      <c r="C2" s="59" t="s">
        <v>435</v>
      </c>
    </row>
    <row r="3" spans="1:3" x14ac:dyDescent="0.2">
      <c r="B3" s="1" t="s">
        <v>14</v>
      </c>
      <c r="C3" s="58" t="s">
        <v>88</v>
      </c>
    </row>
    <row r="4" spans="1:3" x14ac:dyDescent="0.2">
      <c r="B4" s="1" t="s">
        <v>1</v>
      </c>
      <c r="C4" s="1" t="s">
        <v>26</v>
      </c>
    </row>
    <row r="5" spans="1:3" x14ac:dyDescent="0.2">
      <c r="B5" s="1" t="s">
        <v>2</v>
      </c>
      <c r="C5" s="1" t="s">
        <v>142</v>
      </c>
    </row>
    <row r="6" spans="1:3" x14ac:dyDescent="0.2">
      <c r="B6" s="1" t="s">
        <v>62</v>
      </c>
      <c r="C6" s="1" t="s">
        <v>89</v>
      </c>
    </row>
    <row r="7" spans="1:3" x14ac:dyDescent="0.2">
      <c r="B7" s="1" t="s">
        <v>117</v>
      </c>
      <c r="C7" s="26" t="s">
        <v>143</v>
      </c>
    </row>
    <row r="8" spans="1:3" x14ac:dyDescent="0.2">
      <c r="B8" s="1" t="s">
        <v>3</v>
      </c>
      <c r="C8" s="1" t="s">
        <v>139</v>
      </c>
    </row>
    <row r="9" spans="1:3" x14ac:dyDescent="0.2">
      <c r="C9" s="1" t="s">
        <v>140</v>
      </c>
    </row>
    <row r="10" spans="1:3" x14ac:dyDescent="0.2">
      <c r="B10" s="1" t="s">
        <v>137</v>
      </c>
    </row>
    <row r="11" spans="1:3" x14ac:dyDescent="0.2">
      <c r="C11" s="24" t="s">
        <v>138</v>
      </c>
    </row>
    <row r="12" spans="1:3" x14ac:dyDescent="0.2">
      <c r="C12" s="1" t="s">
        <v>141</v>
      </c>
    </row>
  </sheetData>
  <phoneticPr fontId="3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zoomScale="16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12</v>
      </c>
    </row>
    <row r="2" spans="1:3" x14ac:dyDescent="0.2">
      <c r="B2" s="1" t="s">
        <v>13</v>
      </c>
      <c r="C2" s="1" t="s">
        <v>11</v>
      </c>
    </row>
    <row r="3" spans="1:3" x14ac:dyDescent="0.2">
      <c r="B3" s="1" t="s">
        <v>14</v>
      </c>
      <c r="C3" s="1" t="s">
        <v>116</v>
      </c>
    </row>
    <row r="4" spans="1:3" x14ac:dyDescent="0.2">
      <c r="B4" s="1" t="s">
        <v>117</v>
      </c>
      <c r="C4" s="17" t="s">
        <v>118</v>
      </c>
    </row>
    <row r="5" spans="1:3" x14ac:dyDescent="0.2">
      <c r="B5" s="1" t="s">
        <v>15</v>
      </c>
      <c r="C5" s="1" t="s">
        <v>16</v>
      </c>
    </row>
    <row r="6" spans="1:3" x14ac:dyDescent="0.2">
      <c r="B6" s="1" t="s">
        <v>54</v>
      </c>
      <c r="C6" s="1" t="s">
        <v>55</v>
      </c>
    </row>
    <row r="7" spans="1:3" x14ac:dyDescent="0.2">
      <c r="B7" s="1" t="s">
        <v>62</v>
      </c>
      <c r="C7" s="1" t="s">
        <v>63</v>
      </c>
    </row>
    <row r="8" spans="1:3" x14ac:dyDescent="0.2">
      <c r="B8" s="1" t="s">
        <v>17</v>
      </c>
    </row>
    <row r="9" spans="1:3" x14ac:dyDescent="0.2">
      <c r="C9" s="1" t="s">
        <v>18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C6D05E-B893-4633-AB73-49C81EE81F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DDB01B-6A67-42CA-B809-AEC97CEC78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2F1151A-1AB6-4EC7-9FA4-3C32E8ADF1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</vt:lpstr>
      <vt:lpstr>Main</vt:lpstr>
      <vt:lpstr>Model</vt:lpstr>
      <vt:lpstr>Entyvio</vt:lpstr>
      <vt:lpstr>Prevacid</vt:lpstr>
      <vt:lpstr>Lupron</vt:lpstr>
      <vt:lpstr>Dexilant</vt:lpstr>
      <vt:lpstr>alogliptin</vt:lpstr>
      <vt:lpstr>475</vt:lpstr>
      <vt:lpstr>Velcade</vt:lpstr>
      <vt:lpstr>Actos</vt:lpstr>
      <vt:lpstr>literature</vt:lpstr>
    </vt:vector>
  </TitlesOfParts>
  <Company>Intrepid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mshkreli</dc:creator>
  <cp:lastModifiedBy>Martin Shkreli</cp:lastModifiedBy>
  <dcterms:created xsi:type="dcterms:W3CDTF">2005-08-31T12:52:14Z</dcterms:created>
  <dcterms:modified xsi:type="dcterms:W3CDTF">2023-03-12T20:06:25Z</dcterms:modified>
</cp:coreProperties>
</file>