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4F3A1A36-BC65-4627-9105-016A960F2E03}" xr6:coauthVersionLast="47" xr6:coauthVersionMax="47" xr10:uidLastSave="{00000000-0000-0000-0000-000000000000}"/>
  <bookViews>
    <workbookView xWindow="2010" yWindow="4215" windowWidth="24345" windowHeight="15345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4" i="1" l="1"/>
  <c r="R24" i="1"/>
  <c r="R23" i="1"/>
  <c r="R22" i="1"/>
  <c r="R21" i="1"/>
  <c r="R20" i="1"/>
  <c r="R19" i="1"/>
  <c r="R18" i="1"/>
  <c r="R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N157" i="1"/>
  <c r="R157" i="1" s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25" i="1"/>
  <c r="R26" i="1"/>
  <c r="R27" i="1"/>
  <c r="R28" i="1"/>
  <c r="R29" i="1"/>
  <c r="R30" i="1"/>
  <c r="R32" i="1"/>
  <c r="R34" i="1"/>
  <c r="R33" i="1"/>
  <c r="A4" i="1"/>
  <c r="A5" i="1" s="1"/>
  <c r="A26" i="1" l="1"/>
  <c r="A27" i="1" s="1"/>
  <c r="A38" i="1" s="1"/>
  <c r="A39" i="1" s="1"/>
  <c r="A40" i="1" s="1"/>
  <c r="W27" i="1" s="1"/>
  <c r="A41" i="1" s="1"/>
  <c r="A42" i="1" s="1"/>
  <c r="A43" i="1" s="1"/>
  <c r="A44" i="1" s="1"/>
  <c r="A45" i="1" s="1"/>
  <c r="A46" i="1" s="1"/>
  <c r="A47" i="1" l="1"/>
  <c r="A48" i="1" s="1"/>
  <c r="W28" i="1" s="1"/>
  <c r="A49" i="1" l="1"/>
  <c r="A50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W29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l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l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l="1"/>
  <c r="A189" i="1" s="1"/>
  <c r="A190" i="1" s="1"/>
  <c r="A191" i="1" s="1"/>
  <c r="A192" i="1" s="1"/>
  <c r="A193" i="1" s="1"/>
  <c r="A195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7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l="1"/>
  <c r="A322" i="1" s="1"/>
  <c r="A324" i="1" s="1"/>
  <c r="A325" i="1" s="1"/>
  <c r="A326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l="1"/>
  <c r="A378" i="1" s="1"/>
  <c r="A379" i="1" s="1"/>
  <c r="A380" i="1" s="1"/>
  <c r="A381" i="1" s="1"/>
  <c r="A382" i="1" s="1"/>
  <c r="A383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6" i="1" s="1"/>
  <c r="A467" i="1" l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2" i="1" s="1"/>
  <c r="A483" i="1" s="1"/>
  <c r="A484" i="1" s="1"/>
  <c r="A485" i="1" s="1"/>
  <c r="A4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62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<sst xmlns="http://schemas.openxmlformats.org/spreadsheetml/2006/main" count="1837" uniqueCount="1207">
  <si>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</si>
  <si>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</si>
  <si>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</si>
  <si>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</si>
  <si>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</si>
  <si>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</si>
  <si>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</si>
  <si>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</si>
  <si>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</si>
  <si>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</si>
  <si>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</si>
  <si>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</si>
  <si>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</si>
  <si>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</si>
  <si>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</si>
  <si>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</si>
  <si>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</si>
  <si>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</si>
  <si>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</si>
  <si>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</si>
  <si>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</si>
  <si>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</si>
  <si>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</si>
  <si>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</si>
  <si>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</si>
  <si>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</si>
  <si>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</si>
  <si>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</si>
  <si>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</si>
  <si>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</si>
  <si>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</si>
  <si>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</si>
  <si>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</si>
  <si>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</si>
  <si>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</si>
  <si>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</si>
  <si>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</si>
  <si>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</si>
  <si>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</si>
  <si>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</si>
  <si>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</si>
  <si>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</si>
  <si>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</si>
  <si>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</si>
  <si>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</si>
  <si>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</si>
  <si>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</si>
  <si>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</si>
  <si>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</si>
  <si>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</si>
  <si>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</si>
  <si>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</si>
  <si>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</si>
  <si>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</si>
  <si>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</si>
  <si>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</si>
  <si>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</si>
  <si>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</si>
  <si>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</si>
  <si>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</si>
  <si>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</si>
  <si>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</si>
  <si>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</si>
  <si>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</si>
  <si>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</si>
  <si>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</si>
  <si>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</si>
  <si>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</si>
  <si>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</si>
  <si>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</si>
  <si>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</si>
  <si>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</si>
  <si>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</si>
  <si>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</si>
  <si>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</si>
  <si>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</si>
  <si>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</si>
  <si>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</si>
  <si>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</si>
  <si>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</si>
  <si>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</si>
  <si>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</si>
  <si>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</si>
  <si>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</si>
  <si>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</si>
  <si>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</si>
  <si>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</si>
  <si>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</si>
  <si>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</si>
  <si>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</si>
  <si>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</si>
  <si>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</si>
  <si>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</si>
  <si>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</si>
  <si>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</si>
  <si>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</si>
  <si>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</si>
  <si>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</si>
  <si>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</si>
  <si>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</si>
  <si>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</si>
  <si>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</si>
  <si>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</si>
  <si>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</si>
  <si>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</si>
  <si>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</si>
  <si>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</si>
  <si>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</si>
  <si>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</si>
  <si>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</si>
  <si>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</si>
  <si>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</si>
  <si>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</si>
  <si>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</si>
  <si>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</si>
  <si>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</si>
  <si>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</si>
  <si>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</si>
  <si>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</si>
  <si>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</si>
  <si>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</si>
  <si>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</si>
  <si>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</si>
  <si>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</si>
  <si>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</si>
  <si>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</si>
  <si>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</si>
  <si>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</si>
  <si>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</si>
  <si>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</si>
  <si>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</si>
  <si>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</si>
  <si>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</si>
  <si>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</si>
  <si>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</si>
  <si>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</si>
  <si>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</si>
  <si>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</si>
  <si>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</si>
  <si>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</si>
  <si>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</si>
  <si>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</si>
  <si>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</si>
  <si>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</si>
  <si>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</si>
  <si>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</si>
  <si>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</si>
  <si>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</si>
  <si>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</si>
  <si>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</si>
  <si>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</si>
  <si>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</si>
  <si>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</si>
  <si>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</si>
  <si>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</si>
  <si>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</si>
  <si>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</si>
  <si>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</si>
  <si>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</si>
  <si>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</si>
  <si>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</si>
  <si>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</si>
  <si>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</si>
  <si>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</si>
  <si>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</si>
  <si>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</si>
  <si>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</si>
  <si>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</si>
  <si>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</si>
  <si>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</si>
  <si>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</si>
  <si>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</si>
  <si>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</si>
  <si>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</si>
  <si>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</si>
  <si>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</si>
  <si>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</si>
  <si>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</si>
  <si>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</si>
  <si>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</si>
  <si>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</si>
  <si>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</si>
  <si>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</si>
  <si>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</si>
  <si>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</si>
  <si>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</si>
  <si>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</si>
  <si>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</si>
  <si>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</si>
  <si>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</si>
  <si>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</si>
  <si>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</si>
  <si>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</si>
  <si>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</si>
  <si>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</si>
  <si>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</si>
  <si>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</si>
  <si>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</si>
  <si>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</si>
  <si>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</si>
  <si>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</si>
  <si>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</si>
  <si>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</si>
  <si>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</si>
  <si>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</si>
  <si>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</si>
  <si>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</si>
  <si>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</si>
  <si>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</si>
  <si>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</si>
  <si>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</si>
  <si>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</si>
  <si>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</si>
  <si>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</si>
  <si>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</si>
  <si>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</si>
  <si>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</si>
  <si>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</si>
  <si>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</si>
  <si>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</si>
  <si>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</si>
  <si>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</si>
  <si>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</si>
  <si>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</si>
  <si>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</si>
  <si>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</si>
  <si>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</si>
  <si>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</si>
  <si>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</si>
  <si>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</si>
  <si>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</si>
  <si>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</si>
  <si>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</si>
  <si>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</si>
  <si>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</si>
  <si>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</si>
  <si>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</si>
  <si>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</si>
  <si>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</si>
  <si>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</si>
  <si>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</si>
  <si>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</si>
  <si>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</si>
  <si>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</si>
  <si>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</si>
  <si>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</si>
  <si>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</si>
  <si>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</si>
  <si>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</si>
  <si>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</si>
  <si>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</si>
  <si>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</si>
  <si>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</si>
  <si>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</si>
  <si>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</si>
  <si>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</si>
  <si>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</si>
  <si>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</si>
  <si>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</si>
  <si>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</si>
  <si>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</si>
  <si>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</si>
  <si>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</si>
  <si>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</si>
  <si>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</si>
  <si>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</si>
  <si>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</si>
  <si>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</si>
  <si>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</si>
  <si>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</si>
  <si>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</si>
  <si>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</si>
  <si>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</si>
  <si>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</si>
  <si>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</si>
  <si>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</si>
  <si>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</si>
  <si>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</si>
  <si>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</si>
  <si>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</si>
  <si>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</si>
  <si>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</si>
  <si>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</si>
  <si>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</si>
  <si>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</si>
  <si>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</si>
  <si>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</si>
  <si>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</si>
  <si>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</si>
  <si>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</si>
  <si>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</si>
  <si>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</si>
  <si>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</si>
  <si>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</si>
  <si>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</si>
  <si>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</si>
  <si>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</si>
  <si>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</si>
  <si>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</si>
  <si>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</si>
  <si>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</si>
  <si>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</si>
  <si>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</si>
  <si>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</si>
  <si>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</si>
  <si>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</si>
  <si>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</si>
  <si>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</si>
  <si>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</si>
  <si>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</si>
  <si>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</si>
  <si>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</si>
  <si>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</si>
  <si>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</si>
  <si>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</si>
  <si>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</si>
  <si>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</si>
  <si>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</si>
  <si>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</si>
  <si>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</si>
  <si>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</si>
  <si>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</si>
  <si>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</si>
  <si>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</si>
  <si>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</si>
  <si>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</si>
  <si>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</si>
  <si>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</si>
  <si>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</si>
  <si>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</si>
  <si>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</si>
  <si>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</si>
  <si>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</si>
  <si>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</si>
  <si>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</si>
  <si>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</si>
  <si>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</si>
  <si>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</si>
  <si>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</si>
  <si>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</si>
  <si>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</si>
  <si>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</si>
  <si>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</si>
  <si>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</si>
  <si>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</si>
  <si>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</si>
  <si>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</si>
  <si>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</si>
  <si>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</si>
  <si>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</si>
  <si>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</si>
  <si>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</si>
  <si>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</si>
  <si>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</si>
  <si>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</si>
  <si>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</si>
  <si>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</si>
  <si>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</si>
  <si>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</si>
  <si>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</si>
  <si>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</si>
  <si>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</si>
  <si>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</si>
  <si>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</si>
  <si>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</si>
  <si>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</si>
  <si>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</si>
  <si>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</si>
  <si>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</si>
  <si>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</si>
  <si>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</si>
  <si>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</si>
  <si>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</si>
  <si>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</si>
  <si>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</si>
  <si>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</si>
  <si>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</si>
  <si>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</si>
  <si>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</si>
  <si>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</si>
  <si>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</si>
  <si>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</si>
  <si>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</si>
  <si>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</si>
  <si>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</si>
  <si>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</si>
  <si>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</si>
  <si>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</si>
  <si>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</si>
  <si>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</si>
  <si>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</si>
  <si>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</si>
  <si>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</si>
  <si>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</si>
  <si>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</si>
  <si>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</si>
  <si>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</si>
  <si>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</si>
  <si>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</si>
  <si>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</si>
  <si>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</si>
  <si>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</si>
  <si>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</si>
  <si>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</si>
  <si>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</si>
  <si>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</si>
  <si>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</si>
  <si>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</si>
  <si>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</si>
  <si>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</si>
  <si>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</si>
  <si>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</si>
  <si>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</si>
  <si>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</si>
  <si>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</si>
  <si>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</si>
  <si>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</si>
  <si>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</si>
  <si>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</si>
  <si>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</si>
  <si>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</si>
  <si>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</si>
  <si>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</si>
  <si>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</si>
  <si>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</si>
  <si>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</si>
  <si>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</si>
  <si>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</si>
  <si>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</si>
  <si>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</si>
  <si>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</si>
  <si>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</si>
  <si>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</si>
  <si>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</si>
  <si>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</si>
  <si>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</si>
  <si>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</si>
  <si>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</si>
  <si>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</si>
  <si>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</si>
  <si>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</si>
  <si>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</si>
  <si>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</si>
  <si>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</si>
  <si>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</si>
  <si>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</si>
  <si>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</si>
  <si>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</si>
  <si>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</si>
  <si>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</si>
  <si>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</si>
  <si>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</si>
  <si>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</si>
  <si>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</si>
  <si>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</si>
  <si>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</si>
  <si>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</si>
  <si>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</si>
  <si>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</si>
  <si>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</si>
  <si>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</si>
  <si>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</si>
  <si>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</si>
  <si>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</si>
  <si>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</si>
  <si>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</si>
  <si>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</si>
  <si>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</si>
  <si>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</si>
  <si>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</si>
  <si>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</si>
  <si>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</si>
  <si>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</si>
  <si>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</si>
  <si>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</si>
  <si>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</si>
  <si>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</si>
  <si>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</si>
  <si>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</si>
  <si>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</si>
  <si>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</si>
  <si>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</si>
  <si>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</si>
  <si>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</si>
  <si>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</si>
  <si>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</si>
  <si>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</si>
  <si>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</si>
  <si>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</si>
  <si>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</si>
  <si>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</si>
  <si>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</si>
  <si>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</si>
  <si>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</si>
  <si>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</si>
  <si>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</si>
  <si>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</si>
  <si>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</si>
  <si>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</si>
  <si>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</si>
  <si>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</si>
  <si>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</si>
  <si>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</si>
  <si>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</si>
  <si>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</si>
  <si>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</si>
  <si>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</si>
  <si>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</si>
  <si>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</si>
  <si>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</si>
  <si>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</si>
  <si>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</si>
  <si>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</si>
  <si>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</si>
  <si>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</si>
  <si>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</si>
  <si>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</si>
  <si>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</si>
  <si>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</si>
  <si>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</si>
  <si>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</si>
  <si>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</si>
  <si>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</si>
  <si>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</si>
  <si>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</si>
  <si>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</si>
  <si>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</si>
  <si>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</si>
  <si>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</si>
  <si>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</si>
  <si>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</si>
  <si>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</si>
  <si>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</si>
  <si>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</si>
  <si>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</si>
  <si>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</si>
  <si>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</si>
  <si>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</si>
  <si>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</si>
  <si>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</si>
  <si>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</si>
  <si>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</si>
  <si>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</si>
  <si>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</si>
  <si>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</si>
  <si>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</si>
  <si>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</si>
  <si>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</si>
  <si>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</si>
  <si>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</si>
  <si>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</si>
  <si>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</si>
  <si>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</si>
  <si>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</si>
  <si>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</si>
  <si>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</si>
  <si>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</si>
  <si>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</si>
  <si>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</si>
  <si>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</si>
  <si>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</si>
  <si>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</si>
  <si>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</si>
  <si>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</si>
  <si>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</si>
  <si>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</si>
  <si>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</si>
  <si>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</si>
  <si>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</si>
  <si>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</si>
  <si>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</si>
  <si>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</si>
  <si>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</si>
  <si>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</si>
  <si>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</si>
  <si>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</si>
  <si>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</si>
  <si>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</si>
  <si>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</si>
  <si>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</si>
  <si>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</si>
  <si>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</si>
  <si>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</si>
  <si>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</si>
  <si>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</si>
  <si>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</si>
  <si>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</si>
  <si>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</si>
  <si>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</si>
  <si>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</si>
  <si>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</si>
  <si>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</si>
  <si>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</si>
  <si>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</si>
  <si>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</si>
  <si>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</si>
  <si>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</si>
  <si>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</si>
  <si>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</si>
  <si>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</si>
  <si>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</si>
  <si>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</si>
  <si>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</si>
  <si>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</si>
  <si>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</si>
  <si>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</si>
  <si>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</si>
  <si>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</si>
  <si>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</si>
  <si>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</si>
  <si>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</si>
  <si>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</si>
  <si>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</si>
  <si>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</si>
  <si>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</si>
  <si>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</si>
  <si>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</si>
  <si>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</si>
  <si>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</si>
  <si>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</si>
  <si>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</si>
  <si>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</si>
  <si>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</si>
  <si>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</si>
  <si>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</si>
  <si>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</si>
  <si>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</si>
  <si>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</si>
  <si>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</si>
  <si>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</si>
  <si>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</si>
  <si>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</si>
  <si>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</si>
  <si>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</si>
  <si>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</si>
  <si>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</si>
  <si>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</si>
  <si>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</si>
  <si>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</si>
  <si>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</si>
  <si>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</si>
  <si>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</si>
  <si>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</si>
  <si>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</si>
  <si>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</si>
  <si>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</si>
  <si>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</si>
  <si>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</si>
  <si>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</si>
  <si>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</si>
  <si>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</si>
  <si>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</si>
  <si>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</si>
  <si>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</si>
  <si>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</si>
  <si>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</si>
  <si>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</si>
  <si>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</si>
  <si>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</si>
  <si>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</si>
  <si>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</si>
  <si>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</si>
  <si>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</si>
  <si>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</si>
  <si>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</si>
  <si>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</si>
  <si>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</si>
  <si>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</si>
  <si>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</si>
  <si>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</si>
  <si>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</si>
  <si>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</si>
  <si>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</si>
  <si>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</si>
  <si>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</si>
  <si>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</si>
  <si>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</si>
  <si>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</si>
  <si>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</si>
  <si>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</si>
  <si>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</si>
  <si>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</si>
  <si>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</si>
  <si>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</si>
  <si>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</si>
  <si>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</si>
  <si>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</si>
  <si>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</si>
  <si>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</si>
  <si>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</si>
  <si>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</si>
  <si>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</si>
  <si>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</si>
  <si>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</si>
  <si>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</si>
  <si>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</si>
  <si>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</si>
  <si>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</si>
  <si>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</si>
  <si>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</si>
  <si>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</si>
  <si>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</si>
  <si>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</si>
  <si>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</si>
  <si>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</si>
  <si>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</si>
  <si>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</si>
  <si>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</si>
  <si>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</si>
  <si>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</si>
  <si>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</si>
  <si>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</si>
  <si>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</si>
  <si>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</si>
  <si>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</si>
  <si>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</si>
  <si>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</si>
  <si>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</si>
  <si>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</si>
  <si>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</si>
  <si>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</si>
  <si>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</si>
  <si>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</si>
  <si>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</si>
  <si>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</si>
  <si>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</si>
  <si>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</si>
  <si>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</si>
  <si>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</si>
  <si>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</si>
  <si>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</si>
  <si>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</si>
  <si>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</si>
  <si>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</si>
  <si>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</si>
  <si>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</si>
  <si>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</si>
  <si>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</si>
  <si>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</si>
  <si>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</si>
  <si>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</si>
  <si>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</si>
  <si>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</si>
  <si>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</si>
  <si>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</si>
  <si>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</si>
  <si>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</si>
  <si>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</si>
  <si>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</si>
  <si>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</si>
  <si>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</si>
  <si>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</si>
  <si>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</si>
  <si>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</si>
  <si>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</si>
  <si>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</si>
  <si>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</si>
  <si>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</si>
  <si>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</si>
  <si>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</si>
  <si>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</si>
  <si>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</si>
  <si>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</si>
  <si>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</si>
  <si>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</si>
  <si>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</si>
  <si>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</si>
  <si>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</si>
  <si>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</si>
  <si>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</si>
  <si>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</si>
  <si>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</si>
  <si>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</si>
  <si>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</si>
  <si>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</si>
  <si>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</si>
  <si>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</si>
  <si>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</si>
  <si>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</si>
  <si>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</si>
  <si>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</si>
  <si>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</si>
  <si>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</si>
  <si>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</si>
  <si>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</si>
  <si>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</si>
  <si>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</si>
  <si>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</si>
  <si>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</si>
  <si>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</si>
  <si>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</si>
  <si>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</si>
  <si>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</si>
  <si>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</si>
  <si>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</si>
  <si>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</si>
  <si>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</si>
  <si>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</si>
  <si>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</si>
  <si>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</si>
  <si>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</si>
  <si>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</si>
  <si>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</si>
  <si>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</si>
  <si>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</si>
  <si>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</si>
  <si>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</si>
  <si>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</si>
  <si>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</si>
  <si>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</si>
  <si>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</si>
  <si>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</si>
  <si>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</si>
  <si>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</si>
  <si>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</si>
  <si>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</si>
  <si>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</si>
  <si>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</si>
  <si>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</si>
  <si>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</si>
  <si>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</si>
  <si>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</si>
  <si>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</si>
  <si>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</si>
  <si>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</si>
  <si>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</si>
  <si>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</si>
  <si>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</si>
  <si>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</si>
  <si>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</si>
  <si>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</si>
  <si>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</si>
  <si>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</si>
  <si>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</si>
  <si>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</si>
  <si>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</si>
  <si>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</si>
  <si>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</si>
  <si>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</si>
  <si>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</si>
  <si>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</si>
  <si>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</si>
  <si>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</si>
  <si>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</si>
  <si>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</si>
  <si>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</si>
  <si>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</si>
  <si>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</si>
  <si>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</si>
  <si>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</si>
  <si>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</si>
  <si>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</si>
  <si>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</si>
  <si>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</si>
  <si>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</si>
  <si>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</si>
  <si>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</si>
  <si>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</si>
  <si>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</si>
  <si>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</si>
  <si>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</si>
  <si>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</si>
  <si>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</si>
  <si>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</si>
  <si>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</si>
  <si>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</si>
  <si>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</si>
  <si>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</si>
  <si>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</si>
  <si>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</si>
  <si>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</si>
  <si>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</si>
  <si>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</si>
  <si>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</si>
  <si>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</si>
  <si>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</si>
  <si>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</si>
  <si>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</si>
  <si>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</si>
  <si>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</si>
  <si>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</si>
  <si>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</si>
  <si>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</si>
  <si>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</si>
  <si>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</si>
  <si>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</si>
  <si>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</si>
  <si>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</si>
  <si>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</si>
  <si>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</si>
  <si>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</si>
  <si>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</si>
  <si>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</si>
  <si>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</si>
  <si>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</si>
  <si>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</si>
  <si>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</si>
  <si>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</si>
  <si>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</si>
  <si>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</si>
  <si>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</si>
  <si>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</si>
  <si>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</si>
  <si>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</si>
  <si>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</si>
  <si>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</si>
  <si>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</si>
  <si>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</si>
  <si>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</si>
  <si>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</si>
  <si>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</si>
  <si>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</si>
  <si>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</si>
  <si>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</si>
  <si>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</si>
  <si>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</si>
  <si>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</si>
  <si>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</si>
  <si>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</si>
  <si>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</si>
  <si>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</si>
  <si>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</si>
  <si>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</si>
  <si>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</si>
  <si>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</si>
  <si>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</si>
  <si>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</si>
  <si>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</si>
  <si>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</si>
  <si>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</si>
  <si>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</si>
  <si>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</si>
  <si>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</si>
  <si>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</si>
  <si>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</si>
  <si>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</si>
  <si>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</si>
  <si>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</si>
  <si>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</si>
  <si>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</si>
  <si>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</si>
  <si>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</si>
  <si>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</si>
  <si>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</si>
  <si>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</si>
  <si>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</si>
  <si>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</si>
  <si>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</si>
  <si>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</si>
  <si>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</si>
  <si>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</si>
  <si>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</si>
  <si>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</si>
  <si>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</si>
  <si>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</si>
  <si>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</si>
  <si>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</si>
  <si>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</si>
  <si>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</si>
  <si>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</si>
  <si>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</si>
  <si>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</si>
  <si>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</si>
  <si>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</si>
  <si>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</si>
  <si>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</si>
  <si>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</si>
  <si>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</si>
  <si>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</si>
  <si>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</si>
  <si>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</si>
  <si>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</si>
  <si>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</si>
  <si>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</si>
  <si>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</si>
  <si>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</si>
  <si>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</si>
  <si>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</si>
  <si>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</si>
  <si>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</si>
  <si>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</si>
  <si>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</si>
  <si>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</si>
  <si>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</si>
  <si>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</si>
  <si>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</si>
  <si>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</si>
  <si>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</si>
  <si>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</si>
  <si>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</si>
  <si>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</si>
  <si>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</si>
  <si>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</si>
  <si>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</si>
  <si>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</si>
  <si>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</si>
  <si>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</si>
  <si>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</si>
  <si>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</si>
  <si>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</si>
  <si>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</si>
  <si>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</si>
  <si>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</si>
  <si>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</si>
  <si>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</si>
  <si>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</si>
  <si>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</si>
  <si>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1:!4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</si>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</sst>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62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Z1019"/>
  <sheetViews>
    <sheetView tabSelected="1" zoomScale="130" zoomScaleNormal="130" workbookViewId="0">
      <pane xSplit="6" ySplit="2" topLeftCell="G595" activePane="bottomRight" state="frozen"/>
      <selection pane="topRight" activeCell="E1" sqref="E1"/>
      <selection pane="bottomLeft" activeCell="A3" sqref="A3"/>
      <selection pane="bottomRight" activeCell="D611" sqref="D611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1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10.42578125" style="1" customWidth="1"/>
    <col min="14" max="14" width="10.140625" style="1" customWidth="1"/>
    <col min="15" max="15" width="9.42578125" style="1" customWidth="1"/>
    <col min="16" max="16" width="9.42578125" customWidth="1"/>
    <col min="17" max="17" width="9.140625" bestFit="1" customWidth="1"/>
    <col min="23" max="23" width="22.140625" customWidth="1"/>
    <col min="24" max="24" width="14.28515625" customWidth="1"/>
    <col min="25" max="25" width="8.140625" customWidth="1"/>
    <col min="26" max="26" width="9.42578125" bestFit="1" customWidth="1"/>
  </cols>
  <sheetData>
    <row r="1" spans="1:24" x14ac:dyDescent="0.2">
      <c r="G1" s="2" t="s">
        <v>742</v>
      </c>
      <c r="H1" s="15" t="s">
        <v>741</v>
      </c>
      <c r="I1" s="15" t="s">
        <v>740</v>
      </c>
      <c r="J1" s="2" t="s">
        <v>736</v>
      </c>
      <c r="O1" s="49" t="s">
        <v>746</v>
      </c>
      <c r="P1" s="49"/>
    </row>
    <row r="2" spans="1:24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M2" s="24">
        <v>45127</v>
      </c>
      <c r="N2" s="24">
        <v>45121</v>
      </c>
      <c r="O2" s="24">
        <v>45089</v>
      </c>
      <c r="P2" s="18">
        <v>45088</v>
      </c>
      <c r="Q2" t="s">
        <v>747</v>
      </c>
      <c r="R2" t="s">
        <v>768</v>
      </c>
      <c r="S2" t="s">
        <v>773</v>
      </c>
    </row>
    <row r="3" spans="1:24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M3" s="2">
        <v>77620</v>
      </c>
      <c r="N3" s="2">
        <v>77990</v>
      </c>
      <c r="Q3" s="19">
        <v>0.44027777777777777</v>
      </c>
      <c r="R3" s="8">
        <f>(10+(34/60))*N3</f>
        <v>824094.33333333337</v>
      </c>
      <c r="S3">
        <v>1998</v>
      </c>
    </row>
    <row r="4" spans="1:24" x14ac:dyDescent="0.2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30740</v>
      </c>
      <c r="Q4" s="19">
        <v>0.84930555555555554</v>
      </c>
      <c r="R4" s="8">
        <f>(20+(23/60))*N4</f>
        <v>626583.66666666663</v>
      </c>
      <c r="S4">
        <v>2005</v>
      </c>
      <c r="W4" t="s">
        <v>157</v>
      </c>
    </row>
    <row r="5" spans="1:24" x14ac:dyDescent="0.2">
      <c r="A5" s="2">
        <f t="shared" ref="A5:A68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M5" s="1">
        <v>15730</v>
      </c>
      <c r="N5" s="2">
        <v>15760</v>
      </c>
      <c r="Q5" s="19">
        <v>0.44305555555555554</v>
      </c>
      <c r="R5" s="8">
        <f>(10+(38/60))*N5</f>
        <v>167581.33333333331</v>
      </c>
      <c r="S5">
        <v>2004</v>
      </c>
    </row>
    <row r="6" spans="1:24" x14ac:dyDescent="0.2">
      <c r="A6" s="2">
        <v>4</v>
      </c>
      <c r="B6" s="2">
        <v>4</v>
      </c>
      <c r="C6" s="2">
        <v>12</v>
      </c>
      <c r="D6" t="s">
        <v>22</v>
      </c>
      <c r="E6" t="s">
        <v>2</v>
      </c>
      <c r="F6" s="2">
        <v>1000000</v>
      </c>
      <c r="G6" s="2">
        <v>2096</v>
      </c>
      <c r="H6" s="15">
        <v>74.86</v>
      </c>
      <c r="I6" s="15">
        <v>50.16</v>
      </c>
      <c r="N6" s="2">
        <v>2318</v>
      </c>
      <c r="Q6" s="19">
        <v>0.31597222222222221</v>
      </c>
      <c r="R6" s="8">
        <f>(7+(35/60))*N6</f>
        <v>17578.166666666664</v>
      </c>
      <c r="S6">
        <v>1994</v>
      </c>
    </row>
    <row r="7" spans="1:24" x14ac:dyDescent="0.2">
      <c r="A7" s="2">
        <v>6</v>
      </c>
      <c r="B7" s="2">
        <v>5</v>
      </c>
      <c r="C7" s="2">
        <v>13</v>
      </c>
      <c r="D7" s="3" t="s">
        <v>23</v>
      </c>
      <c r="E7" s="3" t="s">
        <v>724</v>
      </c>
      <c r="F7" s="4">
        <v>4400</v>
      </c>
      <c r="G7" s="4">
        <v>2989</v>
      </c>
      <c r="H7" s="16">
        <v>106.7</v>
      </c>
      <c r="I7" s="15">
        <v>56.75</v>
      </c>
      <c r="L7" s="1" t="s">
        <v>16</v>
      </c>
      <c r="N7" s="2">
        <v>3203</v>
      </c>
      <c r="Q7" s="19">
        <v>0.36736111111111108</v>
      </c>
      <c r="R7" s="8">
        <f>(8+(49/60))*N7</f>
        <v>28239.783333333333</v>
      </c>
      <c r="S7">
        <v>1995</v>
      </c>
    </row>
    <row r="8" spans="1:24" x14ac:dyDescent="0.2">
      <c r="A8" s="2">
        <v>5</v>
      </c>
      <c r="B8" s="2">
        <v>6</v>
      </c>
      <c r="C8" s="2">
        <v>5</v>
      </c>
      <c r="D8" t="s">
        <v>24</v>
      </c>
      <c r="E8" t="s">
        <v>4</v>
      </c>
      <c r="F8" s="2">
        <v>20000</v>
      </c>
      <c r="G8" s="2">
        <v>5910</v>
      </c>
      <c r="H8" s="15">
        <v>211</v>
      </c>
      <c r="I8" s="15">
        <v>113.1</v>
      </c>
      <c r="K8" s="1" t="s">
        <v>12</v>
      </c>
      <c r="L8" s="1" t="s">
        <v>16</v>
      </c>
      <c r="N8" s="2">
        <v>5997</v>
      </c>
      <c r="Q8" s="19">
        <v>0.45</v>
      </c>
      <c r="R8" s="8">
        <f>(10+(48/60))*N8</f>
        <v>64767.600000000006</v>
      </c>
      <c r="S8">
        <v>2006</v>
      </c>
    </row>
    <row r="9" spans="1:24" x14ac:dyDescent="0.2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15">
        <v>210.1</v>
      </c>
      <c r="I9" s="15">
        <v>121.4</v>
      </c>
      <c r="L9" s="1" t="s">
        <v>16</v>
      </c>
      <c r="N9" s="2">
        <v>6141</v>
      </c>
      <c r="Q9" s="19">
        <v>0.34583333333333338</v>
      </c>
      <c r="R9" s="8">
        <f>(8+(18/60))*N9</f>
        <v>50970.3</v>
      </c>
      <c r="S9">
        <v>2010</v>
      </c>
    </row>
    <row r="10" spans="1:24" x14ac:dyDescent="0.2">
      <c r="A10" s="2">
        <v>450</v>
      </c>
      <c r="B10" s="2" t="s">
        <v>775</v>
      </c>
      <c r="C10" s="2">
        <v>8</v>
      </c>
      <c r="D10" t="s">
        <v>774</v>
      </c>
      <c r="I10" s="15"/>
      <c r="N10" s="2">
        <v>3107</v>
      </c>
      <c r="Q10" s="19">
        <v>0.38194444444444442</v>
      </c>
      <c r="R10" s="8">
        <f>(9+(10/60))*N10</f>
        <v>28480.833333333332</v>
      </c>
      <c r="S10">
        <v>1997</v>
      </c>
    </row>
    <row r="11" spans="1:24" x14ac:dyDescent="0.2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4022</v>
      </c>
      <c r="O11" s="7"/>
      <c r="Q11" s="19">
        <v>0.16111111111111112</v>
      </c>
      <c r="R11" s="8">
        <f>(3+(52/60))*N11</f>
        <v>15551.733333333334</v>
      </c>
      <c r="S11">
        <v>2001</v>
      </c>
      <c r="W11" s="10" t="s">
        <v>568</v>
      </c>
    </row>
    <row r="12" spans="1:24" x14ac:dyDescent="0.2">
      <c r="A12" s="2">
        <v>14</v>
      </c>
      <c r="B12" s="2">
        <v>9</v>
      </c>
      <c r="C12" s="2">
        <v>19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1605</v>
      </c>
      <c r="Q12" s="19">
        <v>0.35486111111111113</v>
      </c>
      <c r="R12" s="8">
        <f>(8+(31/60))*N12</f>
        <v>13669.250000000002</v>
      </c>
      <c r="S12">
        <v>2005</v>
      </c>
      <c r="U12" s="1">
        <v>1600</v>
      </c>
      <c r="W12" t="s">
        <v>196</v>
      </c>
      <c r="X12" t="s">
        <v>0</v>
      </c>
    </row>
    <row r="13" spans="1:24" x14ac:dyDescent="0.2">
      <c r="A13" s="2">
        <v>13</v>
      </c>
      <c r="B13" s="2">
        <v>10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1073</v>
      </c>
      <c r="Q13" s="19">
        <v>0.28194444444444444</v>
      </c>
      <c r="R13" s="8">
        <f>(6+(46/60))*N13</f>
        <v>7260.6333333333332</v>
      </c>
      <c r="S13">
        <v>2015</v>
      </c>
      <c r="U13" s="1">
        <v>2800</v>
      </c>
      <c r="W13" t="s">
        <v>346</v>
      </c>
      <c r="X13" t="s">
        <v>0</v>
      </c>
    </row>
    <row r="14" spans="1:24" x14ac:dyDescent="0.2">
      <c r="A14" s="2">
        <v>19</v>
      </c>
      <c r="B14" s="2">
        <v>11</v>
      </c>
      <c r="C14" s="2">
        <v>23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1201</v>
      </c>
      <c r="Q14" s="19">
        <v>0.41875000000000001</v>
      </c>
      <c r="R14" s="8">
        <f>(10+(3/60))*N14</f>
        <v>12070.050000000001</v>
      </c>
      <c r="S14">
        <v>2010</v>
      </c>
      <c r="W14" t="s">
        <v>404</v>
      </c>
      <c r="X14" t="s">
        <v>0</v>
      </c>
    </row>
    <row r="15" spans="1:24" x14ac:dyDescent="0.2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>
        <v>657.6</v>
      </c>
      <c r="Q15" s="19">
        <v>0.28680555555555554</v>
      </c>
      <c r="R15" s="8">
        <f>(6+(53/60))*N15</f>
        <v>4526.4799999999996</v>
      </c>
      <c r="S15">
        <v>2007</v>
      </c>
    </row>
    <row r="16" spans="1:24" x14ac:dyDescent="0.2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>
        <v>1570</v>
      </c>
      <c r="Q16" s="19">
        <v>0.3125</v>
      </c>
      <c r="R16" s="8">
        <f>(7.5)*N16</f>
        <v>11775</v>
      </c>
      <c r="S16">
        <v>2002</v>
      </c>
    </row>
    <row r="17" spans="1:26" x14ac:dyDescent="0.2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>
        <v>548.9</v>
      </c>
      <c r="Q17" s="19">
        <v>0.13819444444444443</v>
      </c>
      <c r="R17" s="8">
        <f>(3+(19/60))*N17</f>
        <v>1820.5183333333332</v>
      </c>
    </row>
    <row r="18" spans="1:26" x14ac:dyDescent="0.2">
      <c r="A18" s="2">
        <v>10</v>
      </c>
      <c r="B18" s="2" t="s">
        <v>775</v>
      </c>
      <c r="C18" s="2">
        <v>7</v>
      </c>
      <c r="D18" t="s">
        <v>30</v>
      </c>
      <c r="I18" s="15"/>
      <c r="N18" s="2">
        <v>2697</v>
      </c>
      <c r="Q18" s="19">
        <v>0.36180555555555555</v>
      </c>
      <c r="R18" s="8">
        <f>(8+(41/60))*N18</f>
        <v>23418.95</v>
      </c>
      <c r="S18">
        <v>2007</v>
      </c>
    </row>
    <row r="19" spans="1:26" x14ac:dyDescent="0.2">
      <c r="A19" s="2">
        <v>9</v>
      </c>
      <c r="B19" s="2" t="s">
        <v>775</v>
      </c>
      <c r="C19" s="2">
        <v>10</v>
      </c>
      <c r="D19" t="s">
        <v>28</v>
      </c>
      <c r="I19" s="15"/>
      <c r="N19" s="2">
        <v>2392</v>
      </c>
      <c r="Q19" s="19">
        <v>0.35486111111111113</v>
      </c>
      <c r="R19" s="8">
        <f>(8+(31/60))*N19</f>
        <v>20371.866666666669</v>
      </c>
      <c r="S19">
        <v>2007</v>
      </c>
    </row>
    <row r="20" spans="1:26" x14ac:dyDescent="0.2">
      <c r="A20" s="2">
        <v>11</v>
      </c>
      <c r="B20" s="2" t="s">
        <v>775</v>
      </c>
      <c r="C20" s="2">
        <v>9</v>
      </c>
      <c r="D20" t="s">
        <v>33</v>
      </c>
      <c r="I20" s="15"/>
      <c r="N20" s="2">
        <v>2157</v>
      </c>
      <c r="Q20" s="19">
        <v>0.3</v>
      </c>
      <c r="R20" s="8">
        <f>(7+(12/60))*N20</f>
        <v>15530.4</v>
      </c>
      <c r="S20">
        <v>1997</v>
      </c>
    </row>
    <row r="21" spans="1:26" x14ac:dyDescent="0.2">
      <c r="A21" s="2">
        <v>1024</v>
      </c>
      <c r="B21" s="2" t="s">
        <v>775</v>
      </c>
      <c r="C21" s="2">
        <v>18</v>
      </c>
      <c r="D21" t="s">
        <v>776</v>
      </c>
      <c r="I21" s="15"/>
      <c r="N21" s="2">
        <v>1892</v>
      </c>
      <c r="Q21" s="19">
        <v>0.39374999999999999</v>
      </c>
      <c r="R21" s="8">
        <f>(9+(27/60))*N21</f>
        <v>17879.399999999998</v>
      </c>
      <c r="S21">
        <v>1996</v>
      </c>
    </row>
    <row r="22" spans="1:26" x14ac:dyDescent="0.2">
      <c r="A22" s="2">
        <v>24237</v>
      </c>
      <c r="B22" s="2" t="s">
        <v>775</v>
      </c>
      <c r="C22" s="2">
        <v>25</v>
      </c>
      <c r="D22" t="s">
        <v>777</v>
      </c>
      <c r="I22" s="15"/>
      <c r="N22" s="2">
        <v>1647</v>
      </c>
      <c r="Q22" s="19">
        <v>0.23611111111111113</v>
      </c>
      <c r="R22" s="8">
        <f>(5+(40/60))*N22</f>
        <v>9333</v>
      </c>
      <c r="S22">
        <v>1992</v>
      </c>
    </row>
    <row r="23" spans="1:26" x14ac:dyDescent="0.2">
      <c r="A23" s="2">
        <v>3282</v>
      </c>
      <c r="B23" s="2" t="s">
        <v>775</v>
      </c>
      <c r="C23" s="2">
        <v>33</v>
      </c>
      <c r="D23" t="s">
        <v>778</v>
      </c>
      <c r="I23" s="15"/>
      <c r="N23" s="2">
        <v>1343</v>
      </c>
      <c r="Q23" s="19">
        <v>0.37083333333333335</v>
      </c>
      <c r="R23" s="8">
        <f>(8+(54/60))*N23</f>
        <v>11952.7</v>
      </c>
      <c r="S23">
        <v>2015</v>
      </c>
    </row>
    <row r="24" spans="1:26" x14ac:dyDescent="0.2">
      <c r="A24" s="2">
        <v>345</v>
      </c>
      <c r="B24" s="2" t="s">
        <v>775</v>
      </c>
      <c r="C24" s="2">
        <v>18</v>
      </c>
      <c r="D24" t="s">
        <v>779</v>
      </c>
      <c r="I24" s="15"/>
      <c r="N24" s="2">
        <v>1162</v>
      </c>
      <c r="Q24" s="19">
        <v>0.52500000000000002</v>
      </c>
      <c r="R24" s="8">
        <f>(12+(36/60))*N24</f>
        <v>14641.199999999999</v>
      </c>
      <c r="S24">
        <v>2006</v>
      </c>
    </row>
    <row r="25" spans="1:26" x14ac:dyDescent="0.2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>
        <v>912.3</v>
      </c>
      <c r="Q25" s="19">
        <v>9.2361111111111116E-2</v>
      </c>
      <c r="R25" s="8">
        <f>(2+(13/60))*N25</f>
        <v>2022.2650000000001</v>
      </c>
    </row>
    <row r="26" spans="1:26" x14ac:dyDescent="0.2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>
        <v>569.79999999999995</v>
      </c>
      <c r="Q26" s="19">
        <v>0.1277777777777778</v>
      </c>
      <c r="R26" s="8">
        <f>(3+(4/60))*N26</f>
        <v>1747.3866666666665</v>
      </c>
      <c r="W26" s="10" t="s">
        <v>678</v>
      </c>
    </row>
    <row r="27" spans="1:26" x14ac:dyDescent="0.2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>
        <v>325.5</v>
      </c>
      <c r="Q27" s="19">
        <v>0.37361111111111112</v>
      </c>
      <c r="R27" s="8">
        <f>(8+(58/60))*N27</f>
        <v>2918.65</v>
      </c>
      <c r="W27" s="11">
        <f>A40+1</f>
        <v>30</v>
      </c>
      <c r="X27" s="11" t="s">
        <v>51</v>
      </c>
      <c r="Y27" s="11" t="s">
        <v>7</v>
      </c>
      <c r="Z27" s="12"/>
    </row>
    <row r="28" spans="1:26" x14ac:dyDescent="0.2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>
        <v>1846</v>
      </c>
      <c r="Q28" s="19">
        <v>0.33611111111111108</v>
      </c>
      <c r="R28" s="8">
        <f>(8+(4/60))*N28</f>
        <v>14891.066666666666</v>
      </c>
      <c r="S28">
        <v>2005</v>
      </c>
      <c r="W28" s="11">
        <f>A48+1</f>
        <v>39</v>
      </c>
      <c r="X28" t="s">
        <v>61</v>
      </c>
      <c r="Y28" t="s">
        <v>7</v>
      </c>
      <c r="Z28" s="2"/>
    </row>
    <row r="29" spans="1:26" x14ac:dyDescent="0.2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>
        <v>746.8</v>
      </c>
      <c r="Q29" s="19">
        <v>0.36180555555555555</v>
      </c>
      <c r="R29" s="8">
        <f>(8+(41/60))*N29</f>
        <v>6484.7133333333331</v>
      </c>
      <c r="W29" s="11">
        <f>A75+1</f>
        <v>67</v>
      </c>
      <c r="X29" t="s">
        <v>92</v>
      </c>
      <c r="Y29" t="s">
        <v>7</v>
      </c>
    </row>
    <row r="30" spans="1:26" x14ac:dyDescent="0.2">
      <c r="A30" s="2">
        <v>21</v>
      </c>
      <c r="B30" s="2">
        <v>20</v>
      </c>
      <c r="C30" s="2">
        <v>29</v>
      </c>
      <c r="D30" t="s">
        <v>41</v>
      </c>
      <c r="E30" t="s">
        <v>7</v>
      </c>
      <c r="F30" s="2">
        <v>2000000</v>
      </c>
      <c r="G30" s="2">
        <v>1155</v>
      </c>
      <c r="H30" s="15">
        <v>41.27</v>
      </c>
      <c r="I30" s="15">
        <v>22.19</v>
      </c>
      <c r="L30" s="1" t="s">
        <v>16</v>
      </c>
      <c r="N30" s="2">
        <v>1095</v>
      </c>
      <c r="Q30" s="19">
        <v>0.27777777777777779</v>
      </c>
      <c r="R30" s="8">
        <f>(6+(40/60))*N30</f>
        <v>7300</v>
      </c>
      <c r="S30">
        <v>2009</v>
      </c>
      <c r="X30" t="s">
        <v>258</v>
      </c>
    </row>
    <row r="31" spans="1:26" x14ac:dyDescent="0.2">
      <c r="D31" t="s">
        <v>58</v>
      </c>
      <c r="E31" t="s">
        <v>6</v>
      </c>
      <c r="I31" s="15"/>
      <c r="N31" s="2"/>
      <c r="Q31" s="19"/>
      <c r="R31" s="8"/>
    </row>
    <row r="32" spans="1:26" x14ac:dyDescent="0.2">
      <c r="A32" s="2">
        <v>21</v>
      </c>
      <c r="D32" t="s">
        <v>42</v>
      </c>
      <c r="E32" t="s">
        <v>530</v>
      </c>
      <c r="F32" s="2">
        <v>3420</v>
      </c>
      <c r="G32" s="2">
        <v>404.8</v>
      </c>
      <c r="H32" s="15">
        <v>14.45</v>
      </c>
      <c r="I32" s="15">
        <v>6.4640000000000004</v>
      </c>
      <c r="N32" s="2">
        <v>178.8</v>
      </c>
      <c r="Q32" s="19">
        <v>0.45624999999999999</v>
      </c>
      <c r="R32" s="8">
        <f>(10+(57/60))*N32</f>
        <v>1957.86</v>
      </c>
    </row>
    <row r="33" spans="1:25" x14ac:dyDescent="0.2">
      <c r="A33" s="2">
        <v>22</v>
      </c>
      <c r="D33" t="s">
        <v>43</v>
      </c>
      <c r="E33" t="s">
        <v>519</v>
      </c>
      <c r="F33" s="2">
        <v>412860</v>
      </c>
      <c r="G33" s="2">
        <v>343.9</v>
      </c>
      <c r="H33" s="15">
        <v>12.28</v>
      </c>
      <c r="I33" s="15">
        <v>9.984</v>
      </c>
      <c r="K33" s="1" t="s">
        <v>11</v>
      </c>
      <c r="L33" s="1" t="s">
        <v>11</v>
      </c>
      <c r="N33" s="2">
        <v>387</v>
      </c>
      <c r="Q33" s="19">
        <v>0.19166666666666665</v>
      </c>
      <c r="R33" s="8">
        <f>(4+(36/60))*N33</f>
        <v>1780.1999999999998</v>
      </c>
    </row>
    <row r="34" spans="1:25" x14ac:dyDescent="0.2">
      <c r="A34" s="2">
        <v>34</v>
      </c>
      <c r="B34" s="2">
        <v>23</v>
      </c>
      <c r="C34" s="2">
        <v>27</v>
      </c>
      <c r="D34" t="s">
        <v>44</v>
      </c>
      <c r="E34" t="s">
        <v>520</v>
      </c>
      <c r="F34" s="2">
        <v>152910</v>
      </c>
      <c r="G34" s="2">
        <v>1291</v>
      </c>
      <c r="H34" s="15">
        <v>46.11</v>
      </c>
      <c r="I34" s="15">
        <v>24.61</v>
      </c>
      <c r="N34" s="2">
        <v>1390</v>
      </c>
      <c r="Q34" s="19">
        <v>0.2298611111111111</v>
      </c>
      <c r="R34" s="8">
        <f>(5+(31/60))*N34</f>
        <v>7668.166666666667</v>
      </c>
      <c r="S34">
        <v>1997</v>
      </c>
    </row>
    <row r="35" spans="1:25" x14ac:dyDescent="0.2">
      <c r="A35" s="2">
        <v>39</v>
      </c>
      <c r="B35" s="2">
        <v>24</v>
      </c>
      <c r="C35" s="2">
        <v>36</v>
      </c>
      <c r="D35" t="s">
        <v>45</v>
      </c>
      <c r="E35" t="s">
        <v>679</v>
      </c>
      <c r="F35" s="2">
        <v>1000</v>
      </c>
      <c r="G35" s="2">
        <v>1037</v>
      </c>
      <c r="H35" s="15">
        <v>37.07</v>
      </c>
      <c r="I35" s="15">
        <v>29.69</v>
      </c>
      <c r="N35" s="2">
        <v>1197</v>
      </c>
      <c r="Q35" s="19">
        <v>4.027777777777778E-2</v>
      </c>
      <c r="R35" s="8">
        <f>(58/60)*N35</f>
        <v>1157.0999999999999</v>
      </c>
      <c r="S35">
        <v>1982</v>
      </c>
    </row>
    <row r="36" spans="1:25" x14ac:dyDescent="0.2">
      <c r="A36" s="2">
        <v>23</v>
      </c>
      <c r="B36" s="2">
        <v>25</v>
      </c>
      <c r="C36" s="2">
        <v>14</v>
      </c>
      <c r="D36" t="s">
        <v>46</v>
      </c>
      <c r="E36" t="s">
        <v>6</v>
      </c>
      <c r="F36" s="2">
        <v>180000</v>
      </c>
      <c r="G36" s="2">
        <v>1898</v>
      </c>
      <c r="H36" s="15">
        <v>67.81</v>
      </c>
      <c r="I36" s="15">
        <v>52.79</v>
      </c>
      <c r="N36" s="2">
        <v>2042</v>
      </c>
      <c r="Q36" s="19">
        <v>0.15625</v>
      </c>
      <c r="R36" s="8">
        <f>(3+(45/60))*N36</f>
        <v>7657.5</v>
      </c>
      <c r="S36">
        <v>2016</v>
      </c>
    </row>
    <row r="37" spans="1:25" x14ac:dyDescent="0.2">
      <c r="A37" s="2">
        <v>26</v>
      </c>
      <c r="D37" t="s">
        <v>47</v>
      </c>
      <c r="E37" t="s">
        <v>531</v>
      </c>
      <c r="F37" s="8">
        <v>10740</v>
      </c>
      <c r="G37" s="2">
        <v>291.8</v>
      </c>
      <c r="H37" s="15">
        <v>10.42</v>
      </c>
      <c r="I37" s="15">
        <v>7.625</v>
      </c>
      <c r="N37" s="2">
        <v>312.60000000000002</v>
      </c>
      <c r="Q37" s="19">
        <v>0.25763888888888892</v>
      </c>
      <c r="R37" s="8">
        <f>(6+(11/60))*N37</f>
        <v>1932.9100000000003</v>
      </c>
    </row>
    <row r="38" spans="1:25" x14ac:dyDescent="0.2">
      <c r="A38" s="2">
        <f t="shared" si="0"/>
        <v>27</v>
      </c>
      <c r="D38" t="s">
        <v>48</v>
      </c>
      <c r="E38" t="s">
        <v>521</v>
      </c>
      <c r="F38" s="2">
        <v>15820</v>
      </c>
      <c r="G38" s="2">
        <v>287.7</v>
      </c>
      <c r="H38" s="15">
        <v>10.27</v>
      </c>
      <c r="I38" s="15">
        <v>5.9850000000000003</v>
      </c>
      <c r="N38" s="2">
        <v>268.8</v>
      </c>
      <c r="Q38" s="19">
        <v>0.2673611111111111</v>
      </c>
      <c r="R38" s="8">
        <f>(6+(25/60))*N38</f>
        <v>1724.8000000000002</v>
      </c>
    </row>
    <row r="39" spans="1:25" x14ac:dyDescent="0.2">
      <c r="A39" s="2">
        <f t="shared" si="0"/>
        <v>28</v>
      </c>
      <c r="D39" t="s">
        <v>49</v>
      </c>
      <c r="E39" t="s">
        <v>6</v>
      </c>
      <c r="F39" s="2">
        <v>2000</v>
      </c>
      <c r="G39" s="2">
        <v>675.9</v>
      </c>
      <c r="H39" s="15">
        <v>24.14</v>
      </c>
      <c r="I39" s="15">
        <v>19.010000000000002</v>
      </c>
      <c r="N39" s="2">
        <v>643</v>
      </c>
      <c r="Q39" s="19">
        <v>0.12916666666666668</v>
      </c>
      <c r="R39" s="8">
        <f>(3+(6/60))*N39</f>
        <v>1993.3</v>
      </c>
    </row>
    <row r="40" spans="1:25" x14ac:dyDescent="0.2">
      <c r="A40" s="2">
        <f t="shared" si="0"/>
        <v>29</v>
      </c>
      <c r="D40" t="s">
        <v>50</v>
      </c>
      <c r="E40" t="s">
        <v>532</v>
      </c>
      <c r="F40" s="2">
        <v>14720</v>
      </c>
      <c r="G40" s="2">
        <v>916.8</v>
      </c>
      <c r="H40" s="15">
        <v>32.74</v>
      </c>
      <c r="I40" s="15">
        <v>24.51</v>
      </c>
      <c r="N40" s="2">
        <v>945.3</v>
      </c>
      <c r="Q40" s="19">
        <v>0.25</v>
      </c>
      <c r="R40" s="8">
        <f>6*N40</f>
        <v>5671.7999999999993</v>
      </c>
    </row>
    <row r="41" spans="1:25" x14ac:dyDescent="0.2">
      <c r="A41" s="2">
        <f>W27+1</f>
        <v>31</v>
      </c>
      <c r="D41" t="s">
        <v>52</v>
      </c>
      <c r="E41" t="s">
        <v>522</v>
      </c>
      <c r="F41" s="2">
        <v>24420</v>
      </c>
      <c r="G41" s="2">
        <v>716.2</v>
      </c>
      <c r="H41" s="15">
        <v>25.57</v>
      </c>
      <c r="I41" s="15">
        <v>9.7479999999999993</v>
      </c>
      <c r="N41" s="2">
        <v>801.5</v>
      </c>
      <c r="Q41" s="19">
        <v>0.56944444444444442</v>
      </c>
      <c r="R41" s="8">
        <f>(13+(40/60))*N41</f>
        <v>10953.833333333332</v>
      </c>
    </row>
    <row r="42" spans="1:25" x14ac:dyDescent="0.2">
      <c r="A42" s="2">
        <f t="shared" si="0"/>
        <v>32</v>
      </c>
      <c r="D42" t="s">
        <v>53</v>
      </c>
      <c r="E42" t="s">
        <v>523</v>
      </c>
      <c r="F42" s="2">
        <v>11850</v>
      </c>
      <c r="G42" s="2">
        <v>430.7</v>
      </c>
      <c r="H42" s="15">
        <v>15.38</v>
      </c>
      <c r="I42" s="15">
        <v>11.52</v>
      </c>
      <c r="N42" s="2">
        <v>417.9</v>
      </c>
      <c r="Q42" s="19">
        <v>0.24027777777777778</v>
      </c>
      <c r="R42" s="8">
        <f>(5+(46/60))*N42</f>
        <v>2409.89</v>
      </c>
    </row>
    <row r="43" spans="1:25" x14ac:dyDescent="0.2">
      <c r="A43" s="2">
        <f t="shared" si="0"/>
        <v>33</v>
      </c>
      <c r="D43" t="s">
        <v>54</v>
      </c>
      <c r="E43" t="s">
        <v>6</v>
      </c>
      <c r="F43" s="2">
        <v>200</v>
      </c>
      <c r="G43" s="2">
        <v>680.1</v>
      </c>
      <c r="H43" s="15">
        <v>24.29</v>
      </c>
      <c r="I43" s="15">
        <v>16</v>
      </c>
      <c r="N43" s="2">
        <v>706.2</v>
      </c>
      <c r="Q43" s="19">
        <v>0.21666666666666667</v>
      </c>
      <c r="R43" s="8">
        <f>(5+(12/60))*N43</f>
        <v>3672.2400000000002</v>
      </c>
    </row>
    <row r="44" spans="1:25" x14ac:dyDescent="0.2">
      <c r="A44" s="2">
        <f t="shared" si="0"/>
        <v>34</v>
      </c>
      <c r="D44" t="s">
        <v>55</v>
      </c>
      <c r="E44" t="s">
        <v>524</v>
      </c>
      <c r="F44" s="2">
        <v>19090</v>
      </c>
      <c r="G44" s="2">
        <v>782.5</v>
      </c>
      <c r="H44" s="15">
        <v>27.94</v>
      </c>
      <c r="I44" s="15">
        <v>19.75</v>
      </c>
      <c r="N44" s="2">
        <v>711.5</v>
      </c>
      <c r="Q44" s="19">
        <v>0.14583333333333334</v>
      </c>
      <c r="R44" s="8">
        <f>(3.5)*N44</f>
        <v>2490.25</v>
      </c>
    </row>
    <row r="45" spans="1:25" x14ac:dyDescent="0.2">
      <c r="A45" s="2">
        <f t="shared" si="0"/>
        <v>35</v>
      </c>
      <c r="D45" t="s">
        <v>56</v>
      </c>
      <c r="E45" t="s">
        <v>533</v>
      </c>
      <c r="F45" s="2">
        <v>65000</v>
      </c>
      <c r="G45" s="2">
        <v>545.5</v>
      </c>
      <c r="H45" s="15">
        <v>19.48</v>
      </c>
      <c r="I45" s="15">
        <v>14.08</v>
      </c>
      <c r="N45" s="2">
        <v>570.1</v>
      </c>
      <c r="Q45" s="19">
        <v>0.2722222222222222</v>
      </c>
      <c r="R45" s="8">
        <f>(6+(32/60))*N45</f>
        <v>3724.6533333333332</v>
      </c>
    </row>
    <row r="46" spans="1:25" x14ac:dyDescent="0.2">
      <c r="A46" s="2">
        <f t="shared" si="0"/>
        <v>36</v>
      </c>
      <c r="D46" t="s">
        <v>57</v>
      </c>
      <c r="E46" t="s">
        <v>6</v>
      </c>
      <c r="F46" s="2">
        <v>1000</v>
      </c>
      <c r="G46" s="2">
        <v>509.6</v>
      </c>
      <c r="H46" s="15">
        <v>18.2</v>
      </c>
      <c r="I46" s="15">
        <v>13.96</v>
      </c>
      <c r="N46" s="2">
        <v>599.4</v>
      </c>
      <c r="Q46" s="19">
        <v>5.1388888888888894E-2</v>
      </c>
      <c r="R46" s="8">
        <f>(1+(14/60))*N46</f>
        <v>739.26</v>
      </c>
    </row>
    <row r="47" spans="1:25" x14ac:dyDescent="0.2">
      <c r="A47" s="2">
        <f t="shared" si="0"/>
        <v>37</v>
      </c>
      <c r="D47" t="s">
        <v>59</v>
      </c>
      <c r="E47" t="s">
        <v>541</v>
      </c>
      <c r="F47" s="2">
        <v>0</v>
      </c>
      <c r="G47" s="2">
        <v>719.1</v>
      </c>
      <c r="H47" s="15">
        <v>7.86</v>
      </c>
      <c r="I47" s="15">
        <v>5.1890000000000001</v>
      </c>
      <c r="N47" s="2">
        <v>238.7</v>
      </c>
      <c r="Q47" s="19">
        <v>0.1125</v>
      </c>
      <c r="R47" s="8">
        <f>(2+(42/60))*N47</f>
        <v>644.49</v>
      </c>
    </row>
    <row r="48" spans="1:25" x14ac:dyDescent="0.2">
      <c r="A48" s="2">
        <f t="shared" si="0"/>
        <v>38</v>
      </c>
      <c r="D48" t="s">
        <v>60</v>
      </c>
      <c r="E48" t="s">
        <v>2</v>
      </c>
      <c r="F48" s="2">
        <v>1000000</v>
      </c>
      <c r="G48" s="2">
        <v>1071</v>
      </c>
      <c r="H48" s="15">
        <v>35</v>
      </c>
      <c r="I48" s="15">
        <v>12.88</v>
      </c>
      <c r="N48" s="2">
        <v>1002</v>
      </c>
      <c r="Q48" s="19">
        <v>0.37847222222222227</v>
      </c>
      <c r="R48" s="8">
        <f>(9+(5/60))*N48</f>
        <v>9101.5</v>
      </c>
      <c r="W48" t="s">
        <v>28</v>
      </c>
      <c r="X48" t="s">
        <v>6</v>
      </c>
      <c r="Y48" s="2">
        <v>1000</v>
      </c>
    </row>
    <row r="49" spans="1:25" x14ac:dyDescent="0.2">
      <c r="A49" s="2">
        <f>W28+1</f>
        <v>40</v>
      </c>
      <c r="D49" t="s">
        <v>63</v>
      </c>
      <c r="E49" t="s">
        <v>525</v>
      </c>
      <c r="F49" s="2">
        <v>290540</v>
      </c>
      <c r="G49" s="2">
        <v>181.2</v>
      </c>
      <c r="H49" s="15">
        <v>7.25</v>
      </c>
      <c r="I49" s="15">
        <v>5.6109999999999998</v>
      </c>
      <c r="N49" s="2">
        <v>208.2</v>
      </c>
      <c r="Q49" s="19">
        <v>0.20347222222222219</v>
      </c>
      <c r="R49" s="8">
        <f>(4+(53/60))*N49</f>
        <v>1016.7099999999998</v>
      </c>
      <c r="W49" t="s">
        <v>30</v>
      </c>
      <c r="X49" t="s">
        <v>6</v>
      </c>
      <c r="Y49" s="2">
        <v>1000</v>
      </c>
    </row>
    <row r="50" spans="1:25" x14ac:dyDescent="0.2">
      <c r="A50" s="2">
        <f t="shared" si="0"/>
        <v>41</v>
      </c>
      <c r="D50" t="s">
        <v>64</v>
      </c>
      <c r="E50" t="s">
        <v>3</v>
      </c>
      <c r="F50" s="2">
        <v>5500</v>
      </c>
      <c r="G50" s="2">
        <v>232.6</v>
      </c>
      <c r="H50" s="15">
        <v>7.92</v>
      </c>
      <c r="I50" s="15">
        <v>3.5169999999999999</v>
      </c>
      <c r="N50" s="2">
        <v>243.5</v>
      </c>
      <c r="Q50" s="19">
        <v>0.4770833333333333</v>
      </c>
      <c r="R50" s="8">
        <f>(11+(27/60))*N50</f>
        <v>2788.0749999999998</v>
      </c>
      <c r="W50" t="s">
        <v>33</v>
      </c>
      <c r="X50" t="s">
        <v>6</v>
      </c>
      <c r="Y50" s="2">
        <v>1000</v>
      </c>
    </row>
    <row r="51" spans="1:25" x14ac:dyDescent="0.2">
      <c r="A51" s="2">
        <v>81</v>
      </c>
      <c r="B51" s="2">
        <v>42</v>
      </c>
      <c r="C51" s="2">
        <v>22</v>
      </c>
      <c r="D51" t="s">
        <v>65</v>
      </c>
      <c r="E51" t="s">
        <v>6</v>
      </c>
      <c r="F51" s="2">
        <v>29000</v>
      </c>
      <c r="G51" s="2">
        <v>1504</v>
      </c>
      <c r="H51" s="15">
        <v>59.85</v>
      </c>
      <c r="I51" s="15">
        <v>35.47</v>
      </c>
      <c r="M51" s="2">
        <v>1406</v>
      </c>
      <c r="N51" s="2">
        <v>1448</v>
      </c>
      <c r="Q51" s="19">
        <v>0.18333333333333335</v>
      </c>
      <c r="R51" s="8">
        <f>(4+(24/60))*N51</f>
        <v>6371.2000000000007</v>
      </c>
      <c r="S51">
        <v>2015</v>
      </c>
      <c r="W51" t="s">
        <v>58</v>
      </c>
      <c r="X51" t="s">
        <v>6</v>
      </c>
    </row>
    <row r="52" spans="1:25" x14ac:dyDescent="0.2">
      <c r="A52" s="2">
        <v>43</v>
      </c>
      <c r="D52" t="s">
        <v>66</v>
      </c>
      <c r="E52" t="s">
        <v>2</v>
      </c>
      <c r="F52" s="2">
        <v>1000000</v>
      </c>
      <c r="G52" s="2">
        <v>499.9</v>
      </c>
      <c r="H52" s="15">
        <v>16.05</v>
      </c>
      <c r="I52" s="15">
        <v>12.63</v>
      </c>
      <c r="N52" s="2">
        <v>476.5</v>
      </c>
      <c r="Q52" s="19">
        <v>0.1361111111111111</v>
      </c>
      <c r="R52" s="8">
        <f>(3+(16/60))*N52</f>
        <v>1556.5666666666666</v>
      </c>
      <c r="W52" t="s">
        <v>62</v>
      </c>
      <c r="X52" t="s">
        <v>6</v>
      </c>
    </row>
    <row r="53" spans="1:25" x14ac:dyDescent="0.2">
      <c r="A53" s="2">
        <v>44</v>
      </c>
      <c r="D53" t="s">
        <v>67</v>
      </c>
      <c r="E53" t="s">
        <v>526</v>
      </c>
      <c r="F53" s="2">
        <v>171400</v>
      </c>
      <c r="N53" s="2">
        <v>209.6</v>
      </c>
      <c r="Q53" s="19">
        <v>0.14305555555555557</v>
      </c>
      <c r="R53" s="8">
        <f>(3+(26/60))*N53</f>
        <v>719.62666666666667</v>
      </c>
      <c r="W53" t="s">
        <v>76</v>
      </c>
    </row>
    <row r="54" spans="1:25" x14ac:dyDescent="0.2">
      <c r="A54" s="2">
        <f t="shared" si="0"/>
        <v>45</v>
      </c>
      <c r="D54" t="s">
        <v>68</v>
      </c>
      <c r="E54" t="s">
        <v>6</v>
      </c>
      <c r="F54" s="2">
        <v>1000</v>
      </c>
      <c r="N54" s="2">
        <v>193.8</v>
      </c>
      <c r="Q54" s="19">
        <v>0.32777777777777778</v>
      </c>
      <c r="R54" s="8">
        <f>(7+(52/60))*N54</f>
        <v>1524.5600000000002</v>
      </c>
      <c r="W54" t="s">
        <v>77</v>
      </c>
    </row>
    <row r="55" spans="1:25" x14ac:dyDescent="0.2">
      <c r="A55" s="2">
        <f t="shared" si="0"/>
        <v>46</v>
      </c>
      <c r="D55" t="s">
        <v>69</v>
      </c>
      <c r="E55" t="s">
        <v>6</v>
      </c>
      <c r="F55" s="2">
        <v>500</v>
      </c>
      <c r="N55" s="2">
        <v>181.7</v>
      </c>
      <c r="Q55" s="19">
        <v>7.8472222222222221E-2</v>
      </c>
      <c r="R55" s="8">
        <f>(1+(53/60))*N55</f>
        <v>342.20166666666665</v>
      </c>
      <c r="W55" t="s">
        <v>140</v>
      </c>
    </row>
    <row r="56" spans="1:25" x14ac:dyDescent="0.2">
      <c r="A56" s="2">
        <f t="shared" si="0"/>
        <v>47</v>
      </c>
      <c r="D56" t="s">
        <v>70</v>
      </c>
      <c r="E56" t="s">
        <v>528</v>
      </c>
      <c r="F56" s="2">
        <v>392730</v>
      </c>
      <c r="N56" s="2">
        <v>181.3</v>
      </c>
      <c r="Q56" s="19">
        <v>0.28125</v>
      </c>
      <c r="R56" s="8">
        <f>(6+(45/60))*N56</f>
        <v>1223.7750000000001</v>
      </c>
      <c r="W56" t="s">
        <v>165</v>
      </c>
    </row>
    <row r="57" spans="1:25" x14ac:dyDescent="0.2">
      <c r="A57" s="2">
        <f t="shared" si="0"/>
        <v>48</v>
      </c>
      <c r="D57" t="s">
        <v>71</v>
      </c>
      <c r="E57" t="s">
        <v>527</v>
      </c>
      <c r="F57" s="2">
        <v>70570</v>
      </c>
      <c r="N57" s="2">
        <v>415</v>
      </c>
      <c r="Q57" s="19">
        <v>0.15138888888888888</v>
      </c>
      <c r="R57" s="8">
        <f>(3+(38/60))*N57</f>
        <v>1507.8333333333333</v>
      </c>
      <c r="W57" t="s">
        <v>313</v>
      </c>
    </row>
    <row r="58" spans="1:25" x14ac:dyDescent="0.2">
      <c r="A58" s="2">
        <f t="shared" si="0"/>
        <v>49</v>
      </c>
      <c r="D58" t="s">
        <v>72</v>
      </c>
      <c r="E58" t="s">
        <v>9</v>
      </c>
      <c r="F58" s="2">
        <v>167830</v>
      </c>
      <c r="N58" s="2">
        <v>169.3</v>
      </c>
      <c r="Q58" s="19">
        <v>0.47847222222222219</v>
      </c>
      <c r="R58" s="8">
        <f>(11+(29/60))*N58</f>
        <v>1944.1283333333333</v>
      </c>
      <c r="W58" t="s">
        <v>282</v>
      </c>
    </row>
    <row r="59" spans="1:25" x14ac:dyDescent="0.2">
      <c r="A59" s="2">
        <f t="shared" si="0"/>
        <v>50</v>
      </c>
      <c r="D59" t="s">
        <v>73</v>
      </c>
      <c r="E59" t="s">
        <v>7</v>
      </c>
      <c r="F59" s="2">
        <v>2000000</v>
      </c>
      <c r="M59" s="1">
        <v>721.3</v>
      </c>
      <c r="N59" s="2">
        <v>729.4</v>
      </c>
      <c r="Q59" s="19">
        <v>0.18402777777777779</v>
      </c>
      <c r="R59" s="8">
        <f>(4+(25/60))*N59</f>
        <v>3221.5166666666669</v>
      </c>
      <c r="W59" t="s">
        <v>283</v>
      </c>
    </row>
    <row r="60" spans="1:25" x14ac:dyDescent="0.2">
      <c r="A60" s="2">
        <f t="shared" si="0"/>
        <v>51</v>
      </c>
      <c r="D60" t="s">
        <v>74</v>
      </c>
      <c r="E60" t="s">
        <v>535</v>
      </c>
      <c r="F60" s="2">
        <v>119540</v>
      </c>
      <c r="N60" s="2">
        <v>111.9</v>
      </c>
      <c r="Q60" s="19">
        <v>0.49236111111111108</v>
      </c>
      <c r="R60" s="8">
        <f>(11+(49/60))*N60</f>
        <v>1322.2850000000001</v>
      </c>
      <c r="W60" t="s">
        <v>266</v>
      </c>
    </row>
    <row r="61" spans="1:25" x14ac:dyDescent="0.2">
      <c r="A61" s="2">
        <f t="shared" si="0"/>
        <v>52</v>
      </c>
      <c r="D61" t="s">
        <v>75</v>
      </c>
      <c r="N61" s="2">
        <v>328.9</v>
      </c>
      <c r="Q61" s="19">
        <v>0.67152777777777783</v>
      </c>
      <c r="R61" s="8">
        <f>(16+(7/60))*N61</f>
        <v>5300.7716666666665</v>
      </c>
      <c r="W61" t="s">
        <v>261</v>
      </c>
    </row>
    <row r="62" spans="1:25" x14ac:dyDescent="0.2">
      <c r="A62" s="2">
        <f t="shared" si="0"/>
        <v>53</v>
      </c>
      <c r="D62" t="s">
        <v>78</v>
      </c>
      <c r="E62" t="s">
        <v>6</v>
      </c>
      <c r="F62" s="2">
        <v>5000</v>
      </c>
      <c r="N62" s="2">
        <v>296.60000000000002</v>
      </c>
      <c r="Q62" s="19">
        <v>0.21944444444444444</v>
      </c>
      <c r="R62" s="8">
        <f>(5+(16/60))*N62</f>
        <v>1562.0933333333335</v>
      </c>
      <c r="W62" t="s">
        <v>192</v>
      </c>
    </row>
    <row r="63" spans="1:25" x14ac:dyDescent="0.2">
      <c r="A63" s="2">
        <f t="shared" si="0"/>
        <v>54</v>
      </c>
      <c r="D63" t="s">
        <v>79</v>
      </c>
      <c r="E63" t="s">
        <v>677</v>
      </c>
      <c r="F63" s="2">
        <v>863</v>
      </c>
      <c r="N63" s="2">
        <v>165.3</v>
      </c>
      <c r="Q63" s="19">
        <v>0.12083333333333333</v>
      </c>
      <c r="R63" s="8">
        <f>(2+(54/60))*N63</f>
        <v>479.37</v>
      </c>
      <c r="W63" t="s">
        <v>371</v>
      </c>
    </row>
    <row r="64" spans="1:25" x14ac:dyDescent="0.2">
      <c r="A64" s="2">
        <f t="shared" si="0"/>
        <v>55</v>
      </c>
      <c r="D64" t="s">
        <v>80</v>
      </c>
      <c r="E64" t="s">
        <v>542</v>
      </c>
      <c r="F64" s="2">
        <v>200000</v>
      </c>
      <c r="N64" s="2">
        <v>162.30000000000001</v>
      </c>
      <c r="Q64" s="19">
        <v>0.12638888888888888</v>
      </c>
      <c r="R64" s="8">
        <f>(3+(2/60))*N64</f>
        <v>492.31</v>
      </c>
      <c r="W64" t="s">
        <v>388</v>
      </c>
    </row>
    <row r="65" spans="1:23" x14ac:dyDescent="0.2">
      <c r="A65" s="2">
        <f t="shared" si="0"/>
        <v>56</v>
      </c>
      <c r="D65" t="s">
        <v>81</v>
      </c>
      <c r="E65" t="s">
        <v>676</v>
      </c>
      <c r="F65" s="2">
        <v>10280</v>
      </c>
      <c r="N65" s="2">
        <v>165.8</v>
      </c>
      <c r="Q65" s="19">
        <v>0.1076388888888889</v>
      </c>
      <c r="R65" s="8">
        <f>(2+(35/60))*N65</f>
        <v>428.31666666666672</v>
      </c>
      <c r="W65" t="s">
        <v>502</v>
      </c>
    </row>
    <row r="66" spans="1:23" x14ac:dyDescent="0.2">
      <c r="A66" s="2">
        <f t="shared" si="0"/>
        <v>57</v>
      </c>
      <c r="D66" t="s">
        <v>82</v>
      </c>
      <c r="E66" t="s">
        <v>552</v>
      </c>
      <c r="F66" s="2">
        <v>73170</v>
      </c>
      <c r="N66" s="1">
        <v>147.69999999999999</v>
      </c>
      <c r="Q66" s="19">
        <v>0.16111111111111112</v>
      </c>
      <c r="R66" s="8">
        <f>(3+(52/60))*N66</f>
        <v>571.10666666666668</v>
      </c>
      <c r="W66" t="s">
        <v>486</v>
      </c>
    </row>
    <row r="67" spans="1:23" x14ac:dyDescent="0.2">
      <c r="A67" s="2">
        <f t="shared" si="0"/>
        <v>58</v>
      </c>
      <c r="D67" t="s">
        <v>83</v>
      </c>
      <c r="E67" t="s">
        <v>553</v>
      </c>
      <c r="F67" s="2">
        <v>145640</v>
      </c>
      <c r="N67" s="1">
        <v>177.7</v>
      </c>
      <c r="Q67" s="19">
        <v>0.12430555555555556</v>
      </c>
      <c r="R67" s="8">
        <f>(2+(59/60))*N67</f>
        <v>530.13833333333332</v>
      </c>
      <c r="W67" t="s">
        <v>472</v>
      </c>
    </row>
    <row r="68" spans="1:23" x14ac:dyDescent="0.2">
      <c r="A68" s="2">
        <f t="shared" si="0"/>
        <v>59</v>
      </c>
      <c r="D68" t="s">
        <v>84</v>
      </c>
      <c r="E68" t="s">
        <v>0</v>
      </c>
      <c r="F68" s="2">
        <v>1000000</v>
      </c>
      <c r="N68" s="1">
        <v>366.3</v>
      </c>
      <c r="Q68" s="19">
        <v>0.23680555555555557</v>
      </c>
      <c r="R68" s="8">
        <f>(5+(41/60))*N68</f>
        <v>2081.8050000000003</v>
      </c>
      <c r="W68" t="s">
        <v>480</v>
      </c>
    </row>
    <row r="69" spans="1:23" x14ac:dyDescent="0.2">
      <c r="A69" s="2">
        <f t="shared" ref="A69:A130" si="1">A68+1</f>
        <v>60</v>
      </c>
      <c r="D69" t="s">
        <v>85</v>
      </c>
      <c r="E69" t="s">
        <v>554</v>
      </c>
      <c r="F69" s="2">
        <v>27530</v>
      </c>
      <c r="N69" s="1">
        <v>447.6</v>
      </c>
      <c r="Q69" s="19">
        <v>0.35902777777777778</v>
      </c>
      <c r="R69" s="8">
        <f>(8+(37/60))*N69</f>
        <v>3856.8200000000006</v>
      </c>
      <c r="W69" t="s">
        <v>458</v>
      </c>
    </row>
    <row r="70" spans="1:23" x14ac:dyDescent="0.2">
      <c r="A70" s="2">
        <f t="shared" si="1"/>
        <v>61</v>
      </c>
      <c r="D70" t="s">
        <v>86</v>
      </c>
      <c r="E70" t="s">
        <v>539</v>
      </c>
      <c r="F70" s="2">
        <v>167900</v>
      </c>
      <c r="N70" s="1">
        <v>123.9</v>
      </c>
      <c r="Q70" s="19">
        <v>0.28402777777777777</v>
      </c>
      <c r="R70" s="8">
        <f>(6+(49/60))*N70</f>
        <v>844.58500000000004</v>
      </c>
      <c r="W70" t="s">
        <v>322</v>
      </c>
    </row>
    <row r="71" spans="1:23" x14ac:dyDescent="0.2">
      <c r="A71" s="2">
        <f t="shared" si="1"/>
        <v>62</v>
      </c>
      <c r="D71" t="s">
        <v>87</v>
      </c>
      <c r="E71" t="s">
        <v>536</v>
      </c>
      <c r="F71" s="2">
        <v>2500000</v>
      </c>
      <c r="N71" s="1">
        <v>416.9</v>
      </c>
      <c r="Q71" s="19">
        <v>0.11388888888888889</v>
      </c>
      <c r="R71" s="8">
        <f>(2+(44/60))*N71</f>
        <v>1139.5266666666666</v>
      </c>
      <c r="W71" t="s">
        <v>373</v>
      </c>
    </row>
    <row r="72" spans="1:23" x14ac:dyDescent="0.2">
      <c r="A72" s="2">
        <f t="shared" si="1"/>
        <v>63</v>
      </c>
      <c r="D72" t="s">
        <v>88</v>
      </c>
      <c r="E72" t="s">
        <v>676</v>
      </c>
      <c r="F72" s="2">
        <v>10280</v>
      </c>
      <c r="N72" s="1">
        <v>132.80000000000001</v>
      </c>
      <c r="Q72" s="19">
        <v>0.23750000000000002</v>
      </c>
      <c r="R72" s="8">
        <f>(5+(42/60))*N72</f>
        <v>756.96</v>
      </c>
      <c r="W72" t="s">
        <v>466</v>
      </c>
    </row>
    <row r="73" spans="1:23" x14ac:dyDescent="0.2">
      <c r="A73" s="2">
        <f t="shared" si="1"/>
        <v>64</v>
      </c>
      <c r="D73" t="s">
        <v>89</v>
      </c>
      <c r="E73" t="s">
        <v>3</v>
      </c>
      <c r="F73" s="2">
        <v>5000</v>
      </c>
      <c r="N73" s="1">
        <v>205.9</v>
      </c>
      <c r="Q73" s="19">
        <v>0.18402777777777779</v>
      </c>
      <c r="R73" s="8">
        <f>(4+(25/60))*N73</f>
        <v>909.39166666666677</v>
      </c>
      <c r="W73" t="s">
        <v>473</v>
      </c>
    </row>
    <row r="74" spans="1:23" x14ac:dyDescent="0.2">
      <c r="A74" s="2">
        <f t="shared" si="1"/>
        <v>65</v>
      </c>
      <c r="D74" t="s">
        <v>90</v>
      </c>
      <c r="E74" t="s">
        <v>609</v>
      </c>
      <c r="F74" s="2">
        <v>2050</v>
      </c>
      <c r="N74" s="1">
        <v>142.30000000000001</v>
      </c>
      <c r="Q74" s="19">
        <v>0.11388888888888889</v>
      </c>
      <c r="R74" s="8">
        <f>(2+(44/60))*N74</f>
        <v>388.95333333333338</v>
      </c>
      <c r="W74" t="s">
        <v>498</v>
      </c>
    </row>
    <row r="75" spans="1:23" x14ac:dyDescent="0.2">
      <c r="A75" s="2">
        <f t="shared" si="1"/>
        <v>66</v>
      </c>
      <c r="D75" t="s">
        <v>91</v>
      </c>
      <c r="E75" t="s">
        <v>608</v>
      </c>
      <c r="F75" s="2">
        <v>121240</v>
      </c>
      <c r="N75" s="1">
        <v>129.80000000000001</v>
      </c>
      <c r="Q75" s="19">
        <v>0.18472222222222223</v>
      </c>
      <c r="R75" s="8">
        <f>(4+(26/60))*N75</f>
        <v>575.44666666666672</v>
      </c>
      <c r="W75" t="s">
        <v>178</v>
      </c>
    </row>
    <row r="76" spans="1:23" x14ac:dyDescent="0.2">
      <c r="A76" s="2">
        <f>W29+1</f>
        <v>68</v>
      </c>
      <c r="D76" t="s">
        <v>93</v>
      </c>
      <c r="E76" t="s">
        <v>6</v>
      </c>
      <c r="N76" s="1">
        <v>139.80000000000001</v>
      </c>
      <c r="Q76" s="19">
        <v>0.14027777777777778</v>
      </c>
      <c r="R76" s="8">
        <f>(3+(22/60))*N76</f>
        <v>470.66</v>
      </c>
    </row>
    <row r="77" spans="1:23" x14ac:dyDescent="0.2">
      <c r="A77" s="2">
        <f t="shared" si="1"/>
        <v>69</v>
      </c>
      <c r="D77" t="s">
        <v>94</v>
      </c>
      <c r="N77" s="1">
        <v>139.6</v>
      </c>
      <c r="Q77" s="19">
        <v>0.1111111111111111</v>
      </c>
      <c r="R77" s="8">
        <f>(2+(40/60))*N77</f>
        <v>372.26666666666665</v>
      </c>
    </row>
    <row r="78" spans="1:23" x14ac:dyDescent="0.2">
      <c r="A78" s="2">
        <f t="shared" si="1"/>
        <v>70</v>
      </c>
      <c r="D78" t="s">
        <v>95</v>
      </c>
      <c r="N78" s="1">
        <v>522.79999999999995</v>
      </c>
      <c r="Q78" s="19">
        <v>0.12361111111111112</v>
      </c>
      <c r="R78" s="8">
        <f>(2+(58/60))*N78</f>
        <v>1550.9733333333334</v>
      </c>
    </row>
    <row r="79" spans="1:23" x14ac:dyDescent="0.2">
      <c r="A79" s="2">
        <f t="shared" si="1"/>
        <v>71</v>
      </c>
      <c r="D79" t="s">
        <v>96</v>
      </c>
      <c r="E79" t="s">
        <v>543</v>
      </c>
      <c r="F79" s="2">
        <v>56030</v>
      </c>
      <c r="N79" s="1">
        <v>151.5</v>
      </c>
      <c r="Q79" s="19">
        <v>0.13402777777777777</v>
      </c>
      <c r="R79" s="8">
        <f>(3+(13/60))*N79</f>
        <v>487.32500000000005</v>
      </c>
      <c r="T79" t="s">
        <v>686</v>
      </c>
    </row>
    <row r="80" spans="1:23" x14ac:dyDescent="0.2">
      <c r="A80" s="2">
        <f t="shared" si="1"/>
        <v>72</v>
      </c>
      <c r="D80" t="s">
        <v>97</v>
      </c>
      <c r="E80" t="s">
        <v>537</v>
      </c>
      <c r="F80" s="2">
        <v>140670</v>
      </c>
      <c r="N80" s="1">
        <v>114.3</v>
      </c>
      <c r="Q80" s="19">
        <v>0.23819444444444446</v>
      </c>
      <c r="R80" s="8">
        <f>(5+(43/60))*N80</f>
        <v>653.41499999999996</v>
      </c>
    </row>
    <row r="81" spans="1:18" x14ac:dyDescent="0.2">
      <c r="A81" s="2">
        <f t="shared" si="1"/>
        <v>73</v>
      </c>
      <c r="D81" t="s">
        <v>98</v>
      </c>
      <c r="E81" t="s">
        <v>6</v>
      </c>
      <c r="F81" s="2">
        <v>1000</v>
      </c>
      <c r="N81" s="1">
        <v>397</v>
      </c>
      <c r="Q81" s="19">
        <v>0.18402777777777779</v>
      </c>
      <c r="R81" s="8">
        <f>(4+(25/60))*N81</f>
        <v>1753.4166666666667</v>
      </c>
    </row>
    <row r="82" spans="1:18" x14ac:dyDescent="0.2">
      <c r="A82" s="2">
        <f t="shared" si="1"/>
        <v>74</v>
      </c>
      <c r="D82" t="s">
        <v>99</v>
      </c>
      <c r="E82" t="s">
        <v>6</v>
      </c>
      <c r="F82" s="2">
        <v>0</v>
      </c>
      <c r="N82" s="1">
        <v>127.7</v>
      </c>
      <c r="Q82" s="19">
        <v>0.35833333333333334</v>
      </c>
      <c r="R82" s="8">
        <f>(8+(36/60))*N82</f>
        <v>1098.22</v>
      </c>
    </row>
    <row r="83" spans="1:18" x14ac:dyDescent="0.2">
      <c r="A83" s="2">
        <f t="shared" si="1"/>
        <v>75</v>
      </c>
      <c r="D83" t="s">
        <v>100</v>
      </c>
      <c r="E83" t="s">
        <v>538</v>
      </c>
      <c r="F83" s="2">
        <v>32970</v>
      </c>
      <c r="N83" s="1">
        <v>110.1</v>
      </c>
      <c r="Q83" s="19">
        <v>0.22777777777777777</v>
      </c>
      <c r="R83" s="8">
        <f>(5+(28/60))*N83</f>
        <v>601.88</v>
      </c>
    </row>
    <row r="84" spans="1:18" x14ac:dyDescent="0.2">
      <c r="A84" s="2">
        <f t="shared" si="1"/>
        <v>76</v>
      </c>
      <c r="D84" t="s">
        <v>101</v>
      </c>
      <c r="E84" t="s">
        <v>539</v>
      </c>
      <c r="F84" s="2">
        <v>167630</v>
      </c>
      <c r="N84" s="1">
        <v>117.2</v>
      </c>
      <c r="Q84" s="19">
        <v>0.10347222222222223</v>
      </c>
      <c r="R84" s="8">
        <f>(2+(29/60))*N84</f>
        <v>291.04666666666668</v>
      </c>
    </row>
    <row r="85" spans="1:18" x14ac:dyDescent="0.2">
      <c r="A85" s="2">
        <f t="shared" si="1"/>
        <v>77</v>
      </c>
      <c r="D85" t="s">
        <v>102</v>
      </c>
      <c r="E85" t="s">
        <v>680</v>
      </c>
      <c r="F85" s="2">
        <v>3910</v>
      </c>
      <c r="N85" s="1">
        <v>109.2</v>
      </c>
      <c r="Q85" s="19">
        <v>0.21180555555555555</v>
      </c>
      <c r="R85" s="8">
        <f>(5+(5/60))*N85</f>
        <v>555.1</v>
      </c>
    </row>
    <row r="86" spans="1:18" x14ac:dyDescent="0.2">
      <c r="A86" s="4">
        <f t="shared" si="1"/>
        <v>78</v>
      </c>
      <c r="B86" s="4"/>
      <c r="C86" s="4"/>
      <c r="D86" s="3" t="s">
        <v>103</v>
      </c>
      <c r="E86" t="s">
        <v>541</v>
      </c>
      <c r="F86" s="2">
        <v>0</v>
      </c>
      <c r="G86" s="2">
        <v>246.9</v>
      </c>
      <c r="H86" s="15">
        <v>7.6470000000000002</v>
      </c>
      <c r="I86" s="16">
        <v>5.8239999999999998</v>
      </c>
      <c r="J86" s="2">
        <v>102.9</v>
      </c>
      <c r="N86" s="1">
        <v>198.8</v>
      </c>
      <c r="Q86" s="19">
        <v>0.17847222222222223</v>
      </c>
      <c r="R86" s="8">
        <f>(4+(17/60))*N86</f>
        <v>851.52666666666664</v>
      </c>
    </row>
    <row r="87" spans="1:18" x14ac:dyDescent="0.2">
      <c r="A87" s="2">
        <f t="shared" si="1"/>
        <v>79</v>
      </c>
      <c r="D87" t="s">
        <v>104</v>
      </c>
      <c r="E87" t="s">
        <v>683</v>
      </c>
      <c r="F87" s="2">
        <v>5030</v>
      </c>
      <c r="N87" s="1">
        <v>143.5</v>
      </c>
      <c r="Q87" s="19">
        <v>8.0555555555555561E-2</v>
      </c>
      <c r="R87" s="8">
        <f>(1+(56/60))*N87</f>
        <v>277.43333333333334</v>
      </c>
    </row>
    <row r="88" spans="1:18" x14ac:dyDescent="0.2">
      <c r="A88" s="2">
        <f t="shared" si="1"/>
        <v>80</v>
      </c>
      <c r="D88" t="s">
        <v>105</v>
      </c>
      <c r="E88" t="s">
        <v>540</v>
      </c>
      <c r="F88" s="2">
        <v>215690</v>
      </c>
      <c r="N88" s="1">
        <v>107.4</v>
      </c>
      <c r="Q88" s="19">
        <v>0.26805555555555555</v>
      </c>
      <c r="R88" s="8">
        <f>(6+(26/60))*N88</f>
        <v>690.94</v>
      </c>
    </row>
    <row r="89" spans="1:18" x14ac:dyDescent="0.2">
      <c r="A89" s="2">
        <f t="shared" si="1"/>
        <v>81</v>
      </c>
      <c r="D89" t="s">
        <v>106</v>
      </c>
      <c r="E89" t="s">
        <v>681</v>
      </c>
      <c r="F89" s="2">
        <v>2220</v>
      </c>
      <c r="N89" s="1">
        <v>184.5</v>
      </c>
      <c r="Q89" s="19">
        <v>0.125</v>
      </c>
      <c r="R89" s="8">
        <f>3*N89</f>
        <v>553.5</v>
      </c>
    </row>
    <row r="90" spans="1:18" x14ac:dyDescent="0.2">
      <c r="A90" s="2">
        <f t="shared" si="1"/>
        <v>82</v>
      </c>
      <c r="D90" t="s">
        <v>107</v>
      </c>
      <c r="E90" t="s">
        <v>682</v>
      </c>
      <c r="F90" s="2">
        <v>1170</v>
      </c>
      <c r="N90" s="1">
        <v>103.8</v>
      </c>
      <c r="Q90" s="19">
        <v>0.18194444444444444</v>
      </c>
      <c r="R90" s="8">
        <f>(4+(22/60))*N90</f>
        <v>453.25999999999993</v>
      </c>
    </row>
    <row r="91" spans="1:18" x14ac:dyDescent="0.2">
      <c r="A91" s="2">
        <f t="shared" si="1"/>
        <v>83</v>
      </c>
      <c r="D91" t="s">
        <v>108</v>
      </c>
      <c r="E91" t="s">
        <v>541</v>
      </c>
      <c r="F91" s="2">
        <v>0</v>
      </c>
      <c r="N91" s="1">
        <v>37.85</v>
      </c>
      <c r="Q91" s="19">
        <v>0.19791666666666666</v>
      </c>
      <c r="R91" s="8">
        <f>(4+(45/60))*N91</f>
        <v>179.78749999999999</v>
      </c>
    </row>
    <row r="92" spans="1:18" x14ac:dyDescent="0.2">
      <c r="A92" s="2">
        <f t="shared" si="1"/>
        <v>84</v>
      </c>
      <c r="D92" t="s">
        <v>109</v>
      </c>
      <c r="E92" t="s">
        <v>6</v>
      </c>
      <c r="F92" s="2">
        <v>1000</v>
      </c>
      <c r="N92" s="1">
        <v>66.430000000000007</v>
      </c>
      <c r="Q92" s="19">
        <v>0.31944444444444448</v>
      </c>
      <c r="R92" s="8">
        <f>(7+(40/60))*N92</f>
        <v>509.29666666666674</v>
      </c>
    </row>
    <row r="93" spans="1:18" x14ac:dyDescent="0.2">
      <c r="A93" s="2">
        <f t="shared" si="1"/>
        <v>85</v>
      </c>
      <c r="D93" t="s">
        <v>110</v>
      </c>
      <c r="E93" t="s">
        <v>542</v>
      </c>
      <c r="F93" s="2">
        <v>121750</v>
      </c>
      <c r="N93" s="1">
        <v>93.72</v>
      </c>
      <c r="Q93" s="19">
        <v>0.12569444444444444</v>
      </c>
      <c r="R93" s="8">
        <f>(3+(1/60))*N93</f>
        <v>282.72199999999998</v>
      </c>
    </row>
    <row r="94" spans="1:18" x14ac:dyDescent="0.2">
      <c r="A94" s="2">
        <f t="shared" si="1"/>
        <v>86</v>
      </c>
      <c r="D94" t="s">
        <v>111</v>
      </c>
      <c r="E94" t="s">
        <v>684</v>
      </c>
      <c r="F94" s="2">
        <v>17970</v>
      </c>
      <c r="N94" s="1">
        <v>99.1</v>
      </c>
      <c r="Q94" s="19">
        <v>0.12986111111111112</v>
      </c>
      <c r="R94" s="8">
        <f>(3+(7/60))*N94</f>
        <v>308.86166666666668</v>
      </c>
    </row>
    <row r="95" spans="1:18" x14ac:dyDescent="0.2">
      <c r="A95" s="2">
        <f t="shared" si="1"/>
        <v>87</v>
      </c>
      <c r="D95" t="s">
        <v>112</v>
      </c>
      <c r="E95" t="s">
        <v>685</v>
      </c>
      <c r="F95" s="2">
        <v>7500</v>
      </c>
      <c r="N95" s="1">
        <v>207.7</v>
      </c>
      <c r="Q95" s="19">
        <v>0.37083333333333335</v>
      </c>
      <c r="R95" s="8">
        <f>(8+(54/60))*N95</f>
        <v>1848.53</v>
      </c>
    </row>
    <row r="96" spans="1:18" x14ac:dyDescent="0.2">
      <c r="A96" s="4">
        <f t="shared" si="1"/>
        <v>88</v>
      </c>
      <c r="B96" s="4"/>
      <c r="C96" s="4"/>
      <c r="D96" s="3" t="s">
        <v>113</v>
      </c>
      <c r="E96" t="s">
        <v>687</v>
      </c>
      <c r="F96" s="2">
        <v>100</v>
      </c>
      <c r="G96" s="2">
        <v>204.4</v>
      </c>
      <c r="H96" s="15">
        <v>6.41</v>
      </c>
      <c r="I96" s="16">
        <v>5.6589999999999998</v>
      </c>
      <c r="J96" s="2">
        <v>117.3</v>
      </c>
      <c r="L96" s="1" t="s">
        <v>745</v>
      </c>
      <c r="N96" s="1">
        <v>180.2</v>
      </c>
      <c r="P96" t="s">
        <v>688</v>
      </c>
      <c r="Q96" s="19">
        <v>0.10694444444444444</v>
      </c>
      <c r="R96" s="8">
        <f>(2+(34/60))*N96</f>
        <v>462.51333333333326</v>
      </c>
    </row>
    <row r="97" spans="1:19" x14ac:dyDescent="0.2">
      <c r="A97" s="2">
        <f t="shared" si="1"/>
        <v>89</v>
      </c>
      <c r="D97" t="s">
        <v>114</v>
      </c>
      <c r="E97" t="s">
        <v>5</v>
      </c>
      <c r="F97" s="2">
        <v>0</v>
      </c>
      <c r="N97" s="1">
        <v>90.26</v>
      </c>
      <c r="Q97" s="19">
        <v>8.5416666666666655E-2</v>
      </c>
      <c r="R97" s="8">
        <f>(2+(3/60))*N97</f>
        <v>185.03299999999999</v>
      </c>
    </row>
    <row r="98" spans="1:19" x14ac:dyDescent="0.2">
      <c r="A98" s="2">
        <f t="shared" si="1"/>
        <v>90</v>
      </c>
      <c r="D98" t="s">
        <v>115</v>
      </c>
      <c r="E98" t="s">
        <v>6</v>
      </c>
      <c r="F98" s="2">
        <v>1000</v>
      </c>
      <c r="N98" s="1">
        <v>170.8</v>
      </c>
      <c r="Q98" s="19">
        <v>0.1361111111111111</v>
      </c>
      <c r="R98" s="8">
        <f>(3+(16/60))*N98</f>
        <v>557.94666666666672</v>
      </c>
    </row>
    <row r="99" spans="1:19" x14ac:dyDescent="0.2">
      <c r="A99" s="2">
        <f t="shared" si="1"/>
        <v>91</v>
      </c>
      <c r="D99" t="s">
        <v>116</v>
      </c>
      <c r="E99" t="s">
        <v>555</v>
      </c>
      <c r="F99" s="2">
        <v>12330</v>
      </c>
      <c r="N99" s="1">
        <v>122.4</v>
      </c>
      <c r="Q99" s="19">
        <v>0.15625</v>
      </c>
      <c r="R99" s="8">
        <f>(3+(45/60))*N99</f>
        <v>459</v>
      </c>
    </row>
    <row r="100" spans="1:19" x14ac:dyDescent="0.2">
      <c r="A100" s="2">
        <f t="shared" si="1"/>
        <v>92</v>
      </c>
      <c r="D100" t="s">
        <v>117</v>
      </c>
      <c r="E100" t="s">
        <v>3</v>
      </c>
      <c r="F100" s="2">
        <v>5000</v>
      </c>
      <c r="N100" s="1">
        <v>235.2</v>
      </c>
      <c r="Q100" s="19">
        <v>0.14444444444444446</v>
      </c>
      <c r="R100" s="8">
        <f>(3+(28/60))*N100</f>
        <v>815.36</v>
      </c>
    </row>
    <row r="101" spans="1:19" x14ac:dyDescent="0.2">
      <c r="A101" s="2">
        <f t="shared" si="1"/>
        <v>93</v>
      </c>
      <c r="D101" t="s">
        <v>118</v>
      </c>
      <c r="E101" t="s">
        <v>689</v>
      </c>
      <c r="F101" s="2">
        <v>4070</v>
      </c>
      <c r="N101" s="1">
        <v>85.37</v>
      </c>
      <c r="Q101" s="19">
        <v>0.20972222222222223</v>
      </c>
      <c r="R101" s="8">
        <f>(5+(2/60))*N101</f>
        <v>429.69566666666668</v>
      </c>
    </row>
    <row r="102" spans="1:19" x14ac:dyDescent="0.2">
      <c r="A102" s="2">
        <f t="shared" si="1"/>
        <v>94</v>
      </c>
      <c r="D102" t="s">
        <v>119</v>
      </c>
      <c r="E102" t="s">
        <v>6</v>
      </c>
      <c r="F102" s="2">
        <v>1000</v>
      </c>
      <c r="N102" s="1">
        <v>106</v>
      </c>
      <c r="Q102" s="19">
        <v>5.0694444444444452E-2</v>
      </c>
      <c r="R102" s="8">
        <f>(1+(13/60))*N102</f>
        <v>128.96666666666667</v>
      </c>
    </row>
    <row r="103" spans="1:19" x14ac:dyDescent="0.2">
      <c r="A103" s="2">
        <f t="shared" si="1"/>
        <v>95</v>
      </c>
      <c r="D103" t="s">
        <v>120</v>
      </c>
      <c r="E103" t="s">
        <v>556</v>
      </c>
      <c r="F103" s="2">
        <v>13250</v>
      </c>
      <c r="N103" s="1">
        <v>95.61</v>
      </c>
      <c r="Q103" s="19">
        <v>0.24305555555555555</v>
      </c>
      <c r="R103" s="8">
        <f>(5+(50/60))*N103</f>
        <v>557.72500000000002</v>
      </c>
    </row>
    <row r="104" spans="1:19" x14ac:dyDescent="0.2">
      <c r="A104" s="2">
        <f t="shared" si="1"/>
        <v>96</v>
      </c>
      <c r="D104" t="s">
        <v>121</v>
      </c>
      <c r="E104" t="s">
        <v>557</v>
      </c>
      <c r="F104" s="2">
        <v>15680</v>
      </c>
      <c r="N104" s="1">
        <v>101.6</v>
      </c>
      <c r="Q104" s="19">
        <v>0.17430555555555557</v>
      </c>
      <c r="R104" s="8">
        <f>(4+(11/60))*N104</f>
        <v>425.02666666666664</v>
      </c>
    </row>
    <row r="105" spans="1:19" x14ac:dyDescent="0.2">
      <c r="A105" s="2">
        <v>174</v>
      </c>
      <c r="B105" s="2">
        <v>97</v>
      </c>
      <c r="C105" s="2">
        <v>20</v>
      </c>
      <c r="D105" t="s">
        <v>122</v>
      </c>
      <c r="E105" t="s">
        <v>1</v>
      </c>
      <c r="F105" s="2">
        <v>600000</v>
      </c>
      <c r="N105" s="1">
        <v>2715</v>
      </c>
      <c r="Q105" s="19">
        <v>0.78263888888888899</v>
      </c>
      <c r="R105" s="8">
        <f>(18+(47/60))*N105</f>
        <v>50996.750000000007</v>
      </c>
      <c r="S105">
        <v>2009</v>
      </c>
    </row>
    <row r="106" spans="1:19" x14ac:dyDescent="0.2">
      <c r="A106" s="2">
        <v>98</v>
      </c>
      <c r="D106" t="s">
        <v>123</v>
      </c>
      <c r="E106" t="s">
        <v>690</v>
      </c>
      <c r="F106" s="2">
        <v>84130</v>
      </c>
      <c r="N106" s="1">
        <v>212.1</v>
      </c>
      <c r="Q106" s="19">
        <v>0.20555555555555557</v>
      </c>
      <c r="R106" s="8">
        <f>(4+(56/60))*N106</f>
        <v>1046.3600000000001</v>
      </c>
    </row>
    <row r="107" spans="1:19" x14ac:dyDescent="0.2">
      <c r="A107" s="2">
        <f t="shared" si="1"/>
        <v>99</v>
      </c>
      <c r="D107" t="s">
        <v>124</v>
      </c>
      <c r="E107" t="s">
        <v>534</v>
      </c>
      <c r="F107" s="2">
        <v>30480</v>
      </c>
      <c r="N107" s="1">
        <v>118.7</v>
      </c>
      <c r="Q107" s="19">
        <v>0.19097222222222221</v>
      </c>
      <c r="R107" s="8">
        <f>(4+(35/60))*N107</f>
        <v>544.04166666666663</v>
      </c>
    </row>
    <row r="108" spans="1:19" x14ac:dyDescent="0.2">
      <c r="A108" s="2">
        <f t="shared" si="1"/>
        <v>100</v>
      </c>
      <c r="D108" t="s">
        <v>125</v>
      </c>
      <c r="E108" t="s">
        <v>691</v>
      </c>
      <c r="F108" s="2">
        <v>191320</v>
      </c>
      <c r="N108" s="1">
        <v>60.28</v>
      </c>
      <c r="Q108" s="19">
        <v>4.5833333333333337E-2</v>
      </c>
      <c r="R108" s="8">
        <f>(1+(6/60))*N108</f>
        <v>66.308000000000007</v>
      </c>
    </row>
    <row r="109" spans="1:19" x14ac:dyDescent="0.2">
      <c r="A109" s="2">
        <f t="shared" si="1"/>
        <v>101</v>
      </c>
      <c r="D109" t="s">
        <v>126</v>
      </c>
      <c r="E109" t="s">
        <v>6</v>
      </c>
      <c r="F109" s="2">
        <v>85900</v>
      </c>
      <c r="N109" s="1">
        <v>76.8</v>
      </c>
      <c r="Q109" s="19">
        <v>0.30138888888888887</v>
      </c>
      <c r="R109" s="8">
        <f>(7+(14/60))*N109</f>
        <v>555.52</v>
      </c>
    </row>
    <row r="110" spans="1:19" x14ac:dyDescent="0.2">
      <c r="A110" s="2">
        <f t="shared" si="1"/>
        <v>102</v>
      </c>
      <c r="D110" t="s">
        <v>127</v>
      </c>
      <c r="E110" t="s">
        <v>544</v>
      </c>
      <c r="F110" s="2">
        <v>223550</v>
      </c>
      <c r="N110" s="1">
        <v>90.46</v>
      </c>
      <c r="Q110" s="19">
        <v>0.17986111111111111</v>
      </c>
      <c r="R110" s="8">
        <f>(4+(19/60))*N110</f>
        <v>390.48566666666665</v>
      </c>
    </row>
    <row r="111" spans="1:19" x14ac:dyDescent="0.2">
      <c r="A111" s="2">
        <f t="shared" si="1"/>
        <v>103</v>
      </c>
      <c r="D111" t="s">
        <v>128</v>
      </c>
      <c r="E111" t="s">
        <v>7</v>
      </c>
      <c r="F111" s="2">
        <v>2000000</v>
      </c>
      <c r="N111" s="1">
        <v>381.2</v>
      </c>
      <c r="Q111" s="19">
        <v>0.3125</v>
      </c>
      <c r="R111" s="8">
        <f>7.5*N111</f>
        <v>2859</v>
      </c>
    </row>
    <row r="112" spans="1:19" x14ac:dyDescent="0.2">
      <c r="A112" s="2">
        <f t="shared" si="1"/>
        <v>104</v>
      </c>
      <c r="D112" t="s">
        <v>129</v>
      </c>
      <c r="E112" t="s">
        <v>692</v>
      </c>
      <c r="F112" s="2">
        <v>1000</v>
      </c>
      <c r="N112" s="1">
        <v>67.97</v>
      </c>
      <c r="Q112" s="19">
        <v>6.458333333333334E-2</v>
      </c>
      <c r="R112" s="8">
        <f>(1+(33/60))*N112</f>
        <v>105.3535</v>
      </c>
    </row>
    <row r="113" spans="1:18" x14ac:dyDescent="0.2">
      <c r="A113" s="2">
        <f t="shared" si="1"/>
        <v>105</v>
      </c>
      <c r="D113" t="s">
        <v>130</v>
      </c>
      <c r="E113" t="s">
        <v>693</v>
      </c>
      <c r="F113" s="2">
        <v>1000</v>
      </c>
      <c r="N113" s="1">
        <v>323.10000000000002</v>
      </c>
      <c r="Q113" s="19">
        <v>0.19166666666666665</v>
      </c>
      <c r="R113" s="8">
        <f>(4+(36/60))*N113</f>
        <v>1486.26</v>
      </c>
    </row>
    <row r="114" spans="1:18" x14ac:dyDescent="0.2">
      <c r="A114" s="2">
        <f t="shared" si="1"/>
        <v>106</v>
      </c>
      <c r="D114" t="s">
        <v>131</v>
      </c>
      <c r="E114" t="s">
        <v>6</v>
      </c>
      <c r="F114" s="2">
        <v>64000</v>
      </c>
      <c r="N114" s="1">
        <v>229.6</v>
      </c>
      <c r="Q114" s="19">
        <v>0.31388888888888888</v>
      </c>
      <c r="R114" s="8">
        <f>(7+(32/60))*N114</f>
        <v>1729.6533333333332</v>
      </c>
    </row>
    <row r="115" spans="1:18" x14ac:dyDescent="0.2">
      <c r="A115" s="2">
        <f t="shared" si="1"/>
        <v>107</v>
      </c>
      <c r="D115" t="s">
        <v>132</v>
      </c>
      <c r="E115" t="s">
        <v>545</v>
      </c>
      <c r="F115" s="2">
        <v>66340</v>
      </c>
      <c r="N115" s="1">
        <v>103</v>
      </c>
      <c r="Q115" s="19">
        <v>0.33888888888888885</v>
      </c>
      <c r="R115" s="8">
        <f>(8+(8/60))*N115</f>
        <v>837.73333333333323</v>
      </c>
    </row>
    <row r="116" spans="1:18" x14ac:dyDescent="0.2">
      <c r="A116" s="2">
        <f t="shared" si="1"/>
        <v>108</v>
      </c>
      <c r="D116" s="3" t="s">
        <v>133</v>
      </c>
      <c r="E116" t="s">
        <v>6</v>
      </c>
      <c r="F116" s="2">
        <v>300</v>
      </c>
      <c r="G116" s="2">
        <v>117.3</v>
      </c>
      <c r="H116" s="15">
        <v>3.98</v>
      </c>
      <c r="I116" s="16">
        <v>3.5779999999999998</v>
      </c>
      <c r="J116" s="2">
        <v>72.209999999999994</v>
      </c>
      <c r="N116" s="1">
        <v>109.5</v>
      </c>
      <c r="Q116" s="19">
        <v>5.1388888888888894E-2</v>
      </c>
      <c r="R116" s="8">
        <f>(1+(14/60))*N116</f>
        <v>135.05000000000001</v>
      </c>
    </row>
    <row r="117" spans="1:18" x14ac:dyDescent="0.2">
      <c r="A117" s="2">
        <f t="shared" si="1"/>
        <v>109</v>
      </c>
      <c r="D117" t="s">
        <v>134</v>
      </c>
      <c r="E117" t="s">
        <v>539</v>
      </c>
      <c r="F117" s="2">
        <v>167630</v>
      </c>
      <c r="N117" s="1">
        <v>57.19</v>
      </c>
      <c r="Q117" s="19">
        <v>0.44722222222222219</v>
      </c>
      <c r="R117" s="8">
        <f>(10+(44/60))*N117</f>
        <v>613.83933333333323</v>
      </c>
    </row>
    <row r="118" spans="1:18" x14ac:dyDescent="0.2">
      <c r="A118" s="2">
        <f t="shared" si="1"/>
        <v>110</v>
      </c>
      <c r="D118" t="s">
        <v>135</v>
      </c>
      <c r="E118" t="s">
        <v>558</v>
      </c>
      <c r="F118" s="2">
        <v>87920</v>
      </c>
      <c r="N118" s="1">
        <v>67.12</v>
      </c>
      <c r="Q118" s="19">
        <v>0.1277777777777778</v>
      </c>
      <c r="R118" s="8">
        <f>(3+(4/60))*N118</f>
        <v>205.83466666666669</v>
      </c>
    </row>
    <row r="119" spans="1:18" x14ac:dyDescent="0.2">
      <c r="A119" s="2">
        <f t="shared" si="1"/>
        <v>111</v>
      </c>
      <c r="D119" t="s">
        <v>136</v>
      </c>
      <c r="E119" t="s">
        <v>541</v>
      </c>
      <c r="F119" s="2">
        <v>0</v>
      </c>
      <c r="N119" s="1">
        <v>79.61</v>
      </c>
      <c r="Q119" s="19">
        <v>0.15138888888888888</v>
      </c>
      <c r="R119" s="8">
        <f>(3+(38/60))*N119</f>
        <v>289.24966666666666</v>
      </c>
    </row>
    <row r="120" spans="1:18" x14ac:dyDescent="0.2">
      <c r="A120" s="2">
        <f t="shared" si="1"/>
        <v>112</v>
      </c>
      <c r="D120" t="s">
        <v>137</v>
      </c>
      <c r="E120" t="s">
        <v>559</v>
      </c>
      <c r="F120" s="2">
        <v>2910</v>
      </c>
      <c r="N120" s="1">
        <v>69.09</v>
      </c>
      <c r="Q120" s="19">
        <v>0.22083333333333333</v>
      </c>
      <c r="R120" s="8">
        <f>(5+(18/60))*N120</f>
        <v>366.17700000000002</v>
      </c>
    </row>
    <row r="121" spans="1:18" x14ac:dyDescent="0.2">
      <c r="A121" s="2">
        <f t="shared" si="1"/>
        <v>113</v>
      </c>
      <c r="D121" t="s">
        <v>138</v>
      </c>
      <c r="E121" s="13" t="s">
        <v>694</v>
      </c>
      <c r="F121" s="2">
        <v>430000</v>
      </c>
      <c r="N121" s="1">
        <v>1082</v>
      </c>
      <c r="Q121" s="19">
        <v>0.10486111111111111</v>
      </c>
      <c r="R121" s="8">
        <f>(2+(31/60))*N121</f>
        <v>2723.0333333333333</v>
      </c>
    </row>
    <row r="122" spans="1:18" x14ac:dyDescent="0.2">
      <c r="A122" s="2">
        <f t="shared" si="1"/>
        <v>114</v>
      </c>
      <c r="D122" t="s">
        <v>139</v>
      </c>
      <c r="E122" t="s">
        <v>6</v>
      </c>
      <c r="F122" s="2">
        <v>19000</v>
      </c>
      <c r="N122" s="1">
        <v>392.4</v>
      </c>
      <c r="Q122" s="19">
        <v>0.42986111111111108</v>
      </c>
      <c r="R122" s="8">
        <f>(10+(19/60))*N122</f>
        <v>4048.2599999999998</v>
      </c>
    </row>
    <row r="123" spans="1:18" x14ac:dyDescent="0.2">
      <c r="A123" s="2">
        <f t="shared" si="1"/>
        <v>115</v>
      </c>
      <c r="D123" t="s">
        <v>141</v>
      </c>
      <c r="E123" t="s">
        <v>546</v>
      </c>
      <c r="F123" s="2">
        <v>97170</v>
      </c>
      <c r="N123" s="1">
        <v>618.70000000000005</v>
      </c>
      <c r="Q123" s="19">
        <v>0.36736111111111108</v>
      </c>
      <c r="R123" s="8">
        <f>(8+(49/60))*N123</f>
        <v>5454.8716666666669</v>
      </c>
    </row>
    <row r="124" spans="1:18" x14ac:dyDescent="0.2">
      <c r="A124" s="2">
        <f t="shared" si="1"/>
        <v>116</v>
      </c>
      <c r="D124" t="s">
        <v>142</v>
      </c>
      <c r="E124" t="s">
        <v>547</v>
      </c>
      <c r="F124" s="2">
        <v>153870</v>
      </c>
      <c r="N124" s="1">
        <v>241.4</v>
      </c>
      <c r="Q124" s="19">
        <v>0.16527777777777777</v>
      </c>
      <c r="R124" s="8">
        <f>(3+(58/60))*N124</f>
        <v>957.5533333333334</v>
      </c>
    </row>
    <row r="125" spans="1:18" x14ac:dyDescent="0.2">
      <c r="A125" s="2">
        <f t="shared" si="1"/>
        <v>117</v>
      </c>
      <c r="D125" t="s">
        <v>143</v>
      </c>
      <c r="E125" t="s">
        <v>539</v>
      </c>
      <c r="F125" s="2">
        <v>167630</v>
      </c>
      <c r="N125" s="1">
        <v>80.47</v>
      </c>
      <c r="Q125" s="19">
        <v>6.1805555555555558E-2</v>
      </c>
      <c r="R125" s="8">
        <f>(1+(29/60))*N125</f>
        <v>119.36383333333333</v>
      </c>
    </row>
    <row r="126" spans="1:18" x14ac:dyDescent="0.2">
      <c r="A126" s="2">
        <f t="shared" si="1"/>
        <v>118</v>
      </c>
      <c r="D126" t="s">
        <v>144</v>
      </c>
      <c r="E126" t="s">
        <v>6</v>
      </c>
      <c r="F126" s="2">
        <v>6900</v>
      </c>
      <c r="N126" s="1">
        <v>65.540000000000006</v>
      </c>
      <c r="Q126" s="19">
        <v>1.4583333333333332E-2</v>
      </c>
      <c r="R126" s="8">
        <f>(21/60)*N126</f>
        <v>22.939</v>
      </c>
    </row>
    <row r="127" spans="1:18" x14ac:dyDescent="0.2">
      <c r="A127" s="2">
        <f t="shared" si="1"/>
        <v>119</v>
      </c>
      <c r="D127" t="s">
        <v>145</v>
      </c>
      <c r="E127" t="s">
        <v>676</v>
      </c>
      <c r="F127" s="2">
        <v>10490</v>
      </c>
      <c r="G127" s="2">
        <v>88.58</v>
      </c>
      <c r="H127" s="15">
        <v>2.8239999999999998</v>
      </c>
      <c r="I127" s="16">
        <v>2.0449999999999999</v>
      </c>
      <c r="J127" s="2">
        <v>32.67</v>
      </c>
      <c r="N127" s="1">
        <v>80.77</v>
      </c>
      <c r="Q127" s="19">
        <v>0.11458333333333333</v>
      </c>
      <c r="R127" s="8">
        <f>(2+(45/60))*N127</f>
        <v>222.11749999999998</v>
      </c>
    </row>
    <row r="128" spans="1:18" x14ac:dyDescent="0.2">
      <c r="A128" s="2">
        <f t="shared" si="1"/>
        <v>120</v>
      </c>
      <c r="D128" t="s">
        <v>146</v>
      </c>
      <c r="E128" t="s">
        <v>9</v>
      </c>
      <c r="F128" s="2">
        <v>168050</v>
      </c>
      <c r="N128" s="1">
        <v>71.849999999999994</v>
      </c>
      <c r="Q128" s="19">
        <v>0.16458333333333333</v>
      </c>
      <c r="R128" s="8">
        <f>(3+(57/60))*N128</f>
        <v>283.8075</v>
      </c>
    </row>
    <row r="129" spans="1:18" x14ac:dyDescent="0.2">
      <c r="A129" s="2">
        <f t="shared" si="1"/>
        <v>121</v>
      </c>
      <c r="D129" t="s">
        <v>147</v>
      </c>
      <c r="E129" t="s">
        <v>695</v>
      </c>
      <c r="F129" s="2">
        <v>9800</v>
      </c>
      <c r="N129" s="1">
        <v>47.59</v>
      </c>
      <c r="Q129" s="19">
        <v>0.17361111111111113</v>
      </c>
      <c r="R129" s="8">
        <f>(4+(10/60))*N129</f>
        <v>198.29166666666669</v>
      </c>
    </row>
    <row r="130" spans="1:18" x14ac:dyDescent="0.2">
      <c r="A130" s="2">
        <f t="shared" si="1"/>
        <v>122</v>
      </c>
      <c r="D130" t="s">
        <v>148</v>
      </c>
      <c r="E130" t="s">
        <v>698</v>
      </c>
      <c r="F130" s="2">
        <v>1000</v>
      </c>
      <c r="N130" s="1">
        <v>113.1</v>
      </c>
      <c r="Q130" s="19">
        <v>0.125</v>
      </c>
      <c r="R130" s="8">
        <f>3*N130</f>
        <v>339.29999999999995</v>
      </c>
    </row>
    <row r="131" spans="1:18" x14ac:dyDescent="0.2">
      <c r="A131" s="2">
        <f t="shared" ref="A131:A195" si="2">A130+1</f>
        <v>123</v>
      </c>
      <c r="D131" t="s">
        <v>149</v>
      </c>
      <c r="E131" t="s">
        <v>683</v>
      </c>
      <c r="F131" s="2">
        <v>5000</v>
      </c>
      <c r="N131" s="1">
        <v>89.5</v>
      </c>
      <c r="Q131" s="19">
        <v>5.9722222222222225E-2</v>
      </c>
      <c r="R131" s="8">
        <f>(1+(26/60))*N131</f>
        <v>128.28333333333333</v>
      </c>
    </row>
    <row r="132" spans="1:18" x14ac:dyDescent="0.2">
      <c r="A132" s="2">
        <f t="shared" si="2"/>
        <v>124</v>
      </c>
      <c r="D132" s="3" t="s">
        <v>150</v>
      </c>
      <c r="E132" t="s">
        <v>5</v>
      </c>
      <c r="F132" s="2">
        <v>0</v>
      </c>
      <c r="G132" s="2">
        <v>153.19999999999999</v>
      </c>
      <c r="H132" s="15">
        <v>4.7300000000000004</v>
      </c>
      <c r="I132" s="16">
        <v>4.2839999999999998</v>
      </c>
      <c r="J132" s="2">
        <v>101.9</v>
      </c>
      <c r="N132" s="1">
        <v>125.3</v>
      </c>
      <c r="Q132" s="19">
        <v>5.0694444444444452E-2</v>
      </c>
      <c r="R132" s="8">
        <f>(1+(13/60))*N132</f>
        <v>152.44833333333335</v>
      </c>
    </row>
    <row r="133" spans="1:18" x14ac:dyDescent="0.2">
      <c r="A133" s="2">
        <f t="shared" si="2"/>
        <v>125</v>
      </c>
      <c r="D133" t="s">
        <v>151</v>
      </c>
      <c r="E133" t="s">
        <v>697</v>
      </c>
      <c r="F133" s="2">
        <v>0</v>
      </c>
      <c r="N133" s="1">
        <v>8.8130000000000006</v>
      </c>
      <c r="Q133" s="19">
        <v>3.9583333333333331E-2</v>
      </c>
      <c r="R133" s="8">
        <f>(57/60)*N133</f>
        <v>8.3723500000000008</v>
      </c>
    </row>
    <row r="134" spans="1:18" x14ac:dyDescent="0.2">
      <c r="A134" s="2">
        <f t="shared" si="2"/>
        <v>126</v>
      </c>
      <c r="D134" t="s">
        <v>152</v>
      </c>
      <c r="E134" t="s">
        <v>564</v>
      </c>
      <c r="F134" s="2">
        <v>197580</v>
      </c>
      <c r="N134" s="1">
        <v>116.7</v>
      </c>
      <c r="Q134" s="19">
        <v>0.74444444444444446</v>
      </c>
      <c r="R134" s="8">
        <f>(17+(52/60))*N134</f>
        <v>2085.04</v>
      </c>
    </row>
    <row r="135" spans="1:18" x14ac:dyDescent="0.2">
      <c r="A135" s="2">
        <f t="shared" si="2"/>
        <v>127</v>
      </c>
      <c r="D135" t="s">
        <v>153</v>
      </c>
      <c r="E135" t="s">
        <v>696</v>
      </c>
      <c r="F135" s="2">
        <v>87890</v>
      </c>
      <c r="N135" s="1">
        <v>70.099999999999994</v>
      </c>
      <c r="Q135" s="19">
        <v>0.20277777777777781</v>
      </c>
      <c r="R135" s="8">
        <f>(4+(52/60))*N135</f>
        <v>341.15333333333336</v>
      </c>
    </row>
    <row r="136" spans="1:18" x14ac:dyDescent="0.2">
      <c r="A136" s="2">
        <f t="shared" si="2"/>
        <v>128</v>
      </c>
      <c r="D136" t="s">
        <v>154</v>
      </c>
      <c r="E136" t="s">
        <v>3</v>
      </c>
      <c r="F136" s="2">
        <v>5000</v>
      </c>
      <c r="N136" s="1">
        <v>71.12</v>
      </c>
      <c r="Q136" s="19">
        <v>9.6527777777777768E-2</v>
      </c>
      <c r="R136" s="8">
        <f>(2+(19/60))*N136</f>
        <v>164.76133333333334</v>
      </c>
    </row>
    <row r="137" spans="1:18" x14ac:dyDescent="0.2">
      <c r="A137" s="2">
        <f t="shared" si="2"/>
        <v>129</v>
      </c>
      <c r="D137" t="s">
        <v>155</v>
      </c>
      <c r="E137" t="s">
        <v>560</v>
      </c>
      <c r="F137" s="2">
        <v>25590</v>
      </c>
      <c r="N137" s="1">
        <v>63.04</v>
      </c>
      <c r="Q137" s="19">
        <v>0.31527777777777777</v>
      </c>
      <c r="R137" s="8">
        <f>(7+(34/60))*N137</f>
        <v>477.00266666666664</v>
      </c>
    </row>
    <row r="138" spans="1:18" x14ac:dyDescent="0.2">
      <c r="A138" s="2">
        <f t="shared" si="2"/>
        <v>130</v>
      </c>
      <c r="D138" t="s">
        <v>156</v>
      </c>
      <c r="E138" t="s">
        <v>535</v>
      </c>
      <c r="F138" s="2">
        <v>119970</v>
      </c>
      <c r="N138" s="1">
        <v>44.6</v>
      </c>
      <c r="Q138" s="19">
        <v>0.11944444444444445</v>
      </c>
      <c r="R138" s="8">
        <f>(2+(52/60))*N138</f>
        <v>127.85333333333334</v>
      </c>
    </row>
    <row r="139" spans="1:18" x14ac:dyDescent="0.2">
      <c r="A139" s="2">
        <f t="shared" si="2"/>
        <v>131</v>
      </c>
      <c r="D139" t="s">
        <v>158</v>
      </c>
      <c r="E139" t="s">
        <v>561</v>
      </c>
      <c r="F139" s="2">
        <v>2200</v>
      </c>
      <c r="N139" s="1">
        <v>55.94</v>
      </c>
      <c r="Q139" s="19">
        <v>0.19305555555555554</v>
      </c>
      <c r="R139" s="8">
        <f>(4+(38/60))*N139</f>
        <v>259.18866666666662</v>
      </c>
    </row>
    <row r="140" spans="1:18" x14ac:dyDescent="0.2">
      <c r="A140" s="2">
        <f t="shared" si="2"/>
        <v>132</v>
      </c>
      <c r="D140" t="s">
        <v>159</v>
      </c>
      <c r="E140" t="s">
        <v>6</v>
      </c>
      <c r="F140" s="2">
        <v>500</v>
      </c>
      <c r="N140" s="1">
        <v>186.2</v>
      </c>
      <c r="Q140" s="19">
        <v>0.60138888888888886</v>
      </c>
      <c r="R140" s="8">
        <f>(14+(26/60))*N140</f>
        <v>2687.4866666666667</v>
      </c>
    </row>
    <row r="141" spans="1:18" x14ac:dyDescent="0.2">
      <c r="A141" s="2">
        <f t="shared" si="2"/>
        <v>133</v>
      </c>
      <c r="D141" t="s">
        <v>160</v>
      </c>
      <c r="N141" s="1">
        <v>77.06</v>
      </c>
      <c r="Q141" s="19">
        <v>6.0416666666666667E-2</v>
      </c>
      <c r="R141" s="8">
        <f>(1+(27/60))*N141</f>
        <v>111.73699999999999</v>
      </c>
    </row>
    <row r="142" spans="1:18" x14ac:dyDescent="0.2">
      <c r="A142" s="2">
        <f t="shared" si="2"/>
        <v>134</v>
      </c>
      <c r="D142" t="s">
        <v>161</v>
      </c>
      <c r="E142" t="s">
        <v>548</v>
      </c>
      <c r="F142" s="2">
        <v>109950</v>
      </c>
      <c r="N142" s="1">
        <v>81.77</v>
      </c>
      <c r="Q142" s="19">
        <v>0.20277777777777781</v>
      </c>
      <c r="R142" s="8">
        <f>(4+(52/60))*N142</f>
        <v>397.94733333333335</v>
      </c>
    </row>
    <row r="143" spans="1:18" x14ac:dyDescent="0.2">
      <c r="A143" s="2">
        <f t="shared" si="2"/>
        <v>135</v>
      </c>
      <c r="D143" t="s">
        <v>162</v>
      </c>
      <c r="E143" t="s">
        <v>549</v>
      </c>
      <c r="F143" s="2">
        <v>184760</v>
      </c>
      <c r="N143" s="1">
        <v>129.69999999999999</v>
      </c>
      <c r="Q143" s="19">
        <v>0.15</v>
      </c>
      <c r="R143" s="8">
        <f>(3+(36/60))*N143</f>
        <v>466.91999999999996</v>
      </c>
    </row>
    <row r="144" spans="1:18" x14ac:dyDescent="0.2">
      <c r="A144" s="2">
        <f t="shared" si="2"/>
        <v>136</v>
      </c>
      <c r="D144" t="s">
        <v>163</v>
      </c>
      <c r="E144" t="s">
        <v>6</v>
      </c>
      <c r="F144" s="2">
        <v>10000</v>
      </c>
      <c r="N144" s="1">
        <v>132.30000000000001</v>
      </c>
      <c r="Q144" s="19">
        <v>0.12013888888888889</v>
      </c>
      <c r="R144" s="8">
        <f>(2+(53/60))*N144</f>
        <v>381.46500000000003</v>
      </c>
    </row>
    <row r="145" spans="1:18" x14ac:dyDescent="0.2">
      <c r="A145" s="4">
        <f t="shared" si="2"/>
        <v>137</v>
      </c>
      <c r="B145" s="4"/>
      <c r="C145" s="4"/>
      <c r="D145" s="3" t="s">
        <v>164</v>
      </c>
      <c r="E145" t="s">
        <v>6</v>
      </c>
      <c r="F145" s="2">
        <v>3000</v>
      </c>
      <c r="G145" s="2">
        <v>101.6</v>
      </c>
      <c r="H145" s="15">
        <v>3.1469999999999998</v>
      </c>
      <c r="I145" s="16">
        <v>2.859</v>
      </c>
      <c r="J145" s="2">
        <v>66.12</v>
      </c>
      <c r="N145" s="1">
        <v>86.18</v>
      </c>
      <c r="Q145" s="20" t="s">
        <v>748</v>
      </c>
      <c r="R145" s="8">
        <f>(1+(27/60))*N145</f>
        <v>124.96100000000001</v>
      </c>
    </row>
    <row r="146" spans="1:18" x14ac:dyDescent="0.2">
      <c r="A146" s="4">
        <f t="shared" si="2"/>
        <v>138</v>
      </c>
      <c r="B146" s="4"/>
      <c r="C146" s="4"/>
      <c r="D146" t="s">
        <v>166</v>
      </c>
      <c r="E146" t="s">
        <v>9</v>
      </c>
      <c r="F146" s="2">
        <v>168050</v>
      </c>
      <c r="N146" s="1">
        <v>267.5</v>
      </c>
      <c r="Q146" s="19">
        <v>0.24444444444444446</v>
      </c>
      <c r="R146" s="8">
        <f>(5+(52/60))*N146</f>
        <v>1569.3333333333335</v>
      </c>
    </row>
    <row r="147" spans="1:18" x14ac:dyDescent="0.2">
      <c r="A147" s="2">
        <f t="shared" si="2"/>
        <v>139</v>
      </c>
      <c r="D147" t="s">
        <v>167</v>
      </c>
      <c r="N147" s="1">
        <v>78.89</v>
      </c>
      <c r="Q147" s="19">
        <v>8.4722222222222213E-2</v>
      </c>
      <c r="R147" s="8">
        <f>(2+(2/60))*N147</f>
        <v>160.40966666666665</v>
      </c>
    </row>
    <row r="148" spans="1:18" x14ac:dyDescent="0.2">
      <c r="A148" s="2">
        <f t="shared" si="2"/>
        <v>140</v>
      </c>
      <c r="D148" t="s">
        <v>168</v>
      </c>
      <c r="E148" t="s">
        <v>6</v>
      </c>
      <c r="N148" s="1">
        <v>160.80000000000001</v>
      </c>
      <c r="Q148" s="19">
        <v>0.17291666666666669</v>
      </c>
      <c r="R148" s="8">
        <f>(4+(9/60))*N148</f>
        <v>667.32</v>
      </c>
    </row>
    <row r="149" spans="1:18" x14ac:dyDescent="0.2">
      <c r="A149" s="2">
        <f t="shared" si="2"/>
        <v>141</v>
      </c>
      <c r="D149" t="s">
        <v>169</v>
      </c>
      <c r="E149" t="s">
        <v>698</v>
      </c>
      <c r="F149" s="2">
        <v>1000</v>
      </c>
      <c r="N149" s="1">
        <v>124</v>
      </c>
      <c r="Q149" s="19">
        <v>0.13958333333333334</v>
      </c>
      <c r="R149" s="8">
        <f>(3+(21/60))*N149</f>
        <v>415.40000000000003</v>
      </c>
    </row>
    <row r="150" spans="1:18" x14ac:dyDescent="0.2">
      <c r="A150" s="2">
        <f t="shared" si="2"/>
        <v>142</v>
      </c>
      <c r="D150" t="s">
        <v>170</v>
      </c>
      <c r="G150" s="2">
        <v>96.86</v>
      </c>
      <c r="H150" s="15">
        <v>3.0830000000000002</v>
      </c>
      <c r="I150" s="16">
        <v>2.3540000000000001</v>
      </c>
      <c r="J150" s="2">
        <v>38.869999999999997</v>
      </c>
      <c r="N150" s="1">
        <v>90.13</v>
      </c>
      <c r="Q150" s="19">
        <v>0.12569444444444444</v>
      </c>
      <c r="R150" s="8">
        <f>(3+(1/60))*N150</f>
        <v>271.89216666666664</v>
      </c>
    </row>
    <row r="151" spans="1:18" x14ac:dyDescent="0.2">
      <c r="A151" s="2">
        <f t="shared" si="2"/>
        <v>143</v>
      </c>
      <c r="D151" t="s">
        <v>171</v>
      </c>
      <c r="N151" s="1">
        <v>70.790000000000006</v>
      </c>
      <c r="Q151" s="19">
        <v>5.2083333333333336E-2</v>
      </c>
      <c r="R151" s="8">
        <f>(1+(15/60))*N151</f>
        <v>88.487500000000011</v>
      </c>
    </row>
    <row r="152" spans="1:18" x14ac:dyDescent="0.2">
      <c r="A152" s="2">
        <f t="shared" si="2"/>
        <v>144</v>
      </c>
      <c r="D152" t="s">
        <v>172</v>
      </c>
      <c r="E152" t="s">
        <v>6</v>
      </c>
      <c r="F152" s="2">
        <v>0</v>
      </c>
      <c r="G152" s="2">
        <v>85.97</v>
      </c>
      <c r="H152" s="15">
        <v>2.1579999999999999</v>
      </c>
      <c r="I152" s="16">
        <v>1.6830000000000001</v>
      </c>
      <c r="J152" s="2">
        <v>26.54</v>
      </c>
      <c r="N152" s="1">
        <v>35.39</v>
      </c>
      <c r="Q152" s="22">
        <v>9.9999999999999992E-2</v>
      </c>
      <c r="R152" s="8">
        <f>(2+(24/60))*N152</f>
        <v>84.935999999999993</v>
      </c>
    </row>
    <row r="153" spans="1:18" x14ac:dyDescent="0.2">
      <c r="A153" s="2">
        <f t="shared" si="2"/>
        <v>145</v>
      </c>
      <c r="D153" t="s">
        <v>173</v>
      </c>
      <c r="N153" s="1">
        <v>61.65</v>
      </c>
      <c r="Q153" s="19">
        <v>0.1986111111111111</v>
      </c>
      <c r="R153" s="8">
        <f>(4+(46/60))*N153</f>
        <v>293.86500000000001</v>
      </c>
    </row>
    <row r="154" spans="1:18" x14ac:dyDescent="0.2">
      <c r="A154" s="2">
        <f t="shared" si="2"/>
        <v>146</v>
      </c>
      <c r="D154" t="s">
        <v>174</v>
      </c>
      <c r="E154" t="s">
        <v>6</v>
      </c>
      <c r="F154" s="2">
        <v>1000</v>
      </c>
      <c r="N154" s="1">
        <v>9.5009999999999994</v>
      </c>
      <c r="Q154" s="19">
        <v>0.11597222222222221</v>
      </c>
      <c r="R154" s="8">
        <f>(2+(47/60))*N154</f>
        <v>26.444449999999996</v>
      </c>
    </row>
    <row r="155" spans="1:18" x14ac:dyDescent="0.2">
      <c r="A155" s="2">
        <f t="shared" si="2"/>
        <v>147</v>
      </c>
      <c r="D155" t="s">
        <v>175</v>
      </c>
      <c r="N155" s="1">
        <v>128.9</v>
      </c>
      <c r="Q155" s="19">
        <v>0.54722222222222217</v>
      </c>
      <c r="R155" s="8">
        <f>(13+(8/60))*N155</f>
        <v>1692.8866666666668</v>
      </c>
    </row>
    <row r="156" spans="1:18" x14ac:dyDescent="0.2">
      <c r="A156" s="2">
        <f t="shared" si="2"/>
        <v>148</v>
      </c>
      <c r="D156" t="s">
        <v>176</v>
      </c>
      <c r="G156" s="2">
        <v>63.58</v>
      </c>
      <c r="H156" s="15">
        <v>1.6850000000000001</v>
      </c>
      <c r="I156" s="16">
        <v>1.552</v>
      </c>
      <c r="J156" s="2">
        <v>39.81</v>
      </c>
      <c r="N156" s="1">
        <v>65.3</v>
      </c>
      <c r="Q156" s="19">
        <v>5.0694444444444452E-2</v>
      </c>
      <c r="R156" s="8">
        <f>(1+(13/60))*N156</f>
        <v>79.448333333333338</v>
      </c>
    </row>
    <row r="157" spans="1:18" x14ac:dyDescent="0.2">
      <c r="A157" s="2">
        <f t="shared" si="2"/>
        <v>149</v>
      </c>
      <c r="D157" t="s">
        <v>177</v>
      </c>
      <c r="N157" s="1">
        <f>56.84</f>
        <v>56.84</v>
      </c>
      <c r="Q157" s="19">
        <v>0.21666666666666667</v>
      </c>
      <c r="R157" s="8">
        <f>(5+(12/60))*N157</f>
        <v>295.56800000000004</v>
      </c>
    </row>
    <row r="158" spans="1:18" x14ac:dyDescent="0.2">
      <c r="A158" s="2">
        <f t="shared" si="2"/>
        <v>150</v>
      </c>
      <c r="D158" t="s">
        <v>179</v>
      </c>
      <c r="E158" t="s">
        <v>697</v>
      </c>
      <c r="F158" s="2">
        <v>0</v>
      </c>
      <c r="N158" s="1">
        <v>112</v>
      </c>
      <c r="Q158" s="19">
        <v>0.55208333333333337</v>
      </c>
      <c r="R158" s="8">
        <f>(13+(15/60))*N158</f>
        <v>1484</v>
      </c>
    </row>
    <row r="159" spans="1:18" x14ac:dyDescent="0.2">
      <c r="A159" s="2">
        <f t="shared" si="2"/>
        <v>151</v>
      </c>
      <c r="D159" t="s">
        <v>180</v>
      </c>
      <c r="E159" t="s">
        <v>1</v>
      </c>
      <c r="F159" s="2">
        <v>600000</v>
      </c>
      <c r="N159" s="1">
        <v>299.10000000000002</v>
      </c>
      <c r="Q159" s="19">
        <v>0.5854166666666667</v>
      </c>
      <c r="R159" s="8">
        <f>(14+(3/60))*N159</f>
        <v>4202.3550000000005</v>
      </c>
    </row>
    <row r="160" spans="1:18" x14ac:dyDescent="0.2">
      <c r="A160" s="2">
        <f t="shared" si="2"/>
        <v>152</v>
      </c>
      <c r="D160" t="s">
        <v>181</v>
      </c>
      <c r="E160" t="s">
        <v>697</v>
      </c>
      <c r="F160" s="2">
        <v>0</v>
      </c>
      <c r="N160" s="1">
        <v>176.7</v>
      </c>
      <c r="Q160" s="19">
        <v>0.76527777777777783</v>
      </c>
      <c r="R160" s="8">
        <f>(18+(22/60))*N160</f>
        <v>3245.39</v>
      </c>
    </row>
    <row r="161" spans="1:18" x14ac:dyDescent="0.2">
      <c r="A161" s="2">
        <f t="shared" si="2"/>
        <v>153</v>
      </c>
      <c r="D161" t="s">
        <v>182</v>
      </c>
      <c r="N161" s="1">
        <v>117.6</v>
      </c>
      <c r="Q161" s="19">
        <v>4.5833333333333337E-2</v>
      </c>
      <c r="R161" s="8">
        <f>(1+(6/60))*N161</f>
        <v>129.36000000000001</v>
      </c>
    </row>
    <row r="162" spans="1:18" x14ac:dyDescent="0.2">
      <c r="A162" s="2">
        <f t="shared" si="2"/>
        <v>154</v>
      </c>
      <c r="D162" t="s">
        <v>183</v>
      </c>
      <c r="N162" s="1">
        <v>237.5</v>
      </c>
      <c r="Q162" s="19">
        <v>0.15416666666666667</v>
      </c>
      <c r="R162" s="8">
        <f>(3+(42/60))*N162</f>
        <v>878.75</v>
      </c>
    </row>
    <row r="163" spans="1:18" x14ac:dyDescent="0.2">
      <c r="A163" s="2">
        <f t="shared" si="2"/>
        <v>155</v>
      </c>
      <c r="D163" t="s">
        <v>184</v>
      </c>
      <c r="E163" t="s">
        <v>695</v>
      </c>
      <c r="F163" s="2">
        <v>9880</v>
      </c>
      <c r="G163" s="2">
        <v>63.23</v>
      </c>
      <c r="H163" s="15">
        <v>2.4420000000000002</v>
      </c>
      <c r="I163" s="16">
        <v>2.2120000000000002</v>
      </c>
      <c r="J163" s="2">
        <v>39.119999999999997</v>
      </c>
      <c r="K163" s="1" t="s">
        <v>11</v>
      </c>
      <c r="L163" s="1" t="s">
        <v>16</v>
      </c>
      <c r="N163" s="1">
        <v>82.44</v>
      </c>
      <c r="Q163" s="22">
        <v>4.5833333333333337E-2</v>
      </c>
      <c r="R163" s="8">
        <f>(1+(6/60))*N163</f>
        <v>90.684000000000012</v>
      </c>
    </row>
    <row r="164" spans="1:18" x14ac:dyDescent="0.2">
      <c r="A164" s="2">
        <f t="shared" si="2"/>
        <v>156</v>
      </c>
      <c r="D164" t="s">
        <v>185</v>
      </c>
      <c r="N164" s="1">
        <v>63.08</v>
      </c>
      <c r="Q164" s="19">
        <v>0.12708333333333333</v>
      </c>
      <c r="R164" s="8">
        <f>(3+(3/60))*N164</f>
        <v>192.39399999999998</v>
      </c>
    </row>
    <row r="165" spans="1:18" x14ac:dyDescent="0.2">
      <c r="A165" s="2">
        <f t="shared" si="2"/>
        <v>157</v>
      </c>
      <c r="D165" t="s">
        <v>186</v>
      </c>
      <c r="N165" s="1">
        <v>85.18</v>
      </c>
      <c r="Q165" s="19">
        <v>7.5694444444444439E-2</v>
      </c>
      <c r="R165" s="8">
        <f>(1+(49/60))*N165</f>
        <v>154.74366666666668</v>
      </c>
    </row>
    <row r="166" spans="1:18" x14ac:dyDescent="0.2">
      <c r="A166" s="2">
        <f t="shared" si="2"/>
        <v>158</v>
      </c>
      <c r="D166" t="s">
        <v>187</v>
      </c>
      <c r="E166" t="s">
        <v>722</v>
      </c>
      <c r="F166" s="2">
        <v>10590</v>
      </c>
      <c r="N166" s="1">
        <v>51.28</v>
      </c>
      <c r="Q166" s="19">
        <v>0.18541666666666667</v>
      </c>
      <c r="R166" s="8">
        <f>(4+(27/60))*N166</f>
        <v>228.19600000000003</v>
      </c>
    </row>
    <row r="167" spans="1:18" x14ac:dyDescent="0.2">
      <c r="A167" s="2">
        <f t="shared" si="2"/>
        <v>159</v>
      </c>
      <c r="D167" t="s">
        <v>188</v>
      </c>
      <c r="N167" s="1">
        <v>83.61</v>
      </c>
      <c r="Q167" s="19">
        <v>0.18472222222222223</v>
      </c>
      <c r="R167" s="8">
        <f>(4+(26/60))*N167</f>
        <v>370.67099999999999</v>
      </c>
    </row>
    <row r="168" spans="1:18" x14ac:dyDescent="0.2">
      <c r="A168" s="2">
        <f t="shared" si="2"/>
        <v>160</v>
      </c>
      <c r="D168" t="s">
        <v>189</v>
      </c>
      <c r="E168" t="s">
        <v>550</v>
      </c>
      <c r="F168" s="2">
        <v>88480</v>
      </c>
      <c r="N168" s="1">
        <v>88.87</v>
      </c>
      <c r="Q168" s="19">
        <v>0.20972222222222223</v>
      </c>
      <c r="R168" s="8">
        <f>(5+(2/60))*N168</f>
        <v>447.31233333333336</v>
      </c>
    </row>
    <row r="169" spans="1:18" x14ac:dyDescent="0.2">
      <c r="A169" s="2">
        <f t="shared" si="2"/>
        <v>161</v>
      </c>
      <c r="D169" t="s">
        <v>190</v>
      </c>
      <c r="E169" s="13" t="s">
        <v>699</v>
      </c>
      <c r="F169" s="2">
        <v>31000</v>
      </c>
      <c r="N169" s="1">
        <v>49.86</v>
      </c>
      <c r="Q169" s="19">
        <v>0.22916666666666666</v>
      </c>
      <c r="R169" s="8">
        <f>5.5*N169</f>
        <v>274.23</v>
      </c>
    </row>
    <row r="170" spans="1:18" x14ac:dyDescent="0.2">
      <c r="A170" s="2">
        <f t="shared" si="2"/>
        <v>162</v>
      </c>
      <c r="D170" t="s">
        <v>191</v>
      </c>
      <c r="E170" t="s">
        <v>700</v>
      </c>
      <c r="F170" s="2">
        <v>7790</v>
      </c>
      <c r="N170" s="1">
        <v>132.69999999999999</v>
      </c>
      <c r="Q170" s="19">
        <v>0.21805555555555556</v>
      </c>
      <c r="R170" s="8">
        <f>(5+(14/60))*N170</f>
        <v>694.46333333333325</v>
      </c>
    </row>
    <row r="171" spans="1:18" x14ac:dyDescent="0.2">
      <c r="A171" s="2">
        <f t="shared" si="2"/>
        <v>163</v>
      </c>
      <c r="D171" t="s">
        <v>193</v>
      </c>
      <c r="N171" s="1">
        <v>179.9</v>
      </c>
      <c r="Q171" s="19">
        <v>7.7777777777777779E-2</v>
      </c>
      <c r="R171" s="8">
        <f>(1+(52/60))*N171</f>
        <v>335.81333333333333</v>
      </c>
    </row>
    <row r="172" spans="1:18" x14ac:dyDescent="0.2">
      <c r="A172" s="2">
        <f t="shared" si="2"/>
        <v>164</v>
      </c>
      <c r="D172" t="s">
        <v>194</v>
      </c>
      <c r="E172" t="s">
        <v>701</v>
      </c>
      <c r="F172" s="2">
        <v>9150</v>
      </c>
      <c r="N172" s="1">
        <v>56.71</v>
      </c>
      <c r="Q172" s="19">
        <v>0.28611111111111115</v>
      </c>
      <c r="R172" s="8">
        <f>(6+(52/60))*N172</f>
        <v>389.4086666666667</v>
      </c>
    </row>
    <row r="173" spans="1:18" x14ac:dyDescent="0.2">
      <c r="A173" s="2">
        <f t="shared" si="2"/>
        <v>165</v>
      </c>
      <c r="D173" t="s">
        <v>195</v>
      </c>
      <c r="E173" t="s">
        <v>702</v>
      </c>
      <c r="F173" s="2">
        <v>3000</v>
      </c>
      <c r="N173" s="1">
        <v>52.43</v>
      </c>
      <c r="Q173" s="19">
        <v>0.36388888888888887</v>
      </c>
      <c r="R173" s="8">
        <f>(8+(44/60))*N173</f>
        <v>457.88866666666661</v>
      </c>
    </row>
    <row r="174" spans="1:18" x14ac:dyDescent="0.2">
      <c r="A174" s="2">
        <f t="shared" si="2"/>
        <v>166</v>
      </c>
      <c r="D174" t="s">
        <v>197</v>
      </c>
      <c r="E174" t="s">
        <v>6</v>
      </c>
      <c r="F174" s="2">
        <v>0</v>
      </c>
      <c r="G174" s="2">
        <v>44.14</v>
      </c>
      <c r="H174" s="15">
        <v>0.82471099999999997</v>
      </c>
      <c r="I174" s="16">
        <v>0.57424699999999995</v>
      </c>
      <c r="J174" s="2">
        <v>12.55</v>
      </c>
      <c r="N174" s="1">
        <v>19.78</v>
      </c>
      <c r="P174" s="19"/>
      <c r="Q174" s="19">
        <v>0.12013888888888889</v>
      </c>
      <c r="R174" s="8">
        <f>(2+(53/60))*N174</f>
        <v>57.032333333333334</v>
      </c>
    </row>
    <row r="175" spans="1:18" x14ac:dyDescent="0.2">
      <c r="A175" s="2">
        <f t="shared" si="2"/>
        <v>167</v>
      </c>
      <c r="D175" t="s">
        <v>198</v>
      </c>
      <c r="E175" t="s">
        <v>695</v>
      </c>
      <c r="F175" s="2">
        <v>9880</v>
      </c>
      <c r="N175" s="1">
        <v>44.32</v>
      </c>
      <c r="Q175" s="19">
        <v>0.25416666666666665</v>
      </c>
      <c r="R175" s="8">
        <f>(6+(6/60))*N175</f>
        <v>270.35199999999998</v>
      </c>
    </row>
    <row r="176" spans="1:18" x14ac:dyDescent="0.2">
      <c r="A176" s="2">
        <f t="shared" si="2"/>
        <v>168</v>
      </c>
      <c r="D176" t="s">
        <v>199</v>
      </c>
      <c r="E176" t="s">
        <v>551</v>
      </c>
      <c r="F176" s="2">
        <v>158030</v>
      </c>
      <c r="N176" s="2">
        <v>55.28</v>
      </c>
      <c r="Q176" s="19">
        <v>0.20555555555555557</v>
      </c>
      <c r="R176" s="8">
        <f>(4+(56/60))*N176</f>
        <v>272.71466666666669</v>
      </c>
    </row>
    <row r="177" spans="1:18" x14ac:dyDescent="0.2">
      <c r="A177" s="2">
        <f t="shared" si="2"/>
        <v>169</v>
      </c>
      <c r="D177" t="s">
        <v>200</v>
      </c>
      <c r="N177" s="2">
        <v>40.83</v>
      </c>
      <c r="Q177" s="19">
        <v>4.0972222222222222E-2</v>
      </c>
      <c r="R177" s="8">
        <f>(59/60)*N177</f>
        <v>40.149499999999996</v>
      </c>
    </row>
    <row r="178" spans="1:18" x14ac:dyDescent="0.2">
      <c r="A178" s="2">
        <f t="shared" si="2"/>
        <v>170</v>
      </c>
      <c r="D178" t="s">
        <v>201</v>
      </c>
      <c r="E178" t="s">
        <v>703</v>
      </c>
      <c r="F178" s="2">
        <v>26810</v>
      </c>
      <c r="N178" s="2">
        <v>48.5</v>
      </c>
      <c r="Q178" s="19">
        <v>0.16527777777777777</v>
      </c>
      <c r="R178" s="8">
        <f>(3+(58/60))*N178</f>
        <v>192.38333333333333</v>
      </c>
    </row>
    <row r="179" spans="1:18" x14ac:dyDescent="0.2">
      <c r="A179" s="2">
        <f t="shared" si="2"/>
        <v>171</v>
      </c>
      <c r="D179" t="s">
        <v>202</v>
      </c>
      <c r="E179" t="s">
        <v>6</v>
      </c>
      <c r="F179" s="2">
        <v>500</v>
      </c>
      <c r="N179" s="2">
        <v>47.54</v>
      </c>
      <c r="Q179" s="19">
        <v>0.17291666666666669</v>
      </c>
      <c r="R179" s="8">
        <f>(4+(9/60))*N179</f>
        <v>197.29100000000003</v>
      </c>
    </row>
    <row r="180" spans="1:18" x14ac:dyDescent="0.2">
      <c r="A180" s="2">
        <f t="shared" si="2"/>
        <v>172</v>
      </c>
      <c r="D180" t="s">
        <v>203</v>
      </c>
      <c r="E180" t="s">
        <v>676</v>
      </c>
      <c r="F180" s="2">
        <v>10830</v>
      </c>
      <c r="N180" s="2">
        <v>51.65</v>
      </c>
      <c r="Q180" s="19">
        <v>9.0277777777777776E-2</v>
      </c>
      <c r="R180" s="8">
        <f>(2+(10/60))*N180</f>
        <v>111.90833333333332</v>
      </c>
    </row>
    <row r="181" spans="1:18" x14ac:dyDescent="0.2">
      <c r="A181" s="2">
        <f t="shared" si="2"/>
        <v>173</v>
      </c>
      <c r="D181" t="s">
        <v>204</v>
      </c>
      <c r="E181" t="s">
        <v>6</v>
      </c>
      <c r="F181" s="2">
        <v>100</v>
      </c>
      <c r="G181" s="2">
        <v>88</v>
      </c>
      <c r="H181" s="15">
        <v>2.8919999999999999</v>
      </c>
      <c r="I181" s="16">
        <v>0.99697899999999995</v>
      </c>
      <c r="J181" s="2">
        <v>5.68</v>
      </c>
      <c r="N181" s="2">
        <v>86.48</v>
      </c>
      <c r="Q181" s="19">
        <v>0.62569444444444444</v>
      </c>
      <c r="R181" s="8">
        <f>(15+(1/60))*N181</f>
        <v>1298.6413333333335</v>
      </c>
    </row>
    <row r="182" spans="1:18" x14ac:dyDescent="0.2">
      <c r="A182" s="4">
        <f t="shared" si="2"/>
        <v>174</v>
      </c>
      <c r="B182" s="4"/>
      <c r="C182" s="4"/>
      <c r="D182" s="3" t="s">
        <v>205</v>
      </c>
      <c r="E182" t="s">
        <v>698</v>
      </c>
      <c r="F182" s="2">
        <v>1000</v>
      </c>
      <c r="G182" s="2">
        <v>114.5</v>
      </c>
      <c r="H182" s="15">
        <v>3.8490000000000002</v>
      </c>
      <c r="I182" s="16">
        <v>3.1360000000000001</v>
      </c>
      <c r="J182" s="2">
        <v>54.83</v>
      </c>
      <c r="N182" s="2">
        <v>109.6</v>
      </c>
      <c r="Q182" s="19">
        <v>0.1173611111111111</v>
      </c>
      <c r="R182" s="8">
        <f>(2+(49/60))*N182</f>
        <v>308.70666666666665</v>
      </c>
    </row>
    <row r="183" spans="1:18" x14ac:dyDescent="0.2">
      <c r="A183" s="2">
        <f t="shared" si="2"/>
        <v>175</v>
      </c>
      <c r="D183" t="s">
        <v>206</v>
      </c>
      <c r="E183" t="s">
        <v>704</v>
      </c>
      <c r="F183" s="2">
        <v>3430</v>
      </c>
      <c r="N183" s="2">
        <v>10.82</v>
      </c>
      <c r="Q183" s="19">
        <v>0.35625000000000001</v>
      </c>
      <c r="R183" s="8">
        <f>(8+(33/60))*N183</f>
        <v>92.51100000000001</v>
      </c>
    </row>
    <row r="184" spans="1:18" x14ac:dyDescent="0.2">
      <c r="A184" s="2">
        <f t="shared" si="2"/>
        <v>176</v>
      </c>
      <c r="D184" t="s">
        <v>207</v>
      </c>
      <c r="E184" t="s">
        <v>767</v>
      </c>
      <c r="F184" s="2">
        <v>33830</v>
      </c>
      <c r="N184" s="2">
        <v>47.94</v>
      </c>
      <c r="Q184" s="19">
        <v>0.22013888888888888</v>
      </c>
      <c r="R184" s="8">
        <f>(5+(17/60))*N184</f>
        <v>253.28299999999999</v>
      </c>
    </row>
    <row r="185" spans="1:18" x14ac:dyDescent="0.2">
      <c r="A185" s="2">
        <f t="shared" si="2"/>
        <v>177</v>
      </c>
      <c r="D185" t="s">
        <v>208</v>
      </c>
      <c r="E185" t="s">
        <v>766</v>
      </c>
      <c r="F185" s="2">
        <v>3130</v>
      </c>
      <c r="N185" s="2">
        <v>49.3</v>
      </c>
      <c r="Q185" s="19">
        <v>0.15972222222222224</v>
      </c>
      <c r="R185" s="8">
        <f>(3+(50/60))*N185</f>
        <v>188.98333333333332</v>
      </c>
    </row>
    <row r="186" spans="1:18" x14ac:dyDescent="0.2">
      <c r="A186" s="2">
        <f t="shared" si="2"/>
        <v>178</v>
      </c>
      <c r="D186" t="s">
        <v>209</v>
      </c>
      <c r="E186" t="s">
        <v>2</v>
      </c>
      <c r="F186" s="2">
        <v>1000000</v>
      </c>
      <c r="N186" s="2">
        <v>100.3</v>
      </c>
      <c r="Q186" s="19">
        <v>0.18472222222222223</v>
      </c>
      <c r="R186" s="8">
        <f>(4+(26/60))*N186</f>
        <v>444.66333333333336</v>
      </c>
    </row>
    <row r="187" spans="1:18" x14ac:dyDescent="0.2">
      <c r="A187" s="2">
        <f t="shared" si="2"/>
        <v>179</v>
      </c>
      <c r="D187" t="s">
        <v>210</v>
      </c>
      <c r="E187" t="s">
        <v>765</v>
      </c>
      <c r="F187" s="2">
        <v>50480</v>
      </c>
      <c r="N187" s="2">
        <v>43.24</v>
      </c>
      <c r="Q187" s="19">
        <v>0.20694444444444446</v>
      </c>
      <c r="R187" s="8">
        <f>(4+(58/60))*N187</f>
        <v>214.75866666666667</v>
      </c>
    </row>
    <row r="188" spans="1:18" x14ac:dyDescent="0.2">
      <c r="A188" s="2">
        <f t="shared" si="2"/>
        <v>180</v>
      </c>
      <c r="D188" t="s">
        <v>211</v>
      </c>
      <c r="E188" t="s">
        <v>705</v>
      </c>
      <c r="F188" s="2">
        <v>100</v>
      </c>
      <c r="N188" s="2">
        <v>165</v>
      </c>
      <c r="Q188" s="19">
        <v>0.24166666666666667</v>
      </c>
      <c r="R188" s="8">
        <f>(5+(48/60))*N188</f>
        <v>957</v>
      </c>
    </row>
    <row r="189" spans="1:18" x14ac:dyDescent="0.2">
      <c r="A189" s="2">
        <f t="shared" si="2"/>
        <v>181</v>
      </c>
      <c r="D189" t="s">
        <v>212</v>
      </c>
      <c r="E189" t="s">
        <v>706</v>
      </c>
      <c r="F189" s="2">
        <v>10870</v>
      </c>
      <c r="N189" s="2">
        <v>60.62</v>
      </c>
      <c r="Q189" s="19">
        <v>9.5833333333333326E-2</v>
      </c>
      <c r="R189" s="8">
        <f>(2+(18/60))*N189</f>
        <v>139.42599999999999</v>
      </c>
    </row>
    <row r="190" spans="1:18" x14ac:dyDescent="0.2">
      <c r="A190" s="2">
        <f t="shared" si="2"/>
        <v>182</v>
      </c>
      <c r="D190" t="s">
        <v>213</v>
      </c>
      <c r="E190" t="s">
        <v>562</v>
      </c>
      <c r="F190" s="2">
        <v>13940</v>
      </c>
      <c r="N190" s="2">
        <v>170.8</v>
      </c>
      <c r="Q190" s="19">
        <v>0.23541666666666669</v>
      </c>
      <c r="R190" s="8">
        <f>(5+(39/60))*N190</f>
        <v>965.0200000000001</v>
      </c>
    </row>
    <row r="191" spans="1:18" x14ac:dyDescent="0.2">
      <c r="A191" s="2">
        <f t="shared" si="2"/>
        <v>183</v>
      </c>
      <c r="D191" t="s">
        <v>214</v>
      </c>
      <c r="E191" t="s">
        <v>708</v>
      </c>
      <c r="F191" s="2">
        <v>135900</v>
      </c>
      <c r="N191" s="2">
        <v>180.8</v>
      </c>
      <c r="Q191" s="19">
        <v>0.26041666666666669</v>
      </c>
      <c r="R191" s="8">
        <f>(6+(15/60))*N191</f>
        <v>1130</v>
      </c>
    </row>
    <row r="192" spans="1:18" x14ac:dyDescent="0.2">
      <c r="A192" s="2">
        <f t="shared" si="2"/>
        <v>184</v>
      </c>
      <c r="D192" t="s">
        <v>215</v>
      </c>
      <c r="E192" t="s">
        <v>707</v>
      </c>
      <c r="F192" s="2">
        <v>708</v>
      </c>
      <c r="N192" s="2">
        <v>48.61</v>
      </c>
      <c r="Q192" s="19">
        <v>9.5138888888888884E-2</v>
      </c>
      <c r="R192" s="8">
        <f>(2+(17/60))*N192</f>
        <v>110.99283333333332</v>
      </c>
    </row>
    <row r="193" spans="1:18" x14ac:dyDescent="0.2">
      <c r="A193" s="2">
        <f t="shared" si="2"/>
        <v>185</v>
      </c>
      <c r="D193" t="s">
        <v>216</v>
      </c>
      <c r="N193" s="2">
        <v>47.57</v>
      </c>
      <c r="Q193" s="19">
        <v>8.4722222222222213E-2</v>
      </c>
      <c r="R193" s="8">
        <f>(2+(2/60))*N193</f>
        <v>96.725666666666655</v>
      </c>
    </row>
    <row r="194" spans="1:18" x14ac:dyDescent="0.2">
      <c r="A194" s="2">
        <v>178</v>
      </c>
      <c r="B194" s="2">
        <v>186</v>
      </c>
      <c r="C194" s="2">
        <v>146</v>
      </c>
      <c r="D194" s="3" t="s">
        <v>217</v>
      </c>
      <c r="E194" t="s">
        <v>6</v>
      </c>
      <c r="F194" s="2">
        <v>1000</v>
      </c>
      <c r="G194" s="2">
        <v>187.2</v>
      </c>
      <c r="H194" s="16">
        <v>8.1509999999999998</v>
      </c>
      <c r="I194" s="14">
        <v>2.8319999999999999</v>
      </c>
      <c r="J194" s="2">
        <v>13.27</v>
      </c>
      <c r="K194" s="1" t="s">
        <v>11</v>
      </c>
      <c r="L194" s="1" t="s">
        <v>11</v>
      </c>
      <c r="M194" s="1">
        <v>180.9</v>
      </c>
      <c r="N194" s="2">
        <v>174.8</v>
      </c>
      <c r="O194" s="25">
        <v>223.9</v>
      </c>
      <c r="P194">
        <v>228.2</v>
      </c>
      <c r="Q194" s="22" t="s">
        <v>769</v>
      </c>
      <c r="R194" s="8">
        <f>(29+(20/60))*N194</f>
        <v>5127.4666666666672</v>
      </c>
    </row>
    <row r="195" spans="1:18" x14ac:dyDescent="0.2">
      <c r="A195" s="2">
        <f t="shared" si="2"/>
        <v>179</v>
      </c>
      <c r="D195" t="s">
        <v>218</v>
      </c>
      <c r="N195" s="2">
        <v>66.97</v>
      </c>
      <c r="Q195" s="19">
        <v>0.11180555555555556</v>
      </c>
      <c r="R195" s="8">
        <f>(2+(41/60))*N195</f>
        <v>179.70283333333336</v>
      </c>
    </row>
    <row r="196" spans="1:18" x14ac:dyDescent="0.2">
      <c r="D196" t="s">
        <v>908</v>
      </c>
      <c r="N196" s="2"/>
      <c r="Q196" s="19"/>
      <c r="R196" s="8"/>
    </row>
    <row r="197" spans="1:18" x14ac:dyDescent="0.2">
      <c r="A197" s="2">
        <f>A195+1</f>
        <v>180</v>
      </c>
      <c r="D197" t="s">
        <v>219</v>
      </c>
      <c r="N197" s="2">
        <v>111.1</v>
      </c>
      <c r="Q197" s="19">
        <v>9.930555555555555E-2</v>
      </c>
      <c r="R197" s="8">
        <f>(2+(23/60))*N197</f>
        <v>264.7883333333333</v>
      </c>
    </row>
    <row r="198" spans="1:18" x14ac:dyDescent="0.2">
      <c r="A198" s="2">
        <f t="shared" ref="A198:A201" si="3">A197+1</f>
        <v>181</v>
      </c>
      <c r="D198" t="s">
        <v>220</v>
      </c>
      <c r="N198" s="2">
        <v>46.4</v>
      </c>
      <c r="Q198" s="19">
        <v>0.13263888888888889</v>
      </c>
      <c r="R198" s="8">
        <f>(3+(11/60))*N198</f>
        <v>147.70666666666665</v>
      </c>
    </row>
    <row r="199" spans="1:18" x14ac:dyDescent="0.2">
      <c r="A199" s="2">
        <f t="shared" si="3"/>
        <v>182</v>
      </c>
      <c r="D199" t="s">
        <v>221</v>
      </c>
      <c r="N199" s="2">
        <v>52.93</v>
      </c>
      <c r="Q199" s="19">
        <v>0.19305555555555554</v>
      </c>
      <c r="R199" s="8">
        <f>(4+(38/60))*N199</f>
        <v>245.24233333333331</v>
      </c>
    </row>
    <row r="200" spans="1:18" x14ac:dyDescent="0.2">
      <c r="A200" s="2">
        <f t="shared" si="3"/>
        <v>183</v>
      </c>
      <c r="D200" t="s">
        <v>222</v>
      </c>
      <c r="G200" s="2">
        <v>47.06</v>
      </c>
      <c r="H200" s="15">
        <v>1.6120000000000001</v>
      </c>
      <c r="I200" s="16">
        <v>1.23</v>
      </c>
      <c r="J200" s="2">
        <v>17.84</v>
      </c>
      <c r="N200" s="2">
        <v>43.96</v>
      </c>
      <c r="Q200" s="19">
        <v>0.21944444444444444</v>
      </c>
      <c r="R200" s="8">
        <f>(5+(16/60))*N200</f>
        <v>231.52266666666668</v>
      </c>
    </row>
    <row r="201" spans="1:18" x14ac:dyDescent="0.2">
      <c r="A201" s="2">
        <f t="shared" si="3"/>
        <v>184</v>
      </c>
      <c r="D201" t="s">
        <v>223</v>
      </c>
      <c r="N201" s="2">
        <v>81.89</v>
      </c>
      <c r="Q201" s="19">
        <v>8.4722222222222213E-2</v>
      </c>
      <c r="R201" s="8">
        <f>(2+(2/60))*N201</f>
        <v>166.50966666666665</v>
      </c>
    </row>
    <row r="202" spans="1:18" x14ac:dyDescent="0.2">
      <c r="A202" s="2">
        <f t="shared" ref="A202:A261" si="4">A201+1</f>
        <v>185</v>
      </c>
      <c r="D202" t="s">
        <v>224</v>
      </c>
      <c r="N202" s="2">
        <v>124.3</v>
      </c>
      <c r="Q202" s="19">
        <v>8.3333333333333329E-2</v>
      </c>
      <c r="R202" s="8">
        <f>2*N202</f>
        <v>248.6</v>
      </c>
    </row>
    <row r="203" spans="1:18" x14ac:dyDescent="0.2">
      <c r="A203" s="2">
        <f t="shared" si="4"/>
        <v>186</v>
      </c>
      <c r="D203" t="s">
        <v>225</v>
      </c>
      <c r="N203" s="2">
        <v>38.79</v>
      </c>
      <c r="Q203" s="19">
        <v>8.4027777777777771E-2</v>
      </c>
      <c r="R203" s="8">
        <f>(2+(1/60))*N203</f>
        <v>78.226500000000001</v>
      </c>
    </row>
    <row r="204" spans="1:18" x14ac:dyDescent="0.2">
      <c r="A204" s="2">
        <f t="shared" si="4"/>
        <v>187</v>
      </c>
      <c r="D204" t="s">
        <v>226</v>
      </c>
      <c r="N204" s="2">
        <v>44.62</v>
      </c>
      <c r="Q204" s="19">
        <v>8.4722222222222213E-2</v>
      </c>
      <c r="R204" s="8">
        <f>(2+(2/60))*N204</f>
        <v>90.72733333333332</v>
      </c>
    </row>
    <row r="205" spans="1:18" x14ac:dyDescent="0.2">
      <c r="A205" s="2">
        <f t="shared" si="4"/>
        <v>188</v>
      </c>
      <c r="D205" t="s">
        <v>227</v>
      </c>
      <c r="N205" s="2">
        <v>49.43</v>
      </c>
      <c r="Q205" s="19">
        <v>0.28402777777777777</v>
      </c>
      <c r="R205" s="8">
        <f>(6+(49/60))*N205</f>
        <v>336.94783333333334</v>
      </c>
    </row>
    <row r="206" spans="1:18" x14ac:dyDescent="0.2">
      <c r="A206" s="2">
        <f t="shared" si="4"/>
        <v>189</v>
      </c>
      <c r="D206" t="s">
        <v>228</v>
      </c>
      <c r="E206" t="s">
        <v>676</v>
      </c>
      <c r="N206" s="2">
        <v>47.95</v>
      </c>
      <c r="Q206" s="19">
        <v>0.10833333333333334</v>
      </c>
      <c r="R206" s="8">
        <f>(2+(36/60))*N206</f>
        <v>124.67000000000002</v>
      </c>
    </row>
    <row r="207" spans="1:18" x14ac:dyDescent="0.2">
      <c r="A207" s="2">
        <f t="shared" si="4"/>
        <v>190</v>
      </c>
      <c r="D207" t="s">
        <v>229</v>
      </c>
      <c r="N207" s="2">
        <v>37.76</v>
      </c>
      <c r="Q207" s="19">
        <v>0.17152777777777775</v>
      </c>
      <c r="R207" s="8">
        <f>(4+(7/60))*N207</f>
        <v>155.44533333333331</v>
      </c>
    </row>
    <row r="208" spans="1:18" x14ac:dyDescent="0.2">
      <c r="A208" s="2">
        <f t="shared" si="4"/>
        <v>191</v>
      </c>
      <c r="D208" t="s">
        <v>230</v>
      </c>
      <c r="N208" s="2">
        <v>78.13</v>
      </c>
      <c r="Q208" s="19">
        <v>9.7916666666666666E-2</v>
      </c>
      <c r="R208" s="8">
        <f>(2+(21/60))*N208</f>
        <v>183.60550000000001</v>
      </c>
    </row>
    <row r="209" spans="1:18" x14ac:dyDescent="0.2">
      <c r="A209" s="2">
        <f t="shared" si="4"/>
        <v>192</v>
      </c>
      <c r="D209" t="s">
        <v>231</v>
      </c>
      <c r="N209" s="2">
        <v>93.99</v>
      </c>
      <c r="Q209" s="19">
        <v>0.37083333333333335</v>
      </c>
      <c r="R209" s="8">
        <f>(8+(54/60))*N209</f>
        <v>836.51099999999997</v>
      </c>
    </row>
    <row r="210" spans="1:18" x14ac:dyDescent="0.2">
      <c r="A210" s="2">
        <f t="shared" si="4"/>
        <v>193</v>
      </c>
      <c r="D210" t="s">
        <v>232</v>
      </c>
      <c r="N210" s="2">
        <v>42.33</v>
      </c>
      <c r="Q210" s="19">
        <v>0.17083333333333331</v>
      </c>
      <c r="R210" s="8">
        <f>(4+(6/60))*N210</f>
        <v>173.55299999999997</v>
      </c>
    </row>
    <row r="211" spans="1:18" x14ac:dyDescent="0.2">
      <c r="A211" s="2">
        <f t="shared" si="4"/>
        <v>194</v>
      </c>
      <c r="D211" t="s">
        <v>233</v>
      </c>
      <c r="N211" s="2">
        <v>68.88</v>
      </c>
      <c r="Q211" s="19">
        <v>5.6944444444444443E-2</v>
      </c>
      <c r="R211" s="8">
        <f>(1+(22/60))*N211</f>
        <v>94.135999999999996</v>
      </c>
    </row>
    <row r="212" spans="1:18" x14ac:dyDescent="0.2">
      <c r="A212" s="2">
        <f t="shared" si="4"/>
        <v>195</v>
      </c>
      <c r="D212" t="s">
        <v>234</v>
      </c>
      <c r="E212" t="s">
        <v>539</v>
      </c>
      <c r="N212" s="2">
        <v>23.54</v>
      </c>
      <c r="Q212" s="19">
        <v>9.0972222222222218E-2</v>
      </c>
      <c r="R212" s="8">
        <f>(2+(11/60))*N212</f>
        <v>51.395666666666656</v>
      </c>
    </row>
    <row r="213" spans="1:18" x14ac:dyDescent="0.2">
      <c r="A213" s="2">
        <v>518</v>
      </c>
      <c r="B213" s="2">
        <v>204</v>
      </c>
      <c r="D213" t="s">
        <v>235</v>
      </c>
      <c r="N213" s="2">
        <v>34.020000000000003</v>
      </c>
      <c r="Q213" s="19">
        <v>9.0972222222222218E-2</v>
      </c>
      <c r="R213" s="8">
        <f>(2+(11/60))*N213</f>
        <v>74.277000000000001</v>
      </c>
    </row>
    <row r="214" spans="1:18" x14ac:dyDescent="0.2">
      <c r="A214" s="2">
        <v>477</v>
      </c>
      <c r="B214" s="2">
        <v>205</v>
      </c>
      <c r="D214" t="s">
        <v>236</v>
      </c>
      <c r="N214" s="2">
        <v>103.8</v>
      </c>
      <c r="Q214" s="19">
        <v>1.7361111111111112E-2</v>
      </c>
      <c r="R214" s="8">
        <f>(25/60)*N214</f>
        <v>43.25</v>
      </c>
    </row>
    <row r="215" spans="1:18" x14ac:dyDescent="0.2">
      <c r="A215" s="2">
        <v>206</v>
      </c>
      <c r="C215" s="2">
        <v>85</v>
      </c>
      <c r="D215" t="s">
        <v>237</v>
      </c>
      <c r="N215" s="2">
        <v>123.1</v>
      </c>
      <c r="Q215" s="19">
        <v>0.47152777777777777</v>
      </c>
      <c r="R215" s="8">
        <f>(11+(19/60))*N215</f>
        <v>1393.0816666666665</v>
      </c>
    </row>
    <row r="216" spans="1:18" x14ac:dyDescent="0.2">
      <c r="A216" s="2">
        <v>240</v>
      </c>
      <c r="B216" s="2">
        <v>207</v>
      </c>
      <c r="C216" s="2">
        <v>387</v>
      </c>
      <c r="D216" t="s">
        <v>238</v>
      </c>
      <c r="E216" t="s">
        <v>563</v>
      </c>
      <c r="N216" s="2">
        <v>78.05</v>
      </c>
      <c r="Q216" s="19">
        <v>0.32569444444444445</v>
      </c>
      <c r="R216" s="8">
        <f>(7+(49/60))*N216</f>
        <v>610.09083333333331</v>
      </c>
    </row>
    <row r="217" spans="1:18" x14ac:dyDescent="0.2">
      <c r="A217" s="2">
        <f t="shared" si="4"/>
        <v>241</v>
      </c>
      <c r="B217" s="2">
        <v>208</v>
      </c>
      <c r="C217" s="2">
        <v>132</v>
      </c>
      <c r="D217" t="s">
        <v>239</v>
      </c>
      <c r="N217" s="2">
        <v>302.5</v>
      </c>
      <c r="Q217" s="19">
        <v>0.22777777777777777</v>
      </c>
      <c r="R217" s="8">
        <f>(5+(28/60))*N217</f>
        <v>1653.6666666666667</v>
      </c>
    </row>
    <row r="218" spans="1:18" x14ac:dyDescent="0.2">
      <c r="A218" s="2">
        <v>100</v>
      </c>
      <c r="B218" s="2">
        <v>209</v>
      </c>
      <c r="C218" s="2">
        <v>378</v>
      </c>
      <c r="D218" t="s">
        <v>240</v>
      </c>
      <c r="N218" s="2">
        <v>39.659999999999997</v>
      </c>
      <c r="Q218" s="19">
        <v>0.59027777777777779</v>
      </c>
      <c r="R218" s="8">
        <f>(14+(10/60))*N218</f>
        <v>561.84999999999991</v>
      </c>
    </row>
    <row r="219" spans="1:18" x14ac:dyDescent="0.2">
      <c r="A219" s="2">
        <v>243</v>
      </c>
      <c r="D219" t="s">
        <v>241</v>
      </c>
      <c r="N219" s="2">
        <v>259.5</v>
      </c>
      <c r="Q219" s="19">
        <v>1.5277777777777777E-2</v>
      </c>
      <c r="R219" s="8">
        <f>(22/60)*N219</f>
        <v>95.149999999999991</v>
      </c>
    </row>
    <row r="220" spans="1:18" x14ac:dyDescent="0.2">
      <c r="A220" s="2">
        <v>160</v>
      </c>
      <c r="B220" s="2">
        <v>211</v>
      </c>
      <c r="C220" s="2">
        <v>799</v>
      </c>
      <c r="D220" t="s">
        <v>242</v>
      </c>
      <c r="N220" s="2">
        <v>41.92</v>
      </c>
      <c r="Q220" s="19">
        <v>0.62083333333333335</v>
      </c>
      <c r="R220" s="8">
        <f>(14+(54/60))*N220</f>
        <v>624.60800000000006</v>
      </c>
    </row>
    <row r="221" spans="1:18" x14ac:dyDescent="0.2">
      <c r="A221" s="2">
        <v>142</v>
      </c>
      <c r="B221" s="2">
        <v>212</v>
      </c>
      <c r="C221" s="2">
        <v>648</v>
      </c>
      <c r="D221" t="s">
        <v>243</v>
      </c>
      <c r="N221" s="2">
        <v>51.73</v>
      </c>
      <c r="Q221" s="19">
        <v>0.26527777777777778</v>
      </c>
      <c r="R221" s="8">
        <f>(6+(22/60))*N221</f>
        <v>329.34766666666661</v>
      </c>
    </row>
    <row r="222" spans="1:18" x14ac:dyDescent="0.2">
      <c r="A222" s="2">
        <v>176</v>
      </c>
      <c r="B222" s="2">
        <v>213</v>
      </c>
      <c r="C222" s="2">
        <v>685</v>
      </c>
      <c r="D222" t="s">
        <v>244</v>
      </c>
      <c r="N222" s="2">
        <v>52.39</v>
      </c>
      <c r="Q222" s="19">
        <v>0.21111111111111111</v>
      </c>
      <c r="R222" s="8">
        <f>(5+(4/60))*N222</f>
        <v>265.44266666666664</v>
      </c>
    </row>
    <row r="223" spans="1:18" x14ac:dyDescent="0.2">
      <c r="A223" s="2">
        <v>188</v>
      </c>
      <c r="B223" s="2">
        <v>214</v>
      </c>
      <c r="C223" s="2">
        <v>511</v>
      </c>
      <c r="D223" t="s">
        <v>245</v>
      </c>
      <c r="N223" s="2">
        <v>74.27</v>
      </c>
      <c r="Q223" s="19">
        <v>0.22777777777777777</v>
      </c>
      <c r="R223" s="8">
        <f>(5+(28/60))*N223</f>
        <v>406.0093333333333</v>
      </c>
    </row>
    <row r="224" spans="1:18" x14ac:dyDescent="0.2">
      <c r="A224" s="2">
        <v>154</v>
      </c>
      <c r="B224" s="2">
        <v>215</v>
      </c>
      <c r="C224" s="2">
        <v>815</v>
      </c>
      <c r="D224" t="s">
        <v>246</v>
      </c>
      <c r="N224" s="2">
        <v>46.52</v>
      </c>
      <c r="Q224" s="19">
        <v>0.15972222222222224</v>
      </c>
      <c r="R224" s="8">
        <f>(3+(50/60))*N224</f>
        <v>178.32666666666668</v>
      </c>
    </row>
    <row r="225" spans="1:18" x14ac:dyDescent="0.2">
      <c r="A225" s="2">
        <v>244</v>
      </c>
      <c r="B225" s="2">
        <v>216</v>
      </c>
      <c r="C225" s="2">
        <v>512</v>
      </c>
      <c r="D225" s="3" t="s">
        <v>247</v>
      </c>
      <c r="N225" s="2">
        <v>79.16</v>
      </c>
      <c r="Q225" s="19">
        <v>6.3888888888888884E-2</v>
      </c>
      <c r="R225" s="8">
        <f>(1+(32/60))*N225</f>
        <v>121.37866666666665</v>
      </c>
    </row>
    <row r="226" spans="1:18" x14ac:dyDescent="0.2">
      <c r="A226" s="2">
        <v>346</v>
      </c>
      <c r="B226" s="2">
        <v>217</v>
      </c>
      <c r="C226" s="2">
        <v>1504</v>
      </c>
      <c r="D226" t="s">
        <v>248</v>
      </c>
      <c r="E226" t="s">
        <v>9</v>
      </c>
      <c r="N226" s="2">
        <v>44.68</v>
      </c>
      <c r="Q226" s="19">
        <v>0.125</v>
      </c>
      <c r="R226" s="8">
        <f>3*N226</f>
        <v>134.04</v>
      </c>
    </row>
    <row r="227" spans="1:18" x14ac:dyDescent="0.2">
      <c r="A227" s="2">
        <v>325</v>
      </c>
      <c r="B227" s="2">
        <v>218</v>
      </c>
      <c r="C227" s="2">
        <v>1728</v>
      </c>
      <c r="D227" t="s">
        <v>249</v>
      </c>
      <c r="N227" s="2">
        <v>38.130000000000003</v>
      </c>
      <c r="Q227" s="19">
        <v>0.12847222222222224</v>
      </c>
      <c r="R227" s="8">
        <f>(3+(5/60))*N227</f>
        <v>117.56750000000001</v>
      </c>
    </row>
    <row r="228" spans="1:18" x14ac:dyDescent="0.2">
      <c r="A228" s="2">
        <v>168</v>
      </c>
      <c r="B228" s="2">
        <v>219</v>
      </c>
      <c r="C228" s="2">
        <v>897</v>
      </c>
      <c r="D228" t="s">
        <v>250</v>
      </c>
      <c r="N228" s="2">
        <v>39.01</v>
      </c>
      <c r="Q228" s="19">
        <v>0.17152777777777775</v>
      </c>
      <c r="R228" s="8">
        <f>(4+(7/60))*N228</f>
        <v>160.59116666666665</v>
      </c>
    </row>
    <row r="229" spans="1:18" x14ac:dyDescent="0.2">
      <c r="A229" s="2">
        <v>417</v>
      </c>
      <c r="B229" s="2">
        <v>220</v>
      </c>
      <c r="C229" s="2">
        <v>1437</v>
      </c>
      <c r="D229" t="s">
        <v>251</v>
      </c>
      <c r="N229" s="2">
        <v>45.56</v>
      </c>
      <c r="Q229" s="19">
        <v>0.22708333333333333</v>
      </c>
      <c r="R229" s="8">
        <f>(5+(27/60))*N229</f>
        <v>248.30200000000002</v>
      </c>
    </row>
    <row r="230" spans="1:18" x14ac:dyDescent="0.2">
      <c r="A230" s="2">
        <v>509</v>
      </c>
      <c r="B230" s="2">
        <v>221</v>
      </c>
      <c r="C230" s="2">
        <v>1509</v>
      </c>
      <c r="D230" t="s">
        <v>252</v>
      </c>
      <c r="E230" t="s">
        <v>709</v>
      </c>
      <c r="F230" s="2">
        <v>1160</v>
      </c>
      <c r="N230" s="2">
        <v>24.63</v>
      </c>
      <c r="Q230" s="19">
        <v>0.45763888888888887</v>
      </c>
      <c r="R230" s="8">
        <f>(10+(59/60))*N230</f>
        <v>270.51949999999999</v>
      </c>
    </row>
    <row r="231" spans="1:18" x14ac:dyDescent="0.2">
      <c r="A231" s="2">
        <v>256</v>
      </c>
      <c r="B231" s="2">
        <v>222</v>
      </c>
      <c r="C231" s="2">
        <v>835</v>
      </c>
      <c r="D231" t="s">
        <v>253</v>
      </c>
      <c r="N231" s="2">
        <v>60.97</v>
      </c>
      <c r="Q231" s="19">
        <v>9.8611111111111108E-2</v>
      </c>
      <c r="R231" s="8">
        <f>(2+(22/60))*N231</f>
        <v>144.29566666666668</v>
      </c>
    </row>
    <row r="232" spans="1:18" x14ac:dyDescent="0.2">
      <c r="A232" s="2">
        <v>290</v>
      </c>
      <c r="B232" s="2">
        <v>223</v>
      </c>
      <c r="C232" s="2">
        <v>943</v>
      </c>
      <c r="D232" t="s">
        <v>254</v>
      </c>
      <c r="E232" t="s">
        <v>710</v>
      </c>
      <c r="F232" s="2">
        <v>10340</v>
      </c>
      <c r="N232" s="2">
        <v>52.91</v>
      </c>
      <c r="Q232" s="19">
        <v>0.17222222222222225</v>
      </c>
      <c r="R232" s="8">
        <f>(4+(8/60))*N232</f>
        <v>218.69466666666668</v>
      </c>
    </row>
    <row r="233" spans="1:18" x14ac:dyDescent="0.2">
      <c r="A233" s="2">
        <v>1077</v>
      </c>
      <c r="B233" s="2">
        <v>224</v>
      </c>
      <c r="C233" s="2">
        <v>5784</v>
      </c>
      <c r="D233" t="s">
        <v>255</v>
      </c>
      <c r="N233" s="2">
        <v>10</v>
      </c>
      <c r="Q233" s="19">
        <v>0.11388888888888889</v>
      </c>
      <c r="R233" s="8">
        <f>(2+(44/60))*N233</f>
        <v>27.333333333333336</v>
      </c>
    </row>
    <row r="234" spans="1:18" x14ac:dyDescent="0.2">
      <c r="A234" s="2">
        <v>225</v>
      </c>
      <c r="D234" t="s">
        <v>256</v>
      </c>
      <c r="N234" s="2"/>
      <c r="R234" s="8"/>
    </row>
    <row r="235" spans="1:18" x14ac:dyDescent="0.2">
      <c r="A235" s="2">
        <v>226</v>
      </c>
      <c r="D235" t="s">
        <v>257</v>
      </c>
      <c r="N235" s="2"/>
      <c r="R235" s="8"/>
    </row>
    <row r="236" spans="1:18" x14ac:dyDescent="0.2">
      <c r="A236" s="2">
        <v>227</v>
      </c>
      <c r="D236" t="s">
        <v>259</v>
      </c>
      <c r="N236" s="2"/>
      <c r="R236" s="8"/>
    </row>
    <row r="237" spans="1:18" x14ac:dyDescent="0.2">
      <c r="A237" s="2">
        <v>228</v>
      </c>
      <c r="D237" t="s">
        <v>260</v>
      </c>
      <c r="N237" s="2"/>
      <c r="R237" s="8"/>
    </row>
    <row r="238" spans="1:18" x14ac:dyDescent="0.2">
      <c r="A238" s="2">
        <v>229</v>
      </c>
      <c r="D238" t="s">
        <v>262</v>
      </c>
      <c r="R238" s="8"/>
    </row>
    <row r="239" spans="1:18" x14ac:dyDescent="0.2">
      <c r="A239" s="2">
        <v>230</v>
      </c>
      <c r="D239" t="s">
        <v>263</v>
      </c>
      <c r="R239" s="8"/>
    </row>
    <row r="240" spans="1:18" x14ac:dyDescent="0.2">
      <c r="A240" s="2">
        <v>231</v>
      </c>
      <c r="D240" t="s">
        <v>264</v>
      </c>
      <c r="R240" s="8"/>
    </row>
    <row r="241" spans="1:5" x14ac:dyDescent="0.2">
      <c r="A241" s="2">
        <v>232</v>
      </c>
      <c r="D241" t="s">
        <v>265</v>
      </c>
    </row>
    <row r="242" spans="1:5" x14ac:dyDescent="0.2">
      <c r="A242" s="2">
        <v>233</v>
      </c>
      <c r="D242" t="s">
        <v>267</v>
      </c>
    </row>
    <row r="243" spans="1:5" x14ac:dyDescent="0.2">
      <c r="A243" s="2">
        <f t="shared" si="4"/>
        <v>234</v>
      </c>
      <c r="D243" t="s">
        <v>268</v>
      </c>
    </row>
    <row r="244" spans="1:5" x14ac:dyDescent="0.2">
      <c r="A244" s="2">
        <f t="shared" si="4"/>
        <v>235</v>
      </c>
      <c r="D244" t="s">
        <v>269</v>
      </c>
    </row>
    <row r="245" spans="1:5" x14ac:dyDescent="0.2">
      <c r="A245" s="2">
        <f t="shared" si="4"/>
        <v>236</v>
      </c>
      <c r="D245" t="s">
        <v>270</v>
      </c>
    </row>
    <row r="246" spans="1:5" x14ac:dyDescent="0.2">
      <c r="A246" s="2">
        <f t="shared" si="4"/>
        <v>237</v>
      </c>
      <c r="D246" t="s">
        <v>271</v>
      </c>
    </row>
    <row r="247" spans="1:5" x14ac:dyDescent="0.2">
      <c r="A247" s="2">
        <f t="shared" si="4"/>
        <v>238</v>
      </c>
      <c r="D247" t="s">
        <v>272</v>
      </c>
      <c r="E247" t="s">
        <v>519</v>
      </c>
    </row>
    <row r="248" spans="1:5" x14ac:dyDescent="0.2">
      <c r="A248" s="2">
        <f t="shared" si="4"/>
        <v>239</v>
      </c>
      <c r="D248" t="s">
        <v>273</v>
      </c>
    </row>
    <row r="249" spans="1:5" x14ac:dyDescent="0.2">
      <c r="A249" s="2">
        <f t="shared" si="4"/>
        <v>240</v>
      </c>
      <c r="D249" t="s">
        <v>274</v>
      </c>
    </row>
    <row r="250" spans="1:5" x14ac:dyDescent="0.2">
      <c r="A250" s="2">
        <f t="shared" si="4"/>
        <v>241</v>
      </c>
      <c r="D250" t="s">
        <v>275</v>
      </c>
    </row>
    <row r="251" spans="1:5" x14ac:dyDescent="0.2">
      <c r="A251" s="2">
        <f t="shared" si="4"/>
        <v>242</v>
      </c>
      <c r="D251" t="s">
        <v>276</v>
      </c>
      <c r="E251" t="s">
        <v>564</v>
      </c>
    </row>
    <row r="252" spans="1:5" x14ac:dyDescent="0.2">
      <c r="A252" s="2">
        <f t="shared" si="4"/>
        <v>243</v>
      </c>
      <c r="D252" t="s">
        <v>277</v>
      </c>
    </row>
    <row r="253" spans="1:5" x14ac:dyDescent="0.2">
      <c r="D253" t="s">
        <v>1172</v>
      </c>
    </row>
    <row r="254" spans="1:5" x14ac:dyDescent="0.2">
      <c r="A254" s="2">
        <f>A252+1</f>
        <v>244</v>
      </c>
      <c r="D254" t="s">
        <v>278</v>
      </c>
    </row>
    <row r="255" spans="1:5" x14ac:dyDescent="0.2">
      <c r="D255" t="s">
        <v>1173</v>
      </c>
    </row>
    <row r="256" spans="1:5" x14ac:dyDescent="0.2">
      <c r="D256" t="s">
        <v>1122</v>
      </c>
    </row>
    <row r="257" spans="1:6" x14ac:dyDescent="0.2">
      <c r="D257" t="s">
        <v>1123</v>
      </c>
    </row>
    <row r="258" spans="1:6" x14ac:dyDescent="0.2">
      <c r="A258" s="2">
        <f>A254+1</f>
        <v>245</v>
      </c>
      <c r="D258" t="s">
        <v>279</v>
      </c>
    </row>
    <row r="259" spans="1:6" x14ac:dyDescent="0.2">
      <c r="A259" s="2">
        <f t="shared" si="4"/>
        <v>246</v>
      </c>
      <c r="D259" t="s">
        <v>280</v>
      </c>
    </row>
    <row r="260" spans="1:6" x14ac:dyDescent="0.2">
      <c r="A260" s="2">
        <f t="shared" si="4"/>
        <v>247</v>
      </c>
      <c r="D260" t="s">
        <v>281</v>
      </c>
    </row>
    <row r="261" spans="1:6" x14ac:dyDescent="0.2">
      <c r="A261" s="2">
        <f t="shared" si="4"/>
        <v>248</v>
      </c>
      <c r="D261" t="s">
        <v>284</v>
      </c>
    </row>
    <row r="262" spans="1:6" x14ac:dyDescent="0.2">
      <c r="A262" s="2">
        <f t="shared" ref="A262:A321" si="5">A261+1</f>
        <v>249</v>
      </c>
      <c r="D262" t="s">
        <v>285</v>
      </c>
    </row>
    <row r="263" spans="1:6" x14ac:dyDescent="0.2">
      <c r="A263" s="2">
        <f t="shared" si="5"/>
        <v>250</v>
      </c>
      <c r="D263" t="s">
        <v>286</v>
      </c>
    </row>
    <row r="264" spans="1:6" x14ac:dyDescent="0.2">
      <c r="A264" s="2">
        <f t="shared" si="5"/>
        <v>251</v>
      </c>
      <c r="D264" t="s">
        <v>287</v>
      </c>
    </row>
    <row r="265" spans="1:6" x14ac:dyDescent="0.2">
      <c r="A265" s="2">
        <f t="shared" si="5"/>
        <v>252</v>
      </c>
      <c r="D265" t="s">
        <v>288</v>
      </c>
      <c r="E265" t="s">
        <v>564</v>
      </c>
    </row>
    <row r="266" spans="1:6" x14ac:dyDescent="0.2">
      <c r="A266" s="2">
        <f t="shared" si="5"/>
        <v>253</v>
      </c>
      <c r="D266" t="s">
        <v>289</v>
      </c>
    </row>
    <row r="267" spans="1:6" x14ac:dyDescent="0.2">
      <c r="A267" s="2">
        <f t="shared" si="5"/>
        <v>254</v>
      </c>
      <c r="D267" t="s">
        <v>290</v>
      </c>
      <c r="E267" t="s">
        <v>711</v>
      </c>
      <c r="F267" s="2">
        <v>0</v>
      </c>
    </row>
    <row r="268" spans="1:6" x14ac:dyDescent="0.2">
      <c r="A268" s="4">
        <f t="shared" si="5"/>
        <v>255</v>
      </c>
      <c r="B268" s="4"/>
      <c r="C268" s="4"/>
      <c r="D268" s="3" t="s">
        <v>291</v>
      </c>
    </row>
    <row r="269" spans="1:6" x14ac:dyDescent="0.2">
      <c r="A269" s="2">
        <f t="shared" si="5"/>
        <v>256</v>
      </c>
      <c r="D269" t="s">
        <v>292</v>
      </c>
    </row>
    <row r="270" spans="1:6" x14ac:dyDescent="0.2">
      <c r="A270" s="2">
        <f t="shared" si="5"/>
        <v>257</v>
      </c>
      <c r="D270" t="s">
        <v>293</v>
      </c>
    </row>
    <row r="271" spans="1:6" x14ac:dyDescent="0.2">
      <c r="A271" s="4">
        <f t="shared" si="5"/>
        <v>258</v>
      </c>
      <c r="B271" s="4"/>
      <c r="C271" s="4"/>
      <c r="D271" s="3" t="s">
        <v>294</v>
      </c>
    </row>
    <row r="272" spans="1:6" x14ac:dyDescent="0.2">
      <c r="A272" s="2">
        <f t="shared" si="5"/>
        <v>259</v>
      </c>
      <c r="D272" t="s">
        <v>295</v>
      </c>
    </row>
    <row r="273" spans="1:17" x14ac:dyDescent="0.2">
      <c r="A273" s="2">
        <f t="shared" si="5"/>
        <v>260</v>
      </c>
      <c r="D273" t="s">
        <v>296</v>
      </c>
    </row>
    <row r="274" spans="1:17" x14ac:dyDescent="0.2">
      <c r="A274" s="2">
        <f t="shared" si="5"/>
        <v>261</v>
      </c>
      <c r="D274" t="s">
        <v>297</v>
      </c>
    </row>
    <row r="275" spans="1:17" x14ac:dyDescent="0.2">
      <c r="A275" s="2">
        <f t="shared" si="5"/>
        <v>262</v>
      </c>
      <c r="D275" t="s">
        <v>298</v>
      </c>
      <c r="E275" t="s">
        <v>6</v>
      </c>
      <c r="F275" s="2">
        <v>800</v>
      </c>
    </row>
    <row r="276" spans="1:17" x14ac:dyDescent="0.2">
      <c r="A276" s="2">
        <f t="shared" si="5"/>
        <v>263</v>
      </c>
      <c r="D276" t="s">
        <v>299</v>
      </c>
    </row>
    <row r="277" spans="1:17" x14ac:dyDescent="0.2">
      <c r="A277" s="2">
        <v>244</v>
      </c>
      <c r="D277" t="s">
        <v>300</v>
      </c>
      <c r="G277" s="2">
        <v>35.950000000000003</v>
      </c>
      <c r="H277" s="15">
        <v>1.2050000000000001</v>
      </c>
      <c r="I277" s="16">
        <v>0.98501499999999997</v>
      </c>
      <c r="J277" s="2">
        <v>17.52</v>
      </c>
      <c r="Q277" s="19">
        <v>0.18055555555555555</v>
      </c>
    </row>
    <row r="278" spans="1:17" x14ac:dyDescent="0.2">
      <c r="A278" s="2">
        <f t="shared" si="5"/>
        <v>245</v>
      </c>
      <c r="D278" t="s">
        <v>301</v>
      </c>
    </row>
    <row r="279" spans="1:17" x14ac:dyDescent="0.2">
      <c r="A279" s="2">
        <f t="shared" si="5"/>
        <v>246</v>
      </c>
      <c r="D279" t="s">
        <v>302</v>
      </c>
    </row>
    <row r="280" spans="1:17" x14ac:dyDescent="0.2">
      <c r="A280" s="2">
        <f t="shared" si="5"/>
        <v>247</v>
      </c>
      <c r="D280" t="s">
        <v>303</v>
      </c>
      <c r="E280" t="s">
        <v>541</v>
      </c>
    </row>
    <row r="281" spans="1:17" x14ac:dyDescent="0.2">
      <c r="A281" s="2">
        <f t="shared" si="5"/>
        <v>248</v>
      </c>
      <c r="D281" t="s">
        <v>304</v>
      </c>
    </row>
    <row r="282" spans="1:17" x14ac:dyDescent="0.2">
      <c r="A282" s="2">
        <f t="shared" si="5"/>
        <v>249</v>
      </c>
      <c r="D282" t="s">
        <v>305</v>
      </c>
    </row>
    <row r="283" spans="1:17" x14ac:dyDescent="0.2">
      <c r="A283" s="2">
        <f t="shared" si="5"/>
        <v>250</v>
      </c>
      <c r="D283" t="s">
        <v>306</v>
      </c>
    </row>
    <row r="284" spans="1:17" x14ac:dyDescent="0.2">
      <c r="A284" s="2">
        <f t="shared" si="5"/>
        <v>251</v>
      </c>
      <c r="D284" t="s">
        <v>307</v>
      </c>
    </row>
    <row r="285" spans="1:17" x14ac:dyDescent="0.2">
      <c r="A285" s="2">
        <f t="shared" si="5"/>
        <v>252</v>
      </c>
      <c r="D285" t="s">
        <v>308</v>
      </c>
    </row>
    <row r="286" spans="1:17" x14ac:dyDescent="0.2">
      <c r="A286" s="2">
        <f t="shared" si="5"/>
        <v>253</v>
      </c>
      <c r="D286" t="s">
        <v>309</v>
      </c>
    </row>
    <row r="287" spans="1:17" x14ac:dyDescent="0.2">
      <c r="A287" s="2">
        <f t="shared" si="5"/>
        <v>254</v>
      </c>
      <c r="D287" t="s">
        <v>310</v>
      </c>
    </row>
    <row r="288" spans="1:17" x14ac:dyDescent="0.2">
      <c r="A288" s="2">
        <f t="shared" si="5"/>
        <v>255</v>
      </c>
      <c r="D288" t="s">
        <v>311</v>
      </c>
    </row>
    <row r="289" spans="1:6" x14ac:dyDescent="0.2">
      <c r="A289" s="2">
        <f t="shared" si="5"/>
        <v>256</v>
      </c>
      <c r="D289" t="s">
        <v>312</v>
      </c>
    </row>
    <row r="290" spans="1:6" x14ac:dyDescent="0.2">
      <c r="A290" s="2">
        <f t="shared" si="5"/>
        <v>257</v>
      </c>
      <c r="D290" t="s">
        <v>314</v>
      </c>
    </row>
    <row r="291" spans="1:6" x14ac:dyDescent="0.2">
      <c r="A291" s="2">
        <f t="shared" si="5"/>
        <v>258</v>
      </c>
      <c r="D291" t="s">
        <v>315</v>
      </c>
    </row>
    <row r="292" spans="1:6" x14ac:dyDescent="0.2">
      <c r="A292" s="2">
        <f t="shared" si="5"/>
        <v>259</v>
      </c>
      <c r="D292" t="s">
        <v>316</v>
      </c>
      <c r="E292" t="s">
        <v>0</v>
      </c>
    </row>
    <row r="293" spans="1:6" x14ac:dyDescent="0.2">
      <c r="A293" s="2">
        <f t="shared" si="5"/>
        <v>260</v>
      </c>
      <c r="D293" t="s">
        <v>317</v>
      </c>
    </row>
    <row r="294" spans="1:6" x14ac:dyDescent="0.2">
      <c r="A294" s="2">
        <f t="shared" si="5"/>
        <v>261</v>
      </c>
      <c r="D294" t="s">
        <v>318</v>
      </c>
    </row>
    <row r="295" spans="1:6" x14ac:dyDescent="0.2">
      <c r="A295" s="2">
        <f t="shared" si="5"/>
        <v>262</v>
      </c>
      <c r="D295" t="s">
        <v>319</v>
      </c>
    </row>
    <row r="296" spans="1:6" x14ac:dyDescent="0.2">
      <c r="A296" s="2">
        <f t="shared" si="5"/>
        <v>263</v>
      </c>
      <c r="D296" t="s">
        <v>320</v>
      </c>
    </row>
    <row r="297" spans="1:6" x14ac:dyDescent="0.2">
      <c r="A297" s="2">
        <f t="shared" si="5"/>
        <v>264</v>
      </c>
      <c r="D297" t="s">
        <v>321</v>
      </c>
    </row>
    <row r="298" spans="1:6" x14ac:dyDescent="0.2">
      <c r="A298" s="2">
        <f t="shared" si="5"/>
        <v>265</v>
      </c>
      <c r="D298" t="s">
        <v>323</v>
      </c>
      <c r="E298" t="s">
        <v>6</v>
      </c>
      <c r="F298" s="2">
        <v>100000</v>
      </c>
    </row>
    <row r="299" spans="1:6" x14ac:dyDescent="0.2">
      <c r="A299" s="2">
        <f t="shared" si="5"/>
        <v>266</v>
      </c>
      <c r="D299" t="s">
        <v>324</v>
      </c>
      <c r="E299" t="s">
        <v>546</v>
      </c>
    </row>
    <row r="300" spans="1:6" x14ac:dyDescent="0.2">
      <c r="A300" s="2">
        <f t="shared" si="5"/>
        <v>267</v>
      </c>
      <c r="D300" t="s">
        <v>325</v>
      </c>
    </row>
    <row r="301" spans="1:6" x14ac:dyDescent="0.2">
      <c r="A301" s="2">
        <f t="shared" si="5"/>
        <v>268</v>
      </c>
      <c r="D301" t="s">
        <v>326</v>
      </c>
    </row>
    <row r="302" spans="1:6" x14ac:dyDescent="0.2">
      <c r="A302" s="2">
        <f t="shared" si="5"/>
        <v>269</v>
      </c>
      <c r="D302" t="s">
        <v>327</v>
      </c>
    </row>
    <row r="303" spans="1:6" x14ac:dyDescent="0.2">
      <c r="A303" s="2">
        <f t="shared" si="5"/>
        <v>270</v>
      </c>
      <c r="D303" t="s">
        <v>328</v>
      </c>
    </row>
    <row r="304" spans="1:6" x14ac:dyDescent="0.2">
      <c r="A304" s="2">
        <f t="shared" si="5"/>
        <v>271</v>
      </c>
      <c r="D304" t="s">
        <v>329</v>
      </c>
    </row>
    <row r="305" spans="1:6" x14ac:dyDescent="0.2">
      <c r="A305" s="2">
        <f t="shared" si="5"/>
        <v>272</v>
      </c>
      <c r="D305" t="s">
        <v>330</v>
      </c>
      <c r="E305" t="s">
        <v>6</v>
      </c>
    </row>
    <row r="306" spans="1:6" x14ac:dyDescent="0.2">
      <c r="A306" s="2">
        <f t="shared" si="5"/>
        <v>273</v>
      </c>
      <c r="D306" t="s">
        <v>331</v>
      </c>
    </row>
    <row r="307" spans="1:6" x14ac:dyDescent="0.2">
      <c r="A307" s="2">
        <f t="shared" si="5"/>
        <v>274</v>
      </c>
      <c r="D307" t="s">
        <v>332</v>
      </c>
    </row>
    <row r="308" spans="1:6" x14ac:dyDescent="0.2">
      <c r="A308" s="2">
        <f t="shared" si="5"/>
        <v>275</v>
      </c>
      <c r="D308" t="s">
        <v>333</v>
      </c>
    </row>
    <row r="309" spans="1:6" x14ac:dyDescent="0.2">
      <c r="A309" s="2">
        <f t="shared" si="5"/>
        <v>276</v>
      </c>
      <c r="D309" t="s">
        <v>334</v>
      </c>
      <c r="E309" t="s">
        <v>683</v>
      </c>
      <c r="F309" s="2">
        <v>5500</v>
      </c>
    </row>
    <row r="310" spans="1:6" x14ac:dyDescent="0.2">
      <c r="A310" s="2">
        <f t="shared" si="5"/>
        <v>277</v>
      </c>
      <c r="D310" t="s">
        <v>335</v>
      </c>
      <c r="E310" t="s">
        <v>712</v>
      </c>
      <c r="F310" s="2">
        <v>49790</v>
      </c>
    </row>
    <row r="311" spans="1:6" x14ac:dyDescent="0.2">
      <c r="A311" s="2">
        <f t="shared" si="5"/>
        <v>278</v>
      </c>
      <c r="D311" s="3" t="s">
        <v>336</v>
      </c>
      <c r="E311" t="s">
        <v>6</v>
      </c>
      <c r="F311" s="2">
        <v>17000</v>
      </c>
    </row>
    <row r="312" spans="1:6" x14ac:dyDescent="0.2">
      <c r="A312" s="2">
        <f t="shared" si="5"/>
        <v>279</v>
      </c>
      <c r="D312" t="s">
        <v>337</v>
      </c>
      <c r="E312" t="s">
        <v>541</v>
      </c>
    </row>
    <row r="313" spans="1:6" x14ac:dyDescent="0.2">
      <c r="A313" s="2">
        <f t="shared" si="5"/>
        <v>280</v>
      </c>
      <c r="D313" t="s">
        <v>338</v>
      </c>
    </row>
    <row r="314" spans="1:6" x14ac:dyDescent="0.2">
      <c r="A314" s="2">
        <f t="shared" si="5"/>
        <v>281</v>
      </c>
      <c r="D314" t="s">
        <v>339</v>
      </c>
      <c r="E314" t="s">
        <v>6</v>
      </c>
    </row>
    <row r="315" spans="1:6" x14ac:dyDescent="0.2">
      <c r="A315" s="2">
        <f t="shared" si="5"/>
        <v>282</v>
      </c>
      <c r="D315" t="s">
        <v>340</v>
      </c>
    </row>
    <row r="316" spans="1:6" x14ac:dyDescent="0.2">
      <c r="A316" s="2">
        <f t="shared" si="5"/>
        <v>283</v>
      </c>
      <c r="D316" t="s">
        <v>341</v>
      </c>
    </row>
    <row r="317" spans="1:6" x14ac:dyDescent="0.2">
      <c r="A317" s="2">
        <f t="shared" si="5"/>
        <v>284</v>
      </c>
      <c r="D317" t="s">
        <v>342</v>
      </c>
    </row>
    <row r="318" spans="1:6" x14ac:dyDescent="0.2">
      <c r="A318" s="2">
        <f t="shared" si="5"/>
        <v>285</v>
      </c>
      <c r="D318" t="s">
        <v>343</v>
      </c>
    </row>
    <row r="319" spans="1:6" x14ac:dyDescent="0.2">
      <c r="A319" s="2">
        <f t="shared" si="5"/>
        <v>286</v>
      </c>
      <c r="D319" t="s">
        <v>344</v>
      </c>
      <c r="E319" t="s">
        <v>6</v>
      </c>
    </row>
    <row r="320" spans="1:6" x14ac:dyDescent="0.2">
      <c r="A320" s="2">
        <f t="shared" si="5"/>
        <v>287</v>
      </c>
      <c r="D320" t="s">
        <v>345</v>
      </c>
      <c r="E320" t="s">
        <v>713</v>
      </c>
      <c r="F320" s="2">
        <v>687</v>
      </c>
    </row>
    <row r="321" spans="1:7" x14ac:dyDescent="0.2">
      <c r="A321" s="2">
        <f t="shared" si="5"/>
        <v>288</v>
      </c>
      <c r="D321" t="s">
        <v>347</v>
      </c>
    </row>
    <row r="322" spans="1:7" x14ac:dyDescent="0.2">
      <c r="A322" s="2">
        <f t="shared" ref="A322:A383" si="6">A321+1</f>
        <v>289</v>
      </c>
      <c r="D322" t="s">
        <v>348</v>
      </c>
      <c r="G322" s="2">
        <v>84.53</v>
      </c>
    </row>
    <row r="323" spans="1:7" x14ac:dyDescent="0.2">
      <c r="D323" t="s">
        <v>1160</v>
      </c>
    </row>
    <row r="324" spans="1:7" x14ac:dyDescent="0.2">
      <c r="A324" s="2">
        <f>A322+1</f>
        <v>290</v>
      </c>
      <c r="D324" t="s">
        <v>349</v>
      </c>
      <c r="E324" t="s">
        <v>6</v>
      </c>
    </row>
    <row r="325" spans="1:7" x14ac:dyDescent="0.2">
      <c r="A325" s="2">
        <f t="shared" si="6"/>
        <v>291</v>
      </c>
      <c r="D325" t="s">
        <v>350</v>
      </c>
    </row>
    <row r="326" spans="1:7" x14ac:dyDescent="0.2">
      <c r="A326" s="2">
        <f t="shared" si="6"/>
        <v>292</v>
      </c>
      <c r="D326" t="s">
        <v>351</v>
      </c>
    </row>
    <row r="327" spans="1:7" x14ac:dyDescent="0.2">
      <c r="A327" s="2">
        <v>317</v>
      </c>
      <c r="D327" t="s">
        <v>603</v>
      </c>
      <c r="G327" s="2">
        <v>19.32</v>
      </c>
    </row>
    <row r="328" spans="1:7" x14ac:dyDescent="0.2">
      <c r="A328" s="2">
        <f>A326+1</f>
        <v>293</v>
      </c>
      <c r="D328" t="s">
        <v>352</v>
      </c>
    </row>
    <row r="329" spans="1:7" x14ac:dyDescent="0.2">
      <c r="A329" s="2">
        <f t="shared" si="6"/>
        <v>294</v>
      </c>
      <c r="D329" t="s">
        <v>353</v>
      </c>
      <c r="E329" t="s">
        <v>563</v>
      </c>
    </row>
    <row r="330" spans="1:7" x14ac:dyDescent="0.2">
      <c r="A330" s="2">
        <f t="shared" si="6"/>
        <v>295</v>
      </c>
      <c r="D330" t="s">
        <v>354</v>
      </c>
    </row>
    <row r="331" spans="1:7" x14ac:dyDescent="0.2">
      <c r="A331" s="2">
        <f t="shared" si="6"/>
        <v>296</v>
      </c>
      <c r="D331" t="s">
        <v>355</v>
      </c>
    </row>
    <row r="332" spans="1:7" x14ac:dyDescent="0.2">
      <c r="A332" s="2">
        <f t="shared" si="6"/>
        <v>297</v>
      </c>
      <c r="D332" t="s">
        <v>356</v>
      </c>
    </row>
    <row r="333" spans="1:7" x14ac:dyDescent="0.2">
      <c r="A333" s="2">
        <f t="shared" si="6"/>
        <v>298</v>
      </c>
      <c r="D333" t="s">
        <v>357</v>
      </c>
    </row>
    <row r="334" spans="1:7" x14ac:dyDescent="0.2">
      <c r="A334" s="2">
        <f t="shared" si="6"/>
        <v>299</v>
      </c>
      <c r="D334" t="s">
        <v>358</v>
      </c>
    </row>
    <row r="335" spans="1:7" x14ac:dyDescent="0.2">
      <c r="A335" s="2">
        <f t="shared" si="6"/>
        <v>300</v>
      </c>
      <c r="D335" t="s">
        <v>359</v>
      </c>
    </row>
    <row r="336" spans="1:7" x14ac:dyDescent="0.2">
      <c r="A336" s="2">
        <f t="shared" si="6"/>
        <v>301</v>
      </c>
      <c r="D336" t="s">
        <v>360</v>
      </c>
    </row>
    <row r="337" spans="1:17" x14ac:dyDescent="0.2">
      <c r="A337" s="2">
        <f t="shared" si="6"/>
        <v>302</v>
      </c>
      <c r="D337" t="s">
        <v>361</v>
      </c>
    </row>
    <row r="338" spans="1:17" x14ac:dyDescent="0.2">
      <c r="A338" s="2">
        <f t="shared" si="6"/>
        <v>303</v>
      </c>
      <c r="D338" t="s">
        <v>362</v>
      </c>
    </row>
    <row r="339" spans="1:17" x14ac:dyDescent="0.2">
      <c r="A339" s="2">
        <f t="shared" si="6"/>
        <v>304</v>
      </c>
      <c r="D339" t="s">
        <v>363</v>
      </c>
    </row>
    <row r="340" spans="1:17" x14ac:dyDescent="0.2">
      <c r="A340" s="2">
        <f t="shared" si="6"/>
        <v>305</v>
      </c>
      <c r="D340" s="3" t="s">
        <v>364</v>
      </c>
    </row>
    <row r="341" spans="1:17" x14ac:dyDescent="0.2">
      <c r="A341" s="2">
        <f t="shared" si="6"/>
        <v>306</v>
      </c>
      <c r="D341" t="s">
        <v>365</v>
      </c>
    </row>
    <row r="342" spans="1:17" x14ac:dyDescent="0.2">
      <c r="A342" s="2">
        <f t="shared" si="6"/>
        <v>307</v>
      </c>
      <c r="D342" t="s">
        <v>366</v>
      </c>
      <c r="E342" t="s">
        <v>714</v>
      </c>
      <c r="F342" s="2">
        <v>45450</v>
      </c>
    </row>
    <row r="343" spans="1:17" x14ac:dyDescent="0.2">
      <c r="A343" s="2">
        <f t="shared" si="6"/>
        <v>308</v>
      </c>
      <c r="D343" t="s">
        <v>367</v>
      </c>
      <c r="E343" t="s">
        <v>582</v>
      </c>
    </row>
    <row r="344" spans="1:17" x14ac:dyDescent="0.2">
      <c r="A344" s="2">
        <f t="shared" si="6"/>
        <v>309</v>
      </c>
      <c r="D344" t="s">
        <v>368</v>
      </c>
    </row>
    <row r="345" spans="1:17" x14ac:dyDescent="0.2">
      <c r="A345" s="2">
        <v>372</v>
      </c>
      <c r="D345" s="3" t="s">
        <v>369</v>
      </c>
      <c r="G345" s="2">
        <v>28.96</v>
      </c>
      <c r="H345" s="15">
        <v>0.93873399999999996</v>
      </c>
      <c r="I345" s="16">
        <v>0.86621899999999996</v>
      </c>
      <c r="J345" s="2">
        <v>22.42</v>
      </c>
      <c r="Q345" s="19">
        <v>0.10555555555555556</v>
      </c>
    </row>
    <row r="346" spans="1:17" x14ac:dyDescent="0.2">
      <c r="A346" s="2">
        <f t="shared" si="6"/>
        <v>373</v>
      </c>
      <c r="D346" t="s">
        <v>370</v>
      </c>
      <c r="E346" t="s">
        <v>541</v>
      </c>
      <c r="F346" s="2">
        <v>0</v>
      </c>
    </row>
    <row r="347" spans="1:17" x14ac:dyDescent="0.2">
      <c r="A347" s="2">
        <f t="shared" si="6"/>
        <v>374</v>
      </c>
      <c r="D347" t="s">
        <v>372</v>
      </c>
    </row>
    <row r="348" spans="1:17" x14ac:dyDescent="0.2">
      <c r="A348" s="2">
        <f t="shared" si="6"/>
        <v>375</v>
      </c>
      <c r="D348" t="s">
        <v>374</v>
      </c>
    </row>
    <row r="349" spans="1:17" x14ac:dyDescent="0.2">
      <c r="A349" s="2">
        <f t="shared" si="6"/>
        <v>376</v>
      </c>
      <c r="D349" t="s">
        <v>375</v>
      </c>
    </row>
    <row r="350" spans="1:17" x14ac:dyDescent="0.2">
      <c r="A350" s="2">
        <f t="shared" si="6"/>
        <v>377</v>
      </c>
      <c r="D350" t="s">
        <v>376</v>
      </c>
    </row>
    <row r="351" spans="1:17" x14ac:dyDescent="0.2">
      <c r="A351" s="2">
        <f t="shared" si="6"/>
        <v>378</v>
      </c>
      <c r="D351" t="s">
        <v>377</v>
      </c>
    </row>
    <row r="352" spans="1:17" x14ac:dyDescent="0.2">
      <c r="A352" s="2">
        <f t="shared" si="6"/>
        <v>379</v>
      </c>
      <c r="D352" t="s">
        <v>378</v>
      </c>
    </row>
    <row r="353" spans="1:6" x14ac:dyDescent="0.2">
      <c r="A353" s="2">
        <f t="shared" si="6"/>
        <v>380</v>
      </c>
      <c r="D353" t="s">
        <v>379</v>
      </c>
    </row>
    <row r="354" spans="1:6" x14ac:dyDescent="0.2">
      <c r="A354" s="2">
        <f t="shared" si="6"/>
        <v>381</v>
      </c>
      <c r="D354" t="s">
        <v>380</v>
      </c>
    </row>
    <row r="355" spans="1:6" x14ac:dyDescent="0.2">
      <c r="A355" s="2">
        <f t="shared" si="6"/>
        <v>382</v>
      </c>
      <c r="D355" t="s">
        <v>381</v>
      </c>
    </row>
    <row r="356" spans="1:6" x14ac:dyDescent="0.2">
      <c r="A356" s="2">
        <f t="shared" si="6"/>
        <v>383</v>
      </c>
      <c r="D356" t="s">
        <v>382</v>
      </c>
    </row>
    <row r="357" spans="1:6" x14ac:dyDescent="0.2">
      <c r="A357" s="2">
        <f t="shared" si="6"/>
        <v>384</v>
      </c>
      <c r="D357" t="s">
        <v>383</v>
      </c>
      <c r="E357" t="s">
        <v>715</v>
      </c>
      <c r="F357" s="2">
        <v>2670</v>
      </c>
    </row>
    <row r="358" spans="1:6" x14ac:dyDescent="0.2">
      <c r="A358" s="2">
        <f t="shared" si="6"/>
        <v>385</v>
      </c>
      <c r="D358" t="s">
        <v>384</v>
      </c>
    </row>
    <row r="359" spans="1:6" x14ac:dyDescent="0.2">
      <c r="A359" s="2">
        <f t="shared" si="6"/>
        <v>386</v>
      </c>
      <c r="D359" t="s">
        <v>385</v>
      </c>
    </row>
    <row r="360" spans="1:6" x14ac:dyDescent="0.2">
      <c r="A360" s="2">
        <f t="shared" si="6"/>
        <v>387</v>
      </c>
      <c r="D360" t="s">
        <v>386</v>
      </c>
    </row>
    <row r="361" spans="1:6" x14ac:dyDescent="0.2">
      <c r="A361" s="2">
        <f t="shared" si="6"/>
        <v>388</v>
      </c>
      <c r="D361" t="s">
        <v>387</v>
      </c>
    </row>
    <row r="362" spans="1:6" x14ac:dyDescent="0.2">
      <c r="A362" s="2">
        <f t="shared" si="6"/>
        <v>389</v>
      </c>
      <c r="D362" t="s">
        <v>389</v>
      </c>
    </row>
    <row r="363" spans="1:6" x14ac:dyDescent="0.2">
      <c r="A363" s="2">
        <f t="shared" si="6"/>
        <v>390</v>
      </c>
      <c r="D363" t="s">
        <v>390</v>
      </c>
    </row>
    <row r="364" spans="1:6" x14ac:dyDescent="0.2">
      <c r="A364" s="2">
        <f t="shared" si="6"/>
        <v>391</v>
      </c>
      <c r="D364" t="s">
        <v>391</v>
      </c>
      <c r="E364" t="s">
        <v>6</v>
      </c>
    </row>
    <row r="365" spans="1:6" x14ac:dyDescent="0.2">
      <c r="A365" s="2">
        <f t="shared" si="6"/>
        <v>392</v>
      </c>
      <c r="D365" t="s">
        <v>392</v>
      </c>
    </row>
    <row r="366" spans="1:6" x14ac:dyDescent="0.2">
      <c r="A366" s="2">
        <f t="shared" si="6"/>
        <v>393</v>
      </c>
      <c r="D366" t="s">
        <v>393</v>
      </c>
    </row>
    <row r="367" spans="1:6" x14ac:dyDescent="0.2">
      <c r="A367" s="2">
        <f t="shared" si="6"/>
        <v>394</v>
      </c>
      <c r="D367" t="s">
        <v>394</v>
      </c>
    </row>
    <row r="368" spans="1:6" x14ac:dyDescent="0.2">
      <c r="A368" s="2">
        <f t="shared" si="6"/>
        <v>395</v>
      </c>
      <c r="D368" t="s">
        <v>395</v>
      </c>
    </row>
    <row r="369" spans="1:6" x14ac:dyDescent="0.2">
      <c r="A369" s="2">
        <f t="shared" si="6"/>
        <v>396</v>
      </c>
      <c r="D369" t="s">
        <v>396</v>
      </c>
    </row>
    <row r="370" spans="1:6" x14ac:dyDescent="0.2">
      <c r="A370" s="2">
        <f t="shared" si="6"/>
        <v>397</v>
      </c>
      <c r="D370" t="s">
        <v>397</v>
      </c>
    </row>
    <row r="371" spans="1:6" x14ac:dyDescent="0.2">
      <c r="A371" s="2">
        <f t="shared" si="6"/>
        <v>398</v>
      </c>
      <c r="D371" t="s">
        <v>398</v>
      </c>
    </row>
    <row r="372" spans="1:6" x14ac:dyDescent="0.2">
      <c r="A372" s="2">
        <f t="shared" si="6"/>
        <v>399</v>
      </c>
      <c r="D372" t="s">
        <v>399</v>
      </c>
    </row>
    <row r="373" spans="1:6" x14ac:dyDescent="0.2">
      <c r="A373" s="2">
        <f t="shared" si="6"/>
        <v>400</v>
      </c>
      <c r="D373" t="s">
        <v>400</v>
      </c>
    </row>
    <row r="374" spans="1:6" x14ac:dyDescent="0.2">
      <c r="A374" s="2">
        <f t="shared" si="6"/>
        <v>401</v>
      </c>
      <c r="D374" t="s">
        <v>401</v>
      </c>
    </row>
    <row r="375" spans="1:6" x14ac:dyDescent="0.2">
      <c r="A375" s="2">
        <f t="shared" si="6"/>
        <v>402</v>
      </c>
      <c r="D375" t="s">
        <v>402</v>
      </c>
      <c r="E375" t="s">
        <v>716</v>
      </c>
      <c r="F375" s="2">
        <v>77190</v>
      </c>
    </row>
    <row r="376" spans="1:6" x14ac:dyDescent="0.2">
      <c r="A376" s="2">
        <f t="shared" si="6"/>
        <v>403</v>
      </c>
      <c r="D376" t="s">
        <v>403</v>
      </c>
    </row>
    <row r="377" spans="1:6" x14ac:dyDescent="0.2">
      <c r="A377" s="2">
        <f t="shared" si="6"/>
        <v>404</v>
      </c>
      <c r="D377" t="s">
        <v>405</v>
      </c>
    </row>
    <row r="378" spans="1:6" x14ac:dyDescent="0.2">
      <c r="A378" s="2">
        <f t="shared" si="6"/>
        <v>405</v>
      </c>
      <c r="D378" t="s">
        <v>406</v>
      </c>
    </row>
    <row r="379" spans="1:6" x14ac:dyDescent="0.2">
      <c r="A379" s="2">
        <f t="shared" si="6"/>
        <v>406</v>
      </c>
      <c r="D379" t="s">
        <v>407</v>
      </c>
      <c r="E379" t="s">
        <v>567</v>
      </c>
    </row>
    <row r="380" spans="1:6" x14ac:dyDescent="0.2">
      <c r="A380" s="2">
        <f t="shared" si="6"/>
        <v>407</v>
      </c>
      <c r="D380" t="s">
        <v>408</v>
      </c>
    </row>
    <row r="381" spans="1:6" x14ac:dyDescent="0.2">
      <c r="A381" s="2">
        <f t="shared" si="6"/>
        <v>408</v>
      </c>
      <c r="D381" t="s">
        <v>409</v>
      </c>
    </row>
    <row r="382" spans="1:6" x14ac:dyDescent="0.2">
      <c r="A382" s="2">
        <f t="shared" si="6"/>
        <v>409</v>
      </c>
      <c r="D382" t="s">
        <v>410</v>
      </c>
    </row>
    <row r="383" spans="1:6" x14ac:dyDescent="0.2">
      <c r="A383" s="2">
        <f t="shared" si="6"/>
        <v>410</v>
      </c>
      <c r="D383" t="s">
        <v>411</v>
      </c>
    </row>
    <row r="384" spans="1:6" x14ac:dyDescent="0.2">
      <c r="D384" t="s">
        <v>1161</v>
      </c>
    </row>
    <row r="385" spans="1:6" x14ac:dyDescent="0.2">
      <c r="A385" s="2">
        <f>A383+1</f>
        <v>411</v>
      </c>
      <c r="D385" t="s">
        <v>412</v>
      </c>
    </row>
    <row r="386" spans="1:6" x14ac:dyDescent="0.2">
      <c r="A386" s="2">
        <f t="shared" ref="A386:A443" si="7">A385+1</f>
        <v>412</v>
      </c>
      <c r="D386" t="s">
        <v>413</v>
      </c>
    </row>
    <row r="387" spans="1:6" x14ac:dyDescent="0.2">
      <c r="A387" s="2">
        <f t="shared" si="7"/>
        <v>413</v>
      </c>
      <c r="D387" t="s">
        <v>414</v>
      </c>
    </row>
    <row r="388" spans="1:6" x14ac:dyDescent="0.2">
      <c r="A388" s="2">
        <f t="shared" si="7"/>
        <v>414</v>
      </c>
      <c r="D388" t="s">
        <v>415</v>
      </c>
      <c r="E388" t="s">
        <v>717</v>
      </c>
      <c r="F388" s="2">
        <v>8040</v>
      </c>
    </row>
    <row r="389" spans="1:6" x14ac:dyDescent="0.2">
      <c r="A389" s="2">
        <f t="shared" si="7"/>
        <v>415</v>
      </c>
      <c r="D389" t="s">
        <v>416</v>
      </c>
    </row>
    <row r="390" spans="1:6" x14ac:dyDescent="0.2">
      <c r="A390" s="2">
        <f t="shared" si="7"/>
        <v>416</v>
      </c>
      <c r="D390" t="s">
        <v>417</v>
      </c>
    </row>
    <row r="391" spans="1:6" x14ac:dyDescent="0.2">
      <c r="A391" s="2">
        <f t="shared" si="7"/>
        <v>417</v>
      </c>
      <c r="D391" t="s">
        <v>418</v>
      </c>
    </row>
    <row r="392" spans="1:6" x14ac:dyDescent="0.2">
      <c r="A392" s="2">
        <f t="shared" si="7"/>
        <v>418</v>
      </c>
      <c r="D392" t="s">
        <v>419</v>
      </c>
    </row>
    <row r="393" spans="1:6" x14ac:dyDescent="0.2">
      <c r="A393" s="2">
        <f t="shared" si="7"/>
        <v>419</v>
      </c>
      <c r="D393" t="s">
        <v>420</v>
      </c>
    </row>
    <row r="394" spans="1:6" x14ac:dyDescent="0.2">
      <c r="A394" s="2">
        <f t="shared" si="7"/>
        <v>420</v>
      </c>
      <c r="D394" t="s">
        <v>421</v>
      </c>
    </row>
    <row r="395" spans="1:6" x14ac:dyDescent="0.2">
      <c r="A395" s="2">
        <f t="shared" si="7"/>
        <v>421</v>
      </c>
      <c r="D395" t="s">
        <v>422</v>
      </c>
    </row>
    <row r="396" spans="1:6" x14ac:dyDescent="0.2">
      <c r="A396" s="2">
        <f t="shared" si="7"/>
        <v>422</v>
      </c>
      <c r="D396" t="s">
        <v>423</v>
      </c>
    </row>
    <row r="397" spans="1:6" x14ac:dyDescent="0.2">
      <c r="A397" s="2">
        <f t="shared" si="7"/>
        <v>423</v>
      </c>
      <c r="D397" t="s">
        <v>424</v>
      </c>
    </row>
    <row r="398" spans="1:6" x14ac:dyDescent="0.2">
      <c r="A398" s="2">
        <f t="shared" si="7"/>
        <v>424</v>
      </c>
      <c r="D398" t="s">
        <v>425</v>
      </c>
    </row>
    <row r="399" spans="1:6" x14ac:dyDescent="0.2">
      <c r="A399" s="2">
        <f t="shared" si="7"/>
        <v>425</v>
      </c>
      <c r="D399" t="s">
        <v>426</v>
      </c>
    </row>
    <row r="400" spans="1:6" x14ac:dyDescent="0.2">
      <c r="A400" s="2">
        <f t="shared" si="7"/>
        <v>426</v>
      </c>
      <c r="D400" t="s">
        <v>427</v>
      </c>
    </row>
    <row r="401" spans="1:5" x14ac:dyDescent="0.2">
      <c r="A401" s="2">
        <f t="shared" si="7"/>
        <v>427</v>
      </c>
      <c r="D401" t="s">
        <v>428</v>
      </c>
    </row>
    <row r="402" spans="1:5" x14ac:dyDescent="0.2">
      <c r="A402" s="2">
        <f t="shared" si="7"/>
        <v>428</v>
      </c>
      <c r="D402" t="s">
        <v>429</v>
      </c>
    </row>
    <row r="403" spans="1:5" x14ac:dyDescent="0.2">
      <c r="A403" s="2">
        <f t="shared" si="7"/>
        <v>429</v>
      </c>
      <c r="D403" t="s">
        <v>430</v>
      </c>
    </row>
    <row r="404" spans="1:5" x14ac:dyDescent="0.2">
      <c r="A404" s="2">
        <f t="shared" si="7"/>
        <v>430</v>
      </c>
      <c r="D404" t="s">
        <v>431</v>
      </c>
    </row>
    <row r="405" spans="1:5" x14ac:dyDescent="0.2">
      <c r="A405" s="2">
        <f t="shared" si="7"/>
        <v>431</v>
      </c>
      <c r="D405" t="s">
        <v>432</v>
      </c>
    </row>
    <row r="406" spans="1:5" x14ac:dyDescent="0.2">
      <c r="A406" s="2">
        <f t="shared" si="7"/>
        <v>432</v>
      </c>
      <c r="D406" t="s">
        <v>433</v>
      </c>
    </row>
    <row r="407" spans="1:5" x14ac:dyDescent="0.2">
      <c r="A407" s="2">
        <f t="shared" si="7"/>
        <v>433</v>
      </c>
      <c r="D407" t="s">
        <v>434</v>
      </c>
    </row>
    <row r="408" spans="1:5" x14ac:dyDescent="0.2">
      <c r="A408" s="2">
        <f t="shared" si="7"/>
        <v>434</v>
      </c>
      <c r="D408" t="s">
        <v>435</v>
      </c>
    </row>
    <row r="409" spans="1:5" x14ac:dyDescent="0.2">
      <c r="A409" s="2">
        <f t="shared" si="7"/>
        <v>435</v>
      </c>
      <c r="D409" s="3" t="s">
        <v>436</v>
      </c>
    </row>
    <row r="410" spans="1:5" x14ac:dyDescent="0.2">
      <c r="A410" s="2">
        <f t="shared" si="7"/>
        <v>436</v>
      </c>
      <c r="D410" t="s">
        <v>437</v>
      </c>
      <c r="E410" t="s">
        <v>6</v>
      </c>
    </row>
    <row r="411" spans="1:5" x14ac:dyDescent="0.2">
      <c r="A411" s="2">
        <f t="shared" si="7"/>
        <v>437</v>
      </c>
      <c r="D411" t="s">
        <v>438</v>
      </c>
    </row>
    <row r="412" spans="1:5" x14ac:dyDescent="0.2">
      <c r="A412" s="2">
        <f t="shared" si="7"/>
        <v>438</v>
      </c>
      <c r="D412" t="s">
        <v>439</v>
      </c>
      <c r="E412" t="s">
        <v>718</v>
      </c>
    </row>
    <row r="413" spans="1:5" x14ac:dyDescent="0.2">
      <c r="A413" s="2">
        <f t="shared" si="7"/>
        <v>439</v>
      </c>
      <c r="D413" t="s">
        <v>440</v>
      </c>
    </row>
    <row r="414" spans="1:5" x14ac:dyDescent="0.2">
      <c r="A414" s="2">
        <f t="shared" si="7"/>
        <v>440</v>
      </c>
      <c r="D414" t="s">
        <v>441</v>
      </c>
    </row>
    <row r="415" spans="1:5" x14ac:dyDescent="0.2">
      <c r="A415" s="2">
        <f t="shared" si="7"/>
        <v>441</v>
      </c>
      <c r="D415" t="s">
        <v>442</v>
      </c>
    </row>
    <row r="416" spans="1:5" x14ac:dyDescent="0.2">
      <c r="A416" s="2">
        <f t="shared" si="7"/>
        <v>442</v>
      </c>
      <c r="D416" t="s">
        <v>443</v>
      </c>
    </row>
    <row r="417" spans="1:5" x14ac:dyDescent="0.2">
      <c r="A417" s="2">
        <f t="shared" si="7"/>
        <v>443</v>
      </c>
      <c r="D417" t="s">
        <v>444</v>
      </c>
      <c r="E417" t="s">
        <v>6</v>
      </c>
    </row>
    <row r="418" spans="1:5" x14ac:dyDescent="0.2">
      <c r="A418" s="2">
        <f t="shared" si="7"/>
        <v>444</v>
      </c>
      <c r="D418" t="s">
        <v>445</v>
      </c>
    </row>
    <row r="419" spans="1:5" x14ac:dyDescent="0.2">
      <c r="A419" s="2">
        <f t="shared" si="7"/>
        <v>445</v>
      </c>
      <c r="D419" t="s">
        <v>446</v>
      </c>
    </row>
    <row r="420" spans="1:5" x14ac:dyDescent="0.2">
      <c r="A420" s="2">
        <f t="shared" si="7"/>
        <v>446</v>
      </c>
      <c r="D420" t="s">
        <v>447</v>
      </c>
    </row>
    <row r="421" spans="1:5" x14ac:dyDescent="0.2">
      <c r="A421" s="2">
        <f t="shared" si="7"/>
        <v>447</v>
      </c>
      <c r="D421" t="s">
        <v>448</v>
      </c>
      <c r="E421" t="s">
        <v>541</v>
      </c>
    </row>
    <row r="422" spans="1:5" x14ac:dyDescent="0.2">
      <c r="A422" s="2">
        <f t="shared" si="7"/>
        <v>448</v>
      </c>
      <c r="D422" t="s">
        <v>449</v>
      </c>
      <c r="E422" t="s">
        <v>6</v>
      </c>
    </row>
    <row r="423" spans="1:5" x14ac:dyDescent="0.2">
      <c r="A423" s="2">
        <f t="shared" si="7"/>
        <v>449</v>
      </c>
      <c r="D423" t="s">
        <v>450</v>
      </c>
    </row>
    <row r="424" spans="1:5" x14ac:dyDescent="0.2">
      <c r="A424" s="2">
        <f t="shared" si="7"/>
        <v>450</v>
      </c>
      <c r="D424" t="s">
        <v>451</v>
      </c>
    </row>
    <row r="425" spans="1:5" x14ac:dyDescent="0.2">
      <c r="A425" s="2">
        <f t="shared" si="7"/>
        <v>451</v>
      </c>
      <c r="D425" t="s">
        <v>452</v>
      </c>
      <c r="E425" t="s">
        <v>580</v>
      </c>
    </row>
    <row r="426" spans="1:5" x14ac:dyDescent="0.2">
      <c r="A426" s="2">
        <f t="shared" si="7"/>
        <v>452</v>
      </c>
      <c r="D426" t="s">
        <v>453</v>
      </c>
    </row>
    <row r="427" spans="1:5" x14ac:dyDescent="0.2">
      <c r="A427" s="2">
        <f t="shared" si="7"/>
        <v>453</v>
      </c>
      <c r="D427" t="s">
        <v>454</v>
      </c>
    </row>
    <row r="428" spans="1:5" x14ac:dyDescent="0.2">
      <c r="A428" s="2">
        <f t="shared" si="7"/>
        <v>454</v>
      </c>
      <c r="D428" t="s">
        <v>455</v>
      </c>
    </row>
    <row r="429" spans="1:5" x14ac:dyDescent="0.2">
      <c r="A429" s="2">
        <f t="shared" si="7"/>
        <v>455</v>
      </c>
      <c r="D429" t="s">
        <v>456</v>
      </c>
    </row>
    <row r="430" spans="1:5" x14ac:dyDescent="0.2">
      <c r="A430" s="2">
        <f t="shared" si="7"/>
        <v>456</v>
      </c>
      <c r="D430" t="s">
        <v>457</v>
      </c>
    </row>
    <row r="431" spans="1:5" x14ac:dyDescent="0.2">
      <c r="A431" s="2">
        <f t="shared" si="7"/>
        <v>457</v>
      </c>
      <c r="D431" t="s">
        <v>459</v>
      </c>
    </row>
    <row r="432" spans="1:5" x14ac:dyDescent="0.2">
      <c r="A432" s="2">
        <f t="shared" si="7"/>
        <v>458</v>
      </c>
      <c r="D432" t="s">
        <v>460</v>
      </c>
    </row>
    <row r="433" spans="1:17" x14ac:dyDescent="0.2">
      <c r="A433" s="2">
        <f t="shared" si="7"/>
        <v>459</v>
      </c>
      <c r="D433" t="s">
        <v>461</v>
      </c>
      <c r="E433" t="s">
        <v>550</v>
      </c>
    </row>
    <row r="434" spans="1:17" x14ac:dyDescent="0.2">
      <c r="A434" s="2">
        <f t="shared" si="7"/>
        <v>460</v>
      </c>
      <c r="D434" t="s">
        <v>462</v>
      </c>
    </row>
    <row r="435" spans="1:17" x14ac:dyDescent="0.2">
      <c r="A435" s="2">
        <f t="shared" si="7"/>
        <v>461</v>
      </c>
      <c r="D435" t="s">
        <v>463</v>
      </c>
    </row>
    <row r="436" spans="1:17" x14ac:dyDescent="0.2">
      <c r="A436" s="2">
        <f t="shared" si="7"/>
        <v>462</v>
      </c>
      <c r="D436" t="s">
        <v>464</v>
      </c>
    </row>
    <row r="437" spans="1:17" x14ac:dyDescent="0.2">
      <c r="A437" s="2">
        <f t="shared" si="7"/>
        <v>463</v>
      </c>
      <c r="D437" t="s">
        <v>465</v>
      </c>
    </row>
    <row r="438" spans="1:17" x14ac:dyDescent="0.2">
      <c r="A438" s="2">
        <f t="shared" si="7"/>
        <v>464</v>
      </c>
      <c r="D438" t="s">
        <v>467</v>
      </c>
    </row>
    <row r="439" spans="1:17" x14ac:dyDescent="0.2">
      <c r="A439" s="2">
        <f t="shared" si="7"/>
        <v>465</v>
      </c>
      <c r="D439" t="s">
        <v>468</v>
      </c>
    </row>
    <row r="440" spans="1:17" x14ac:dyDescent="0.2">
      <c r="A440" s="2">
        <f t="shared" si="7"/>
        <v>466</v>
      </c>
      <c r="D440" t="s">
        <v>600</v>
      </c>
      <c r="E440" t="s">
        <v>601</v>
      </c>
      <c r="G440" s="2">
        <v>19.38</v>
      </c>
    </row>
    <row r="441" spans="1:17" x14ac:dyDescent="0.2">
      <c r="A441" s="2">
        <f t="shared" si="7"/>
        <v>467</v>
      </c>
      <c r="D441" s="3" t="s">
        <v>469</v>
      </c>
    </row>
    <row r="442" spans="1:17" x14ac:dyDescent="0.2">
      <c r="A442" s="2">
        <f t="shared" si="7"/>
        <v>468</v>
      </c>
      <c r="D442" t="s">
        <v>470</v>
      </c>
    </row>
    <row r="443" spans="1:17" x14ac:dyDescent="0.2">
      <c r="A443" s="2">
        <f t="shared" si="7"/>
        <v>469</v>
      </c>
      <c r="D443" t="s">
        <v>471</v>
      </c>
    </row>
    <row r="444" spans="1:17" x14ac:dyDescent="0.2">
      <c r="A444" s="2">
        <v>470</v>
      </c>
      <c r="D444" t="s">
        <v>474</v>
      </c>
      <c r="E444" t="s">
        <v>710</v>
      </c>
    </row>
    <row r="445" spans="1:17" x14ac:dyDescent="0.2">
      <c r="A445" s="2">
        <v>272</v>
      </c>
      <c r="B445" s="2">
        <v>471</v>
      </c>
      <c r="C445" s="2">
        <v>376</v>
      </c>
      <c r="D445" t="s">
        <v>475</v>
      </c>
      <c r="E445" t="s">
        <v>2</v>
      </c>
      <c r="F445" s="2">
        <v>1000000</v>
      </c>
      <c r="G445" s="2">
        <v>61.21</v>
      </c>
      <c r="M445" s="1">
        <v>61.21</v>
      </c>
      <c r="Q445" s="19">
        <v>0.4777777777777778</v>
      </c>
    </row>
    <row r="446" spans="1:17" x14ac:dyDescent="0.2">
      <c r="A446" s="2">
        <v>472</v>
      </c>
      <c r="D446" t="s">
        <v>476</v>
      </c>
    </row>
    <row r="447" spans="1:17" x14ac:dyDescent="0.2">
      <c r="A447" s="2">
        <f t="shared" ref="A447:A486" si="8">A446+1</f>
        <v>473</v>
      </c>
      <c r="D447" t="s">
        <v>477</v>
      </c>
      <c r="E447" t="s">
        <v>7</v>
      </c>
    </row>
    <row r="448" spans="1:17" x14ac:dyDescent="0.2">
      <c r="A448" s="2">
        <f t="shared" si="8"/>
        <v>474</v>
      </c>
      <c r="D448" t="s">
        <v>478</v>
      </c>
    </row>
    <row r="449" spans="1:19" x14ac:dyDescent="0.2">
      <c r="A449" s="2">
        <f t="shared" si="8"/>
        <v>475</v>
      </c>
      <c r="D449" t="s">
        <v>479</v>
      </c>
    </row>
    <row r="450" spans="1:19" x14ac:dyDescent="0.2">
      <c r="A450" s="2">
        <f t="shared" si="8"/>
        <v>476</v>
      </c>
      <c r="D450" t="s">
        <v>481</v>
      </c>
    </row>
    <row r="451" spans="1:19" x14ac:dyDescent="0.2">
      <c r="A451" s="2">
        <f t="shared" si="8"/>
        <v>477</v>
      </c>
      <c r="D451" t="s">
        <v>482</v>
      </c>
    </row>
    <row r="452" spans="1:19" x14ac:dyDescent="0.2">
      <c r="A452" s="2">
        <f t="shared" si="8"/>
        <v>478</v>
      </c>
      <c r="D452" t="s">
        <v>483</v>
      </c>
    </row>
    <row r="453" spans="1:19" x14ac:dyDescent="0.2">
      <c r="A453" s="2">
        <f t="shared" si="8"/>
        <v>479</v>
      </c>
      <c r="D453" t="s">
        <v>484</v>
      </c>
    </row>
    <row r="454" spans="1:19" x14ac:dyDescent="0.2">
      <c r="A454" s="2">
        <f t="shared" si="8"/>
        <v>480</v>
      </c>
      <c r="D454" t="s">
        <v>485</v>
      </c>
    </row>
    <row r="455" spans="1:19" x14ac:dyDescent="0.2">
      <c r="A455" s="2">
        <f t="shared" si="8"/>
        <v>481</v>
      </c>
      <c r="D455" t="s">
        <v>487</v>
      </c>
    </row>
    <row r="456" spans="1:19" x14ac:dyDescent="0.2">
      <c r="A456" s="2">
        <f t="shared" si="8"/>
        <v>482</v>
      </c>
      <c r="D456" t="s">
        <v>488</v>
      </c>
    </row>
    <row r="457" spans="1:19" x14ac:dyDescent="0.2">
      <c r="A457" s="2">
        <f t="shared" si="8"/>
        <v>483</v>
      </c>
      <c r="D457" s="3" t="s">
        <v>489</v>
      </c>
    </row>
    <row r="458" spans="1:19" x14ac:dyDescent="0.2">
      <c r="A458" s="2">
        <f t="shared" si="8"/>
        <v>484</v>
      </c>
      <c r="D458" t="s">
        <v>490</v>
      </c>
    </row>
    <row r="459" spans="1:19" x14ac:dyDescent="0.2">
      <c r="A459" s="2">
        <f t="shared" si="8"/>
        <v>485</v>
      </c>
      <c r="D459" t="s">
        <v>491</v>
      </c>
      <c r="E459" t="s">
        <v>6</v>
      </c>
      <c r="F459" s="2">
        <v>8000</v>
      </c>
    </row>
    <row r="460" spans="1:19" x14ac:dyDescent="0.2">
      <c r="A460" s="2">
        <f t="shared" si="8"/>
        <v>486</v>
      </c>
      <c r="D460" t="s">
        <v>492</v>
      </c>
    </row>
    <row r="461" spans="1:19" x14ac:dyDescent="0.2">
      <c r="D461" t="s">
        <v>1004</v>
      </c>
    </row>
    <row r="462" spans="1:19" x14ac:dyDescent="0.2">
      <c r="A462" s="2">
        <f>A460+1</f>
        <v>487</v>
      </c>
      <c r="D462" t="s">
        <v>493</v>
      </c>
    </row>
    <row r="463" spans="1:19" x14ac:dyDescent="0.2">
      <c r="A463" s="4">
        <f t="shared" si="8"/>
        <v>488</v>
      </c>
      <c r="B463" s="4"/>
      <c r="C463" s="4"/>
      <c r="D463" s="3" t="s">
        <v>494</v>
      </c>
    </row>
    <row r="464" spans="1:19" x14ac:dyDescent="0.2">
      <c r="A464" s="2">
        <v>500</v>
      </c>
      <c r="B464" s="2">
        <v>489</v>
      </c>
      <c r="C464" s="2">
        <v>6</v>
      </c>
      <c r="D464" t="s">
        <v>495</v>
      </c>
      <c r="E464" t="s">
        <v>565</v>
      </c>
      <c r="F464" s="2">
        <v>50000</v>
      </c>
      <c r="G464" s="2">
        <v>4827</v>
      </c>
      <c r="M464" s="1">
        <v>4827</v>
      </c>
      <c r="N464" s="1">
        <v>4797</v>
      </c>
      <c r="Q464" s="19">
        <v>0.21180555555555555</v>
      </c>
      <c r="R464" s="8">
        <f>(5+(5/60))*N464</f>
        <v>24384.75</v>
      </c>
      <c r="S464">
        <v>2000</v>
      </c>
    </row>
    <row r="465" spans="1:6" x14ac:dyDescent="0.2">
      <c r="A465" s="2">
        <v>490</v>
      </c>
      <c r="D465" t="s">
        <v>496</v>
      </c>
    </row>
    <row r="466" spans="1:6" x14ac:dyDescent="0.2">
      <c r="A466" s="4">
        <f t="shared" si="8"/>
        <v>491</v>
      </c>
      <c r="B466" s="4"/>
      <c r="C466" s="4"/>
      <c r="D466" s="3" t="s">
        <v>497</v>
      </c>
    </row>
    <row r="467" spans="1:6" x14ac:dyDescent="0.2">
      <c r="A467" s="2">
        <f t="shared" si="8"/>
        <v>492</v>
      </c>
      <c r="D467" t="s">
        <v>499</v>
      </c>
    </row>
    <row r="468" spans="1:6" x14ac:dyDescent="0.2">
      <c r="A468" s="4">
        <f t="shared" si="8"/>
        <v>493</v>
      </c>
      <c r="B468" s="4"/>
      <c r="C468" s="4"/>
      <c r="D468" t="s">
        <v>500</v>
      </c>
    </row>
    <row r="469" spans="1:6" x14ac:dyDescent="0.2">
      <c r="A469" s="2">
        <f t="shared" si="8"/>
        <v>494</v>
      </c>
      <c r="D469" t="s">
        <v>501</v>
      </c>
    </row>
    <row r="470" spans="1:6" x14ac:dyDescent="0.2">
      <c r="A470" s="2">
        <f t="shared" si="8"/>
        <v>495</v>
      </c>
      <c r="D470" t="s">
        <v>503</v>
      </c>
    </row>
    <row r="471" spans="1:6" x14ac:dyDescent="0.2">
      <c r="A471" s="2">
        <f t="shared" si="8"/>
        <v>496</v>
      </c>
      <c r="D471" t="s">
        <v>504</v>
      </c>
    </row>
    <row r="472" spans="1:6" x14ac:dyDescent="0.2">
      <c r="A472" s="2">
        <f t="shared" si="8"/>
        <v>497</v>
      </c>
      <c r="D472" t="s">
        <v>505</v>
      </c>
    </row>
    <row r="473" spans="1:6" x14ac:dyDescent="0.2">
      <c r="A473" s="2">
        <f t="shared" si="8"/>
        <v>498</v>
      </c>
      <c r="D473" t="s">
        <v>506</v>
      </c>
    </row>
    <row r="474" spans="1:6" x14ac:dyDescent="0.2">
      <c r="A474" s="2">
        <f t="shared" si="8"/>
        <v>499</v>
      </c>
      <c r="D474" t="s">
        <v>507</v>
      </c>
      <c r="E474" t="s">
        <v>6</v>
      </c>
      <c r="F474" s="2">
        <v>265</v>
      </c>
    </row>
    <row r="475" spans="1:6" x14ac:dyDescent="0.2">
      <c r="A475" s="2">
        <f t="shared" si="8"/>
        <v>500</v>
      </c>
      <c r="D475" t="s">
        <v>508</v>
      </c>
    </row>
    <row r="476" spans="1:6" x14ac:dyDescent="0.2">
      <c r="A476" s="2">
        <f t="shared" si="8"/>
        <v>501</v>
      </c>
      <c r="D476" t="s">
        <v>509</v>
      </c>
    </row>
    <row r="477" spans="1:6" x14ac:dyDescent="0.2">
      <c r="A477" s="2">
        <f t="shared" si="8"/>
        <v>502</v>
      </c>
      <c r="D477" t="s">
        <v>510</v>
      </c>
    </row>
    <row r="478" spans="1:6" x14ac:dyDescent="0.2">
      <c r="A478" s="2">
        <f t="shared" si="8"/>
        <v>503</v>
      </c>
      <c r="D478" t="s">
        <v>511</v>
      </c>
    </row>
    <row r="479" spans="1:6" x14ac:dyDescent="0.2">
      <c r="A479" s="2">
        <f t="shared" si="8"/>
        <v>504</v>
      </c>
      <c r="D479" t="s">
        <v>512</v>
      </c>
    </row>
    <row r="480" spans="1:6" x14ac:dyDescent="0.2">
      <c r="A480" s="2">
        <f t="shared" si="8"/>
        <v>505</v>
      </c>
      <c r="D480" t="s">
        <v>513</v>
      </c>
      <c r="E480" t="s">
        <v>9</v>
      </c>
    </row>
    <row r="481" spans="1:17" x14ac:dyDescent="0.2">
      <c r="A481" s="2">
        <v>469</v>
      </c>
      <c r="D481" t="s">
        <v>647</v>
      </c>
      <c r="G481" s="2">
        <v>22.95</v>
      </c>
    </row>
    <row r="482" spans="1:17" x14ac:dyDescent="0.2">
      <c r="A482" s="2">
        <f>A480+1</f>
        <v>506</v>
      </c>
      <c r="D482" t="s">
        <v>514</v>
      </c>
    </row>
    <row r="483" spans="1:17" x14ac:dyDescent="0.2">
      <c r="A483" s="2">
        <f t="shared" si="8"/>
        <v>507</v>
      </c>
      <c r="D483" t="s">
        <v>515</v>
      </c>
    </row>
    <row r="484" spans="1:17" x14ac:dyDescent="0.2">
      <c r="A484" s="2">
        <f t="shared" si="8"/>
        <v>508</v>
      </c>
      <c r="D484" t="s">
        <v>516</v>
      </c>
      <c r="E484" t="s">
        <v>566</v>
      </c>
    </row>
    <row r="485" spans="1:17" x14ac:dyDescent="0.2">
      <c r="A485" s="2">
        <f t="shared" si="8"/>
        <v>509</v>
      </c>
      <c r="D485" s="3" t="s">
        <v>517</v>
      </c>
    </row>
    <row r="486" spans="1:17" x14ac:dyDescent="0.2">
      <c r="A486" s="2">
        <f t="shared" si="8"/>
        <v>510</v>
      </c>
      <c r="D486" t="s">
        <v>518</v>
      </c>
    </row>
    <row r="487" spans="1:17" x14ac:dyDescent="0.2">
      <c r="A487" s="2">
        <v>489</v>
      </c>
      <c r="D487" t="s">
        <v>623</v>
      </c>
      <c r="E487" t="s">
        <v>622</v>
      </c>
      <c r="G487" s="2">
        <v>23.18</v>
      </c>
    </row>
    <row r="488" spans="1:17" x14ac:dyDescent="0.2">
      <c r="A488" s="2">
        <v>517</v>
      </c>
      <c r="D488" t="s">
        <v>588</v>
      </c>
      <c r="E488" t="s">
        <v>625</v>
      </c>
      <c r="G488" s="2">
        <v>32.01</v>
      </c>
    </row>
    <row r="489" spans="1:17" x14ac:dyDescent="0.2">
      <c r="A489" s="2">
        <v>524</v>
      </c>
      <c r="B489" s="2">
        <v>233</v>
      </c>
      <c r="C489" s="2">
        <v>233</v>
      </c>
      <c r="D489" t="s">
        <v>1066</v>
      </c>
      <c r="G489" s="15">
        <v>142.30000000000001</v>
      </c>
      <c r="J489" s="15"/>
      <c r="M489" s="1">
        <v>142.30000000000001</v>
      </c>
      <c r="Q489" s="19">
        <v>0.22013888888888888</v>
      </c>
    </row>
    <row r="490" spans="1:17" x14ac:dyDescent="0.2">
      <c r="A490" s="2">
        <v>537</v>
      </c>
      <c r="D490" t="s">
        <v>602</v>
      </c>
      <c r="E490" t="s">
        <v>624</v>
      </c>
      <c r="G490" s="2">
        <v>19.38</v>
      </c>
    </row>
    <row r="491" spans="1:17" x14ac:dyDescent="0.2">
      <c r="A491" s="2">
        <v>557</v>
      </c>
      <c r="D491" t="s">
        <v>648</v>
      </c>
      <c r="G491" s="2">
        <v>23.29</v>
      </c>
    </row>
    <row r="492" spans="1:17" x14ac:dyDescent="0.2">
      <c r="A492" s="2">
        <v>573</v>
      </c>
      <c r="B492" s="2">
        <v>573</v>
      </c>
      <c r="C492" s="2">
        <v>447</v>
      </c>
      <c r="D492" t="s">
        <v>1124</v>
      </c>
      <c r="G492" s="15">
        <v>77.900000000000006</v>
      </c>
      <c r="J492" s="15"/>
      <c r="M492" s="1">
        <v>77.900000000000006</v>
      </c>
      <c r="Q492" s="22">
        <v>0.51597222222222217</v>
      </c>
    </row>
    <row r="493" spans="1:17" x14ac:dyDescent="0.2">
      <c r="A493" s="2">
        <v>587</v>
      </c>
      <c r="D493" t="s">
        <v>618</v>
      </c>
      <c r="G493" s="2">
        <v>48.41</v>
      </c>
    </row>
    <row r="494" spans="1:17" x14ac:dyDescent="0.2">
      <c r="A494" s="2">
        <v>599</v>
      </c>
      <c r="B494" s="2">
        <v>599</v>
      </c>
      <c r="C494" s="2">
        <v>255</v>
      </c>
      <c r="D494" t="s">
        <v>943</v>
      </c>
      <c r="E494" t="s">
        <v>547</v>
      </c>
      <c r="G494" s="15">
        <v>75.209999999999994</v>
      </c>
      <c r="J494" s="15"/>
      <c r="M494" s="1">
        <v>75.209999999999994</v>
      </c>
      <c r="Q494" s="19">
        <v>0.62847222222222221</v>
      </c>
    </row>
    <row r="495" spans="1:17" x14ac:dyDescent="0.2">
      <c r="D495" t="s">
        <v>1005</v>
      </c>
    </row>
    <row r="496" spans="1:17" x14ac:dyDescent="0.2">
      <c r="D496" t="s">
        <v>1006</v>
      </c>
    </row>
    <row r="497" spans="1:17" x14ac:dyDescent="0.2">
      <c r="A497" s="2">
        <v>601</v>
      </c>
      <c r="D497" t="s">
        <v>719</v>
      </c>
      <c r="E497" t="s">
        <v>720</v>
      </c>
      <c r="F497" s="2">
        <v>10000</v>
      </c>
      <c r="G497" s="2">
        <v>16.29</v>
      </c>
    </row>
    <row r="498" spans="1:17" x14ac:dyDescent="0.2">
      <c r="A498" s="2">
        <v>625</v>
      </c>
      <c r="D498" t="s">
        <v>632</v>
      </c>
      <c r="G498" s="2">
        <v>19.7</v>
      </c>
    </row>
    <row r="499" spans="1:17" x14ac:dyDescent="0.2">
      <c r="A499" s="2">
        <v>668</v>
      </c>
      <c r="D499" t="s">
        <v>663</v>
      </c>
      <c r="G499" s="2">
        <v>18.46</v>
      </c>
    </row>
    <row r="500" spans="1:17" x14ac:dyDescent="0.2">
      <c r="D500" t="s">
        <v>842</v>
      </c>
    </row>
    <row r="501" spans="1:17" x14ac:dyDescent="0.2">
      <c r="D501" t="s">
        <v>843</v>
      </c>
    </row>
    <row r="502" spans="1:17" x14ac:dyDescent="0.2">
      <c r="D502" t="s">
        <v>844</v>
      </c>
    </row>
    <row r="503" spans="1:17" x14ac:dyDescent="0.2">
      <c r="A503" s="2">
        <v>691</v>
      </c>
      <c r="D503" t="s">
        <v>593</v>
      </c>
      <c r="G503" s="2">
        <v>24.11</v>
      </c>
    </row>
    <row r="504" spans="1:17" x14ac:dyDescent="0.2">
      <c r="A504" s="2">
        <v>707</v>
      </c>
      <c r="D504" t="s">
        <v>599</v>
      </c>
      <c r="G504" s="2">
        <v>149</v>
      </c>
    </row>
    <row r="505" spans="1:17" x14ac:dyDescent="0.2">
      <c r="A505" s="2">
        <v>720</v>
      </c>
      <c r="D505" t="s">
        <v>628</v>
      </c>
      <c r="G505" s="2">
        <v>126.9</v>
      </c>
    </row>
    <row r="506" spans="1:17" x14ac:dyDescent="0.2">
      <c r="A506" s="2">
        <v>729</v>
      </c>
      <c r="D506" t="s">
        <v>626</v>
      </c>
      <c r="G506" s="2">
        <v>18.29</v>
      </c>
    </row>
    <row r="507" spans="1:17" x14ac:dyDescent="0.2">
      <c r="A507" s="2">
        <v>737</v>
      </c>
      <c r="D507" t="s">
        <v>661</v>
      </c>
      <c r="G507" s="2">
        <v>28.83</v>
      </c>
    </row>
    <row r="508" spans="1:17" x14ac:dyDescent="0.2">
      <c r="A508" s="2">
        <v>745</v>
      </c>
      <c r="D508" t="s">
        <v>585</v>
      </c>
      <c r="E508" t="s">
        <v>6</v>
      </c>
      <c r="G508" s="2">
        <v>21.86</v>
      </c>
    </row>
    <row r="509" spans="1:17" x14ac:dyDescent="0.2">
      <c r="A509" s="2">
        <v>739</v>
      </c>
      <c r="B509" s="2">
        <v>784</v>
      </c>
      <c r="C509" s="2">
        <v>1883</v>
      </c>
      <c r="D509" t="s">
        <v>662</v>
      </c>
      <c r="E509" t="s">
        <v>780</v>
      </c>
      <c r="F509" s="2">
        <v>750000</v>
      </c>
      <c r="G509" s="2">
        <v>22.08</v>
      </c>
      <c r="M509" s="1">
        <v>20.48</v>
      </c>
      <c r="Q509" s="19">
        <v>0.15694444444444444</v>
      </c>
    </row>
    <row r="510" spans="1:17" x14ac:dyDescent="0.2">
      <c r="A510" s="2">
        <v>804</v>
      </c>
      <c r="D510" t="s">
        <v>621</v>
      </c>
      <c r="E510" t="s">
        <v>622</v>
      </c>
      <c r="G510" s="2">
        <v>87.23</v>
      </c>
    </row>
    <row r="511" spans="1:17" x14ac:dyDescent="0.2">
      <c r="A511" s="2">
        <v>852</v>
      </c>
      <c r="D511" t="s">
        <v>572</v>
      </c>
      <c r="E511" t="s">
        <v>6</v>
      </c>
      <c r="F511" s="2">
        <v>3000</v>
      </c>
    </row>
    <row r="512" spans="1:17" x14ac:dyDescent="0.2">
      <c r="A512" s="2">
        <v>855</v>
      </c>
      <c r="D512" t="s">
        <v>660</v>
      </c>
      <c r="G512" s="2">
        <v>18.73</v>
      </c>
    </row>
    <row r="513" spans="1:17" x14ac:dyDescent="0.2">
      <c r="A513" s="2">
        <v>903</v>
      </c>
      <c r="D513" t="s">
        <v>645</v>
      </c>
      <c r="G513" s="2">
        <v>22.7</v>
      </c>
    </row>
    <row r="514" spans="1:17" x14ac:dyDescent="0.2">
      <c r="A514" s="2">
        <v>928</v>
      </c>
      <c r="B514" s="2">
        <v>928</v>
      </c>
      <c r="C514" s="2">
        <v>545</v>
      </c>
      <c r="D514" t="s">
        <v>1164</v>
      </c>
      <c r="G514" s="15">
        <v>84.84</v>
      </c>
      <c r="J514" s="15"/>
      <c r="M514" s="1">
        <v>84.84</v>
      </c>
      <c r="Q514" s="19">
        <v>0.1423611111111111</v>
      </c>
    </row>
    <row r="515" spans="1:17" x14ac:dyDescent="0.2">
      <c r="A515" s="2">
        <v>946</v>
      </c>
      <c r="D515" t="s">
        <v>644</v>
      </c>
      <c r="G515" s="2">
        <v>14.63</v>
      </c>
    </row>
    <row r="516" spans="1:17" x14ac:dyDescent="0.2">
      <c r="A516" s="2">
        <v>955</v>
      </c>
      <c r="B516" s="2">
        <v>955</v>
      </c>
      <c r="C516" s="2">
        <v>1069</v>
      </c>
      <c r="D516" t="s">
        <v>1183</v>
      </c>
      <c r="G516" s="15">
        <v>31.03</v>
      </c>
      <c r="J516" s="15"/>
      <c r="M516" s="14">
        <v>31.03</v>
      </c>
      <c r="Q516" s="22">
        <v>0.33124999999999999</v>
      </c>
    </row>
    <row r="517" spans="1:17" x14ac:dyDescent="0.2">
      <c r="A517" s="2">
        <v>1004</v>
      </c>
      <c r="D517" t="s">
        <v>581</v>
      </c>
      <c r="G517" s="2">
        <v>32</v>
      </c>
    </row>
    <row r="518" spans="1:17" x14ac:dyDescent="0.2">
      <c r="A518" s="2">
        <v>1017</v>
      </c>
      <c r="D518" t="s">
        <v>666</v>
      </c>
      <c r="G518" s="2">
        <v>18.64</v>
      </c>
    </row>
    <row r="519" spans="1:17" x14ac:dyDescent="0.2">
      <c r="A519" s="2">
        <v>1018</v>
      </c>
      <c r="B519" s="2">
        <v>1018</v>
      </c>
      <c r="C519" s="2">
        <v>1418</v>
      </c>
      <c r="D519" t="s">
        <v>1085</v>
      </c>
      <c r="G519" s="15">
        <v>36.590000000000003</v>
      </c>
      <c r="J519" s="15"/>
      <c r="M519" s="1">
        <v>36.590000000000003</v>
      </c>
      <c r="Q519" s="19">
        <v>0.37777777777777777</v>
      </c>
    </row>
    <row r="520" spans="1:17" x14ac:dyDescent="0.2">
      <c r="A520" s="2">
        <v>1020</v>
      </c>
      <c r="D520" t="s">
        <v>576</v>
      </c>
      <c r="G520" s="2">
        <v>18.77</v>
      </c>
      <c r="H520" s="15">
        <v>0.52566199999999996</v>
      </c>
      <c r="I520" s="16">
        <v>0.42083700000000002</v>
      </c>
      <c r="J520" s="2">
        <v>9.3979999999999997</v>
      </c>
      <c r="Q520" s="20" t="s">
        <v>755</v>
      </c>
    </row>
    <row r="521" spans="1:17" x14ac:dyDescent="0.2">
      <c r="A521" s="2">
        <v>1057</v>
      </c>
      <c r="D521" t="s">
        <v>619</v>
      </c>
      <c r="G521" s="2">
        <v>37.200000000000003</v>
      </c>
    </row>
    <row r="522" spans="1:17" x14ac:dyDescent="0.2">
      <c r="D522" t="s">
        <v>1195</v>
      </c>
    </row>
    <row r="523" spans="1:17" x14ac:dyDescent="0.2">
      <c r="A523" s="2">
        <v>1058</v>
      </c>
      <c r="D523" t="s">
        <v>728</v>
      </c>
      <c r="G523" s="2">
        <v>18.8</v>
      </c>
    </row>
    <row r="524" spans="1:17" x14ac:dyDescent="0.2">
      <c r="A524" s="2">
        <v>1063</v>
      </c>
      <c r="D524" t="s">
        <v>654</v>
      </c>
      <c r="G524" s="2">
        <v>19.68</v>
      </c>
    </row>
    <row r="525" spans="1:17" x14ac:dyDescent="0.2">
      <c r="A525" s="2">
        <v>1066</v>
      </c>
      <c r="B525" s="2">
        <v>1066</v>
      </c>
      <c r="C525" s="2">
        <v>191</v>
      </c>
      <c r="D525" t="s">
        <v>1065</v>
      </c>
      <c r="G525" s="15">
        <v>192.4</v>
      </c>
      <c r="J525" s="15"/>
      <c r="M525" s="15">
        <v>192.4</v>
      </c>
      <c r="Q525" s="19">
        <v>0.17500000000000002</v>
      </c>
    </row>
    <row r="526" spans="1:17" x14ac:dyDescent="0.2">
      <c r="A526" s="2">
        <v>1069</v>
      </c>
      <c r="D526" t="s">
        <v>726</v>
      </c>
      <c r="G526" s="2">
        <v>22.74</v>
      </c>
      <c r="H526" s="15">
        <v>0.74942299999999995</v>
      </c>
      <c r="I526" s="16">
        <v>0.68430000000000002</v>
      </c>
      <c r="J526" s="2">
        <v>16.010000000000002</v>
      </c>
      <c r="Q526" s="19">
        <v>4.5833333333333337E-2</v>
      </c>
    </row>
    <row r="527" spans="1:17" x14ac:dyDescent="0.2">
      <c r="A527" s="2">
        <v>1125</v>
      </c>
      <c r="D527" t="s">
        <v>721</v>
      </c>
      <c r="G527" s="2">
        <v>38.51</v>
      </c>
    </row>
    <row r="528" spans="1:17" x14ac:dyDescent="0.2">
      <c r="A528" s="2">
        <v>1146</v>
      </c>
      <c r="B528" s="2">
        <v>1146</v>
      </c>
      <c r="C528" s="2">
        <v>819</v>
      </c>
      <c r="D528" t="s">
        <v>1097</v>
      </c>
      <c r="G528" s="15">
        <v>55.55</v>
      </c>
      <c r="J528" s="15"/>
      <c r="M528" s="15">
        <v>55.55</v>
      </c>
      <c r="Q528" s="19">
        <v>0.15902777777777777</v>
      </c>
    </row>
    <row r="529" spans="1:17" x14ac:dyDescent="0.2">
      <c r="D529" t="s">
        <v>1205</v>
      </c>
      <c r="G529" s="15"/>
      <c r="J529" s="15"/>
      <c r="M529" s="15"/>
      <c r="Q529" s="19"/>
    </row>
    <row r="530" spans="1:17" x14ac:dyDescent="0.2">
      <c r="D530" t="s">
        <v>1206</v>
      </c>
      <c r="G530" s="15"/>
      <c r="J530" s="15"/>
      <c r="M530" s="15"/>
      <c r="Q530" s="19"/>
    </row>
    <row r="531" spans="1:17" x14ac:dyDescent="0.2">
      <c r="A531" s="2">
        <v>1172</v>
      </c>
      <c r="D531" t="s">
        <v>814</v>
      </c>
      <c r="G531" s="2">
        <v>19.43</v>
      </c>
      <c r="M531" s="1">
        <v>19.43</v>
      </c>
      <c r="Q531" s="46" t="s">
        <v>815</v>
      </c>
    </row>
    <row r="532" spans="1:17" x14ac:dyDescent="0.2">
      <c r="D532" t="s">
        <v>1188</v>
      </c>
      <c r="Q532" s="46"/>
    </row>
    <row r="533" spans="1:17" x14ac:dyDescent="0.2">
      <c r="A533" s="2">
        <v>1180</v>
      </c>
      <c r="D533" t="s">
        <v>668</v>
      </c>
      <c r="G533" s="2">
        <v>19.940000000000001</v>
      </c>
    </row>
    <row r="534" spans="1:17" x14ac:dyDescent="0.2">
      <c r="A534" s="2">
        <v>1213</v>
      </c>
      <c r="B534" s="2">
        <v>1213</v>
      </c>
      <c r="C534" s="2">
        <v>1574</v>
      </c>
      <c r="D534" t="s">
        <v>1157</v>
      </c>
      <c r="G534" s="15">
        <v>46.71</v>
      </c>
      <c r="J534" s="15"/>
      <c r="M534" s="15">
        <v>46.71</v>
      </c>
      <c r="Q534" s="19">
        <v>5.0694444444444452E-2</v>
      </c>
    </row>
    <row r="535" spans="1:17" x14ac:dyDescent="0.2">
      <c r="A535" s="2">
        <v>1256</v>
      </c>
      <c r="D535" t="s">
        <v>577</v>
      </c>
      <c r="G535" s="2">
        <v>97.66</v>
      </c>
    </row>
    <row r="536" spans="1:17" x14ac:dyDescent="0.2">
      <c r="A536" s="2">
        <v>1285</v>
      </c>
      <c r="B536" s="2">
        <v>2140</v>
      </c>
      <c r="C536" s="2">
        <v>2140</v>
      </c>
      <c r="D536" t="s">
        <v>1152</v>
      </c>
      <c r="G536" s="15">
        <v>32.049999999999997</v>
      </c>
      <c r="J536" s="15"/>
      <c r="M536" s="1">
        <v>32.049999999999997</v>
      </c>
      <c r="Q536" s="19">
        <v>0.11944444444444445</v>
      </c>
    </row>
    <row r="537" spans="1:17" x14ac:dyDescent="0.2">
      <c r="A537" s="2">
        <v>1315</v>
      </c>
      <c r="D537" t="s">
        <v>729</v>
      </c>
      <c r="G537" s="2">
        <v>23.57</v>
      </c>
    </row>
    <row r="538" spans="1:17" x14ac:dyDescent="0.2">
      <c r="A538" s="2">
        <v>1334</v>
      </c>
      <c r="D538" t="s">
        <v>651</v>
      </c>
      <c r="G538" s="2">
        <v>15.56</v>
      </c>
    </row>
    <row r="539" spans="1:17" x14ac:dyDescent="0.2">
      <c r="A539" s="2">
        <v>1353</v>
      </c>
      <c r="D539" t="s">
        <v>667</v>
      </c>
      <c r="G539" s="2">
        <v>24.04</v>
      </c>
    </row>
    <row r="540" spans="1:17" x14ac:dyDescent="0.2">
      <c r="A540" s="2">
        <v>1369</v>
      </c>
      <c r="D540" t="s">
        <v>659</v>
      </c>
      <c r="G540" s="2">
        <v>19.04</v>
      </c>
    </row>
    <row r="541" spans="1:17" x14ac:dyDescent="0.2">
      <c r="A541" s="2">
        <v>1385</v>
      </c>
      <c r="D541" t="s">
        <v>733</v>
      </c>
      <c r="G541" s="2">
        <v>28.49</v>
      </c>
    </row>
    <row r="542" spans="1:17" x14ac:dyDescent="0.2">
      <c r="D542" t="s">
        <v>1125</v>
      </c>
    </row>
    <row r="543" spans="1:17" x14ac:dyDescent="0.2">
      <c r="A543" s="2">
        <v>1413</v>
      </c>
      <c r="D543" t="s">
        <v>673</v>
      </c>
      <c r="E543" t="s">
        <v>5</v>
      </c>
      <c r="G543" s="2">
        <v>11.14</v>
      </c>
    </row>
    <row r="544" spans="1:17" x14ac:dyDescent="0.2">
      <c r="A544" s="2">
        <v>1442</v>
      </c>
      <c r="D544" t="s">
        <v>650</v>
      </c>
      <c r="G544" s="2">
        <v>15.9</v>
      </c>
    </row>
    <row r="545" spans="1:17" x14ac:dyDescent="0.2">
      <c r="A545" s="2">
        <v>1448</v>
      </c>
      <c r="D545" t="s">
        <v>731</v>
      </c>
      <c r="G545" s="2">
        <v>7.6420000000000003</v>
      </c>
    </row>
    <row r="546" spans="1:17" x14ac:dyDescent="0.2">
      <c r="D546" t="s">
        <v>972</v>
      </c>
    </row>
    <row r="547" spans="1:17" x14ac:dyDescent="0.2">
      <c r="A547" s="2">
        <v>1452</v>
      </c>
      <c r="D547" t="s">
        <v>656</v>
      </c>
      <c r="G547" s="2">
        <v>9.1170000000000009</v>
      </c>
    </row>
    <row r="548" spans="1:17" s="3" customFormat="1" x14ac:dyDescent="0.2">
      <c r="A548" s="4">
        <v>1472</v>
      </c>
      <c r="B548" s="4"/>
      <c r="C548" s="4"/>
      <c r="D548" s="3" t="s">
        <v>571</v>
      </c>
      <c r="F548" s="4"/>
      <c r="G548" s="4"/>
      <c r="H548" s="16"/>
      <c r="I548" s="16"/>
      <c r="J548" s="4"/>
      <c r="K548" s="9"/>
      <c r="L548" s="9"/>
      <c r="M548" s="9"/>
      <c r="N548" s="9"/>
      <c r="O548" s="9"/>
    </row>
    <row r="549" spans="1:17" x14ac:dyDescent="0.2">
      <c r="A549" s="2">
        <v>1370</v>
      </c>
      <c r="D549" t="s">
        <v>590</v>
      </c>
      <c r="E549" t="s">
        <v>6</v>
      </c>
      <c r="G549" s="2">
        <v>20.04</v>
      </c>
      <c r="H549" s="15">
        <v>0.67822000000000005</v>
      </c>
      <c r="I549" s="16">
        <v>0.599553</v>
      </c>
      <c r="J549" s="2">
        <v>8.0830000000000002</v>
      </c>
      <c r="Q549" s="20" t="s">
        <v>754</v>
      </c>
    </row>
    <row r="550" spans="1:17" x14ac:dyDescent="0.2">
      <c r="A550" s="2">
        <v>1551</v>
      </c>
      <c r="D550" t="s">
        <v>631</v>
      </c>
      <c r="G550" s="2">
        <v>11.8</v>
      </c>
    </row>
    <row r="551" spans="1:17" x14ac:dyDescent="0.2">
      <c r="A551" s="2">
        <v>1572</v>
      </c>
      <c r="B551" s="2">
        <v>1572</v>
      </c>
      <c r="C551" s="2">
        <v>1023</v>
      </c>
      <c r="D551" t="s">
        <v>1074</v>
      </c>
      <c r="G551" s="2">
        <v>48.22</v>
      </c>
      <c r="M551" s="1">
        <v>48.22</v>
      </c>
      <c r="Q551" s="19">
        <v>0.25625000000000003</v>
      </c>
    </row>
    <row r="552" spans="1:17" x14ac:dyDescent="0.2">
      <c r="A552" s="2">
        <v>1609</v>
      </c>
      <c r="D552" t="s">
        <v>646</v>
      </c>
      <c r="G552" s="2">
        <v>14.72</v>
      </c>
    </row>
    <row r="553" spans="1:17" x14ac:dyDescent="0.2">
      <c r="A553" s="2">
        <v>1611</v>
      </c>
      <c r="D553" t="s">
        <v>669</v>
      </c>
      <c r="G553" s="2">
        <v>14.64</v>
      </c>
    </row>
    <row r="554" spans="1:17" x14ac:dyDescent="0.2">
      <c r="A554" s="2">
        <v>1633</v>
      </c>
      <c r="D554" t="s">
        <v>756</v>
      </c>
      <c r="G554" s="2">
        <v>10.41</v>
      </c>
      <c r="H554" s="15">
        <v>0.38325799999999999</v>
      </c>
      <c r="I554" s="16">
        <v>0.36001499999999997</v>
      </c>
      <c r="J554" s="2">
        <v>8.4350000000000005</v>
      </c>
      <c r="Q554" s="19">
        <v>9.1666666666666674E-2</v>
      </c>
    </row>
    <row r="555" spans="1:17" x14ac:dyDescent="0.2">
      <c r="A555" s="2">
        <v>1652</v>
      </c>
      <c r="D555" t="s">
        <v>629</v>
      </c>
      <c r="G555" s="2">
        <v>17.239999999999998</v>
      </c>
    </row>
    <row r="556" spans="1:17" x14ac:dyDescent="0.2">
      <c r="A556" s="2">
        <v>1655</v>
      </c>
      <c r="D556" t="s">
        <v>649</v>
      </c>
      <c r="G556" s="2">
        <v>28.27</v>
      </c>
    </row>
    <row r="557" spans="1:17" x14ac:dyDescent="0.2">
      <c r="A557" s="2">
        <v>1669</v>
      </c>
      <c r="D557" t="s">
        <v>643</v>
      </c>
      <c r="G557" s="2">
        <v>52</v>
      </c>
    </row>
    <row r="558" spans="1:17" x14ac:dyDescent="0.2">
      <c r="A558" s="2">
        <v>1727</v>
      </c>
      <c r="D558" t="s">
        <v>734</v>
      </c>
      <c r="G558" s="2">
        <v>21.92</v>
      </c>
    </row>
    <row r="559" spans="1:17" x14ac:dyDescent="0.2">
      <c r="A559" s="2">
        <v>1761</v>
      </c>
      <c r="B559" s="2">
        <v>1761</v>
      </c>
      <c r="C559" s="2">
        <v>8299</v>
      </c>
      <c r="D559" t="s">
        <v>1108</v>
      </c>
      <c r="G559" s="15">
        <v>8.484</v>
      </c>
      <c r="J559" s="15"/>
      <c r="M559" s="1">
        <v>8.484</v>
      </c>
      <c r="Q559" s="22">
        <v>9.2361111111111116E-2</v>
      </c>
    </row>
    <row r="560" spans="1:17" x14ac:dyDescent="0.2">
      <c r="A560" s="2">
        <v>1770</v>
      </c>
      <c r="B560" s="2">
        <v>1770</v>
      </c>
      <c r="C560" s="2">
        <v>4023</v>
      </c>
      <c r="D560" t="s">
        <v>1156</v>
      </c>
      <c r="G560" s="15">
        <v>16.22</v>
      </c>
      <c r="J560" s="15"/>
      <c r="M560" s="15">
        <v>16.22</v>
      </c>
      <c r="Q560" s="19">
        <v>0.10069444444444443</v>
      </c>
    </row>
    <row r="561" spans="1:17" x14ac:dyDescent="0.2">
      <c r="A561" s="2">
        <v>1804</v>
      </c>
      <c r="D561" t="s">
        <v>594</v>
      </c>
      <c r="G561" s="2">
        <v>6.01</v>
      </c>
    </row>
    <row r="562" spans="1:17" x14ac:dyDescent="0.2">
      <c r="A562" s="2">
        <v>1829</v>
      </c>
      <c r="D562" t="s">
        <v>620</v>
      </c>
      <c r="E562" t="s">
        <v>622</v>
      </c>
      <c r="G562" s="2">
        <v>14.19</v>
      </c>
    </row>
    <row r="563" spans="1:17" x14ac:dyDescent="0.2">
      <c r="A563" s="2">
        <v>1857</v>
      </c>
      <c r="D563" t="s">
        <v>845</v>
      </c>
      <c r="G563" s="2">
        <v>25.69</v>
      </c>
      <c r="M563" s="1">
        <v>25.69</v>
      </c>
      <c r="Q563" s="19">
        <v>0.28194444444444444</v>
      </c>
    </row>
    <row r="564" spans="1:17" s="3" customFormat="1" x14ac:dyDescent="0.2">
      <c r="A564" s="4">
        <v>1880</v>
      </c>
      <c r="B564" s="4"/>
      <c r="C564" s="4"/>
      <c r="D564" s="3" t="s">
        <v>672</v>
      </c>
      <c r="F564" s="4"/>
      <c r="G564" s="4">
        <v>13.54</v>
      </c>
      <c r="H564" s="16">
        <v>0.39598</v>
      </c>
      <c r="I564" s="16">
        <v>0.29293400000000003</v>
      </c>
      <c r="J564" s="4">
        <v>5.3620000000000001</v>
      </c>
      <c r="K564" s="9"/>
      <c r="L564" s="9"/>
      <c r="M564" s="9"/>
      <c r="N564" s="9"/>
      <c r="O564" s="9"/>
      <c r="Q564" s="21" t="s">
        <v>753</v>
      </c>
    </row>
    <row r="565" spans="1:17" x14ac:dyDescent="0.2">
      <c r="D565" t="s">
        <v>1100</v>
      </c>
    </row>
    <row r="566" spans="1:17" x14ac:dyDescent="0.2">
      <c r="D566" t="s">
        <v>1168</v>
      </c>
    </row>
    <row r="567" spans="1:17" x14ac:dyDescent="0.2">
      <c r="D567" t="s">
        <v>1139</v>
      </c>
    </row>
    <row r="568" spans="1:17" x14ac:dyDescent="0.2">
      <c r="D568" t="s">
        <v>1169</v>
      </c>
    </row>
    <row r="569" spans="1:17" x14ac:dyDescent="0.2">
      <c r="D569" t="s">
        <v>1101</v>
      </c>
    </row>
    <row r="570" spans="1:17" x14ac:dyDescent="0.2">
      <c r="A570" s="2">
        <v>1890</v>
      </c>
      <c r="D570" t="s">
        <v>597</v>
      </c>
      <c r="G570" s="2">
        <v>13.39</v>
      </c>
    </row>
    <row r="571" spans="1:17" x14ac:dyDescent="0.2">
      <c r="A571" s="2">
        <v>1901</v>
      </c>
      <c r="B571" s="2">
        <v>1901</v>
      </c>
      <c r="C571" s="2">
        <v>5065</v>
      </c>
      <c r="D571" t="s">
        <v>1143</v>
      </c>
      <c r="G571" s="14">
        <v>12.56</v>
      </c>
      <c r="M571" s="15">
        <v>12.56</v>
      </c>
      <c r="Q571" s="19">
        <v>0.14583333333333334</v>
      </c>
    </row>
    <row r="572" spans="1:17" x14ac:dyDescent="0.2">
      <c r="A572" s="2">
        <v>2015</v>
      </c>
      <c r="D572" t="s">
        <v>586</v>
      </c>
      <c r="G572" s="2">
        <v>10.199999999999999</v>
      </c>
    </row>
    <row r="573" spans="1:17" x14ac:dyDescent="0.2">
      <c r="A573" s="2">
        <v>2033</v>
      </c>
      <c r="B573" s="2">
        <v>2033</v>
      </c>
      <c r="C573" s="2">
        <v>1349</v>
      </c>
      <c r="D573" t="s">
        <v>1121</v>
      </c>
      <c r="G573" s="15">
        <v>47.59</v>
      </c>
      <c r="J573" s="15"/>
      <c r="M573" s="14">
        <v>47.59</v>
      </c>
      <c r="Q573" s="22">
        <v>7.1527777777777787E-2</v>
      </c>
    </row>
    <row r="574" spans="1:17" x14ac:dyDescent="0.2">
      <c r="D574" t="s">
        <v>1197</v>
      </c>
      <c r="G574" s="15"/>
      <c r="J574" s="15"/>
      <c r="M574" s="14"/>
      <c r="Q574" s="22"/>
    </row>
    <row r="575" spans="1:17" x14ac:dyDescent="0.2">
      <c r="A575" s="2">
        <v>2042</v>
      </c>
      <c r="D575" t="s">
        <v>652</v>
      </c>
      <c r="G575" s="2">
        <v>12.13</v>
      </c>
    </row>
    <row r="576" spans="1:17" x14ac:dyDescent="0.2">
      <c r="A576" s="2">
        <v>2070</v>
      </c>
      <c r="B576" s="2">
        <v>2070</v>
      </c>
      <c r="C576" s="2">
        <v>6054</v>
      </c>
      <c r="D576" t="s">
        <v>1142</v>
      </c>
      <c r="G576" s="2">
        <v>7.875</v>
      </c>
      <c r="M576" s="1">
        <v>7.875</v>
      </c>
      <c r="Q576" s="19">
        <v>0.13055555555555556</v>
      </c>
    </row>
    <row r="577" spans="1:17" x14ac:dyDescent="0.2">
      <c r="A577" s="2">
        <v>2079</v>
      </c>
      <c r="D577" t="s">
        <v>610</v>
      </c>
      <c r="G577" s="2">
        <v>12.233000000000001</v>
      </c>
    </row>
    <row r="578" spans="1:17" x14ac:dyDescent="0.2">
      <c r="D578" t="s">
        <v>750</v>
      </c>
      <c r="G578" s="2">
        <v>95.92</v>
      </c>
      <c r="H578" s="15">
        <v>2.9209999999999998</v>
      </c>
      <c r="I578" s="16">
        <v>2.2290000000000001</v>
      </c>
      <c r="J578" s="2">
        <v>35.29</v>
      </c>
    </row>
    <row r="579" spans="1:17" x14ac:dyDescent="0.2">
      <c r="A579" s="2">
        <v>2097</v>
      </c>
      <c r="B579" s="2">
        <v>2097</v>
      </c>
      <c r="C579" s="2">
        <v>1790</v>
      </c>
      <c r="D579" t="s">
        <v>781</v>
      </c>
      <c r="G579" s="2">
        <v>26.76</v>
      </c>
      <c r="M579" s="1">
        <v>26.76</v>
      </c>
      <c r="Q579" s="19">
        <v>0.15833333333333333</v>
      </c>
    </row>
    <row r="580" spans="1:17" x14ac:dyDescent="0.2">
      <c r="D580" t="s">
        <v>1158</v>
      </c>
      <c r="Q580" s="19"/>
    </row>
    <row r="581" spans="1:17" x14ac:dyDescent="0.2">
      <c r="D581" t="s">
        <v>1159</v>
      </c>
      <c r="Q581" s="19"/>
    </row>
    <row r="582" spans="1:17" x14ac:dyDescent="0.2">
      <c r="D582" t="s">
        <v>975</v>
      </c>
      <c r="Q582" s="19"/>
    </row>
    <row r="583" spans="1:17" x14ac:dyDescent="0.2">
      <c r="A583" s="2">
        <v>2104</v>
      </c>
      <c r="D583" t="s">
        <v>732</v>
      </c>
      <c r="G583" s="2">
        <v>12.04</v>
      </c>
      <c r="H583" s="15">
        <v>0.42155100000000001</v>
      </c>
      <c r="I583" s="16">
        <v>0.38603999999999999</v>
      </c>
      <c r="J583" s="2">
        <v>8.5220000000000002</v>
      </c>
      <c r="Q583" s="20" t="s">
        <v>752</v>
      </c>
    </row>
    <row r="584" spans="1:17" x14ac:dyDescent="0.2">
      <c r="A584" s="2">
        <v>2160</v>
      </c>
      <c r="D584" t="s">
        <v>762</v>
      </c>
      <c r="G584" s="2">
        <v>48.78</v>
      </c>
      <c r="H584" s="15">
        <v>1.589</v>
      </c>
      <c r="I584" s="16">
        <v>1.27</v>
      </c>
      <c r="J584" s="2">
        <v>24.1</v>
      </c>
      <c r="Q584" s="22">
        <v>0.16041666666666668</v>
      </c>
    </row>
    <row r="585" spans="1:17" x14ac:dyDescent="0.2">
      <c r="A585" s="2">
        <v>2201</v>
      </c>
      <c r="B585" s="2">
        <v>2201</v>
      </c>
      <c r="C585" s="2">
        <v>7629</v>
      </c>
      <c r="D585" t="s">
        <v>1009</v>
      </c>
      <c r="G585" s="15">
        <v>8.2710000000000008</v>
      </c>
      <c r="J585" s="15"/>
      <c r="M585" s="1">
        <v>8.2710000000000008</v>
      </c>
      <c r="Q585" s="19">
        <v>0.3576388888888889</v>
      </c>
    </row>
    <row r="586" spans="1:17" x14ac:dyDescent="0.2">
      <c r="A586" s="2">
        <v>2226</v>
      </c>
      <c r="D586" t="s">
        <v>605</v>
      </c>
      <c r="G586" s="2">
        <v>4.218</v>
      </c>
    </row>
    <row r="587" spans="1:17" x14ac:dyDescent="0.2">
      <c r="D587" t="s">
        <v>976</v>
      </c>
    </row>
    <row r="588" spans="1:17" x14ac:dyDescent="0.2">
      <c r="A588" s="2">
        <v>2236</v>
      </c>
      <c r="D588" t="s">
        <v>665</v>
      </c>
    </row>
    <row r="589" spans="1:17" x14ac:dyDescent="0.2">
      <c r="A589" s="2">
        <v>2300</v>
      </c>
      <c r="D589" t="s">
        <v>758</v>
      </c>
      <c r="G589" s="2">
        <v>10.84</v>
      </c>
      <c r="H589" s="15">
        <v>0.378438</v>
      </c>
      <c r="I589" s="16">
        <v>0.34661900000000001</v>
      </c>
      <c r="J589" s="2">
        <v>7.774</v>
      </c>
      <c r="Q589" s="19">
        <v>4.6527777777777779E-2</v>
      </c>
    </row>
    <row r="590" spans="1:17" x14ac:dyDescent="0.2">
      <c r="A590" s="2">
        <v>2349</v>
      </c>
      <c r="D590" t="s">
        <v>725</v>
      </c>
      <c r="G590" s="2">
        <v>13.03</v>
      </c>
    </row>
    <row r="591" spans="1:17" x14ac:dyDescent="0.2">
      <c r="A591" s="2">
        <v>2463</v>
      </c>
      <c r="D591" t="s">
        <v>675</v>
      </c>
      <c r="G591" s="2">
        <v>10.17</v>
      </c>
    </row>
    <row r="592" spans="1:17" x14ac:dyDescent="0.2">
      <c r="D592" t="s">
        <v>1023</v>
      </c>
    </row>
    <row r="593" spans="1:17" x14ac:dyDescent="0.2">
      <c r="D593" t="s">
        <v>1024</v>
      </c>
    </row>
    <row r="594" spans="1:17" x14ac:dyDescent="0.2">
      <c r="D594" t="s">
        <v>1025</v>
      </c>
    </row>
    <row r="595" spans="1:17" x14ac:dyDescent="0.2">
      <c r="A595" s="2">
        <v>2466</v>
      </c>
      <c r="D595" t="s">
        <v>760</v>
      </c>
      <c r="G595" s="2">
        <v>20.74</v>
      </c>
      <c r="H595" s="15">
        <v>0.66327000000000003</v>
      </c>
      <c r="I595" s="16">
        <v>0.315384</v>
      </c>
      <c r="J595" s="2">
        <v>4.5330000000000004</v>
      </c>
      <c r="Q595" s="19">
        <v>0.125</v>
      </c>
    </row>
    <row r="596" spans="1:17" x14ac:dyDescent="0.2">
      <c r="D596" t="s">
        <v>998</v>
      </c>
      <c r="Q596" s="19"/>
    </row>
    <row r="597" spans="1:17" x14ac:dyDescent="0.2">
      <c r="A597" s="2">
        <v>2543</v>
      </c>
      <c r="B597" s="2">
        <v>2543</v>
      </c>
      <c r="C597" s="2">
        <v>7900</v>
      </c>
      <c r="D597" t="s">
        <v>823</v>
      </c>
      <c r="G597" s="2">
        <v>6.0490000000000004</v>
      </c>
      <c r="M597" s="1">
        <v>6.0490000000000004</v>
      </c>
      <c r="Q597" s="19">
        <v>0.11319444444444444</v>
      </c>
    </row>
    <row r="598" spans="1:17" x14ac:dyDescent="0.2">
      <c r="A598" s="2">
        <v>2628</v>
      </c>
      <c r="D598" t="s">
        <v>573</v>
      </c>
      <c r="E598" t="s">
        <v>6</v>
      </c>
    </row>
    <row r="599" spans="1:17" x14ac:dyDescent="0.2">
      <c r="D599" t="s">
        <v>1189</v>
      </c>
    </row>
    <row r="600" spans="1:17" x14ac:dyDescent="0.2">
      <c r="A600" s="2">
        <v>2645</v>
      </c>
      <c r="B600" s="2">
        <v>3791</v>
      </c>
      <c r="C600" s="2">
        <v>9596</v>
      </c>
      <c r="D600" t="s">
        <v>759</v>
      </c>
      <c r="G600" s="2">
        <v>4.62</v>
      </c>
      <c r="H600" s="15">
        <v>0.17097499999999999</v>
      </c>
      <c r="I600" s="16">
        <v>0.159524</v>
      </c>
      <c r="J600" s="2">
        <v>3.391</v>
      </c>
      <c r="M600" s="1">
        <v>6.6059999999999999</v>
      </c>
      <c r="Q600" s="19">
        <v>5.5555555555555552E-2</v>
      </c>
    </row>
    <row r="601" spans="1:17" x14ac:dyDescent="0.2">
      <c r="A601" s="2">
        <v>2659</v>
      </c>
      <c r="B601" s="2">
        <v>2659</v>
      </c>
      <c r="C601" s="2">
        <v>5914</v>
      </c>
      <c r="D601" t="s">
        <v>1010</v>
      </c>
      <c r="G601" s="15">
        <v>8.8539999999999992</v>
      </c>
      <c r="J601" s="15"/>
      <c r="M601" s="1">
        <v>8.8539999999999992</v>
      </c>
      <c r="Q601" s="19">
        <v>0.22500000000000001</v>
      </c>
    </row>
    <row r="602" spans="1:17" x14ac:dyDescent="0.2">
      <c r="A602" s="2">
        <v>2689</v>
      </c>
      <c r="B602" s="2">
        <v>2689</v>
      </c>
      <c r="C602" s="2">
        <v>2212</v>
      </c>
      <c r="D602" t="s">
        <v>1075</v>
      </c>
      <c r="G602" s="15">
        <v>21.17</v>
      </c>
      <c r="J602" s="15"/>
      <c r="M602" s="1">
        <v>21.17</v>
      </c>
      <c r="Q602" s="19">
        <v>0.17916666666666667</v>
      </c>
    </row>
    <row r="603" spans="1:17" x14ac:dyDescent="0.2">
      <c r="D603" t="s">
        <v>1094</v>
      </c>
      <c r="G603" s="15"/>
      <c r="J603" s="15"/>
      <c r="Q603" s="19"/>
    </row>
    <row r="604" spans="1:17" x14ac:dyDescent="0.2">
      <c r="D604" t="s">
        <v>1095</v>
      </c>
      <c r="G604" s="15"/>
      <c r="J604" s="15"/>
      <c r="Q604" s="19"/>
    </row>
    <row r="605" spans="1:17" x14ac:dyDescent="0.2">
      <c r="A605" s="2">
        <v>2738</v>
      </c>
      <c r="D605" t="s">
        <v>664</v>
      </c>
      <c r="G605" s="2">
        <v>4.9560000000000004</v>
      </c>
    </row>
    <row r="606" spans="1:17" x14ac:dyDescent="0.2">
      <c r="D606" t="s">
        <v>1019</v>
      </c>
    </row>
    <row r="607" spans="1:17" x14ac:dyDescent="0.2">
      <c r="A607" s="2">
        <v>2821</v>
      </c>
      <c r="B607" s="2">
        <v>14058</v>
      </c>
      <c r="C607" s="2">
        <v>14058</v>
      </c>
      <c r="D607" t="s">
        <v>1080</v>
      </c>
      <c r="G607" s="15">
        <v>4.9009999999999998</v>
      </c>
      <c r="J607" s="15"/>
      <c r="M607" s="1">
        <v>4.9009999999999998</v>
      </c>
      <c r="Q607" s="19">
        <v>0.10277777777777779</v>
      </c>
    </row>
    <row r="608" spans="1:17" x14ac:dyDescent="0.2">
      <c r="A608" s="2">
        <v>2825</v>
      </c>
      <c r="B608" s="2">
        <v>2825</v>
      </c>
      <c r="C608" s="2">
        <v>1787</v>
      </c>
      <c r="D608" t="s">
        <v>1174</v>
      </c>
      <c r="G608" s="15">
        <v>29.52</v>
      </c>
      <c r="J608" s="15"/>
      <c r="M608" s="15">
        <v>29.52</v>
      </c>
      <c r="Q608" s="19">
        <v>0.13472222222222222</v>
      </c>
    </row>
    <row r="609" spans="1:17" x14ac:dyDescent="0.2">
      <c r="A609" s="2">
        <v>2843</v>
      </c>
      <c r="D609" t="s">
        <v>638</v>
      </c>
      <c r="G609" s="2">
        <v>16.63</v>
      </c>
    </row>
    <row r="610" spans="1:17" x14ac:dyDescent="0.2">
      <c r="A610" s="2">
        <v>2870</v>
      </c>
      <c r="D610" t="s">
        <v>657</v>
      </c>
      <c r="G610" s="2">
        <v>4.1989999999999998</v>
      </c>
    </row>
    <row r="611" spans="1:17" x14ac:dyDescent="0.2">
      <c r="A611" s="2">
        <v>2912</v>
      </c>
      <c r="D611" t="s">
        <v>614</v>
      </c>
      <c r="G611" s="2">
        <v>6.2709999999999999</v>
      </c>
    </row>
    <row r="612" spans="1:17" x14ac:dyDescent="0.2">
      <c r="A612" s="2">
        <v>2917</v>
      </c>
      <c r="B612" s="2">
        <v>5084</v>
      </c>
      <c r="C612" s="2">
        <v>10870</v>
      </c>
      <c r="D612" t="s">
        <v>639</v>
      </c>
      <c r="G612" s="14">
        <v>5.625</v>
      </c>
      <c r="H612" s="15">
        <v>0.152084</v>
      </c>
      <c r="I612" s="16">
        <v>0.14216699999999999</v>
      </c>
      <c r="J612" s="2">
        <v>4.2009999999999996</v>
      </c>
      <c r="M612" s="1">
        <v>7.2060000000000004</v>
      </c>
      <c r="Q612" s="19">
        <v>3.888888888888889E-2</v>
      </c>
    </row>
    <row r="613" spans="1:17" x14ac:dyDescent="0.2">
      <c r="A613" s="2">
        <v>2917</v>
      </c>
      <c r="D613" t="s">
        <v>670</v>
      </c>
    </row>
    <row r="614" spans="1:17" x14ac:dyDescent="0.2">
      <c r="A614" s="2">
        <v>2935</v>
      </c>
      <c r="D614" t="s">
        <v>827</v>
      </c>
      <c r="G614" s="2">
        <v>4.1040000000000001</v>
      </c>
      <c r="M614" s="1">
        <v>4.1040000000000001</v>
      </c>
      <c r="Q614" s="19">
        <v>0.13541666666666666</v>
      </c>
    </row>
    <row r="615" spans="1:17" x14ac:dyDescent="0.2">
      <c r="A615" s="2">
        <v>2960</v>
      </c>
      <c r="B615" s="2">
        <v>2960</v>
      </c>
      <c r="C615" s="2">
        <v>3699</v>
      </c>
      <c r="D615" t="s">
        <v>1103</v>
      </c>
      <c r="G615" s="15">
        <v>17.18</v>
      </c>
      <c r="J615" s="15"/>
      <c r="M615" s="15">
        <v>17.18</v>
      </c>
      <c r="Q615" s="19">
        <v>0.10555555555555556</v>
      </c>
    </row>
    <row r="616" spans="1:17" x14ac:dyDescent="0.2">
      <c r="A616" s="2">
        <v>3020</v>
      </c>
      <c r="B616" s="2">
        <v>3020</v>
      </c>
      <c r="C616" s="2">
        <v>2553</v>
      </c>
      <c r="D616" t="s">
        <v>1073</v>
      </c>
      <c r="G616" s="15">
        <v>21.35</v>
      </c>
      <c r="J616" s="15"/>
      <c r="M616" s="1">
        <v>21.35</v>
      </c>
      <c r="Q616" s="19">
        <v>0.12361111111111112</v>
      </c>
    </row>
    <row r="617" spans="1:17" x14ac:dyDescent="0.2">
      <c r="A617" s="2">
        <v>3024</v>
      </c>
      <c r="B617" s="2">
        <v>3024</v>
      </c>
      <c r="C617" s="2">
        <v>1585</v>
      </c>
      <c r="D617" t="s">
        <v>971</v>
      </c>
      <c r="G617" s="15">
        <v>42.88</v>
      </c>
      <c r="J617" s="15"/>
      <c r="M617" s="15">
        <v>42.88</v>
      </c>
      <c r="Q617" s="19">
        <v>0.17500000000000002</v>
      </c>
    </row>
    <row r="618" spans="1:17" x14ac:dyDescent="0.2">
      <c r="A618" s="2">
        <v>3031</v>
      </c>
      <c r="B618" s="2">
        <v>3031</v>
      </c>
      <c r="C618" s="2">
        <v>6297</v>
      </c>
      <c r="D618" t="s">
        <v>1166</v>
      </c>
      <c r="G618" s="15">
        <v>12.89</v>
      </c>
      <c r="J618" s="15"/>
      <c r="M618" s="1">
        <v>12.89</v>
      </c>
      <c r="Q618" s="19">
        <v>9.9999999999999992E-2</v>
      </c>
    </row>
    <row r="619" spans="1:17" x14ac:dyDescent="0.2">
      <c r="A619" s="2">
        <v>3042</v>
      </c>
      <c r="D619" t="s">
        <v>598</v>
      </c>
      <c r="G619" s="2">
        <v>9.9039999999999999</v>
      </c>
      <c r="H619" s="15">
        <v>0.295076</v>
      </c>
      <c r="I619" s="16">
        <v>0.23366999999999999</v>
      </c>
      <c r="J619" s="2">
        <v>4.6609999999999996</v>
      </c>
      <c r="Q619" s="20" t="s">
        <v>751</v>
      </c>
    </row>
    <row r="620" spans="1:17" x14ac:dyDescent="0.2">
      <c r="A620" s="2">
        <v>3107</v>
      </c>
      <c r="D620" t="s">
        <v>727</v>
      </c>
      <c r="G620" s="2">
        <v>10.51</v>
      </c>
    </row>
    <row r="621" spans="1:17" x14ac:dyDescent="0.2">
      <c r="A621" s="2">
        <v>3289</v>
      </c>
      <c r="B621" s="2">
        <v>3289</v>
      </c>
      <c r="C621" s="2">
        <v>1678</v>
      </c>
      <c r="D621" t="s">
        <v>1061</v>
      </c>
      <c r="G621" s="15">
        <v>31.26</v>
      </c>
      <c r="J621" s="15"/>
      <c r="M621" s="15">
        <v>31.26</v>
      </c>
      <c r="Q621" s="19">
        <v>0.21041666666666667</v>
      </c>
    </row>
    <row r="622" spans="1:17" x14ac:dyDescent="0.2">
      <c r="A622" s="2">
        <v>3330</v>
      </c>
      <c r="D622" t="s">
        <v>634</v>
      </c>
      <c r="G622" s="2">
        <v>15.97</v>
      </c>
    </row>
    <row r="623" spans="1:17" x14ac:dyDescent="0.2">
      <c r="A623" s="2">
        <v>3480</v>
      </c>
      <c r="B623" s="2">
        <v>3480</v>
      </c>
      <c r="C623" s="2">
        <v>845</v>
      </c>
      <c r="D623" t="s">
        <v>1064</v>
      </c>
      <c r="G623" s="2">
        <v>41.26</v>
      </c>
      <c r="M623" s="1">
        <v>41.26</v>
      </c>
      <c r="Q623" s="19">
        <v>0.3125</v>
      </c>
    </row>
    <row r="624" spans="1:17" x14ac:dyDescent="0.2">
      <c r="A624" s="2">
        <v>3528</v>
      </c>
      <c r="B624" s="2">
        <v>4091</v>
      </c>
      <c r="C624" s="2">
        <v>7786</v>
      </c>
      <c r="D624" t="s">
        <v>592</v>
      </c>
      <c r="G624" s="2">
        <v>6.3090000000000002</v>
      </c>
      <c r="M624" s="1">
        <v>6.64</v>
      </c>
      <c r="Q624" s="19">
        <v>0.15</v>
      </c>
    </row>
    <row r="625" spans="1:17" x14ac:dyDescent="0.2">
      <c r="A625" s="2">
        <v>3616</v>
      </c>
      <c r="D625" t="s">
        <v>653</v>
      </c>
      <c r="G625" s="2">
        <v>22.9</v>
      </c>
    </row>
    <row r="626" spans="1:17" x14ac:dyDescent="0.2">
      <c r="A626" s="2">
        <v>3637</v>
      </c>
      <c r="D626" t="s">
        <v>589</v>
      </c>
    </row>
    <row r="627" spans="1:17" x14ac:dyDescent="0.2">
      <c r="A627" s="2">
        <v>3647</v>
      </c>
      <c r="B627" s="2">
        <v>3647</v>
      </c>
      <c r="C627" s="2">
        <v>2672</v>
      </c>
      <c r="D627" t="s">
        <v>1182</v>
      </c>
      <c r="G627" s="15">
        <v>18.670000000000002</v>
      </c>
      <c r="I627" s="15"/>
      <c r="J627" s="15"/>
      <c r="M627" s="15">
        <v>18.670000000000002</v>
      </c>
      <c r="Q627" s="19">
        <v>0.1111111111111111</v>
      </c>
    </row>
    <row r="628" spans="1:17" x14ac:dyDescent="0.2">
      <c r="A628" s="2">
        <v>3716</v>
      </c>
      <c r="B628" s="2">
        <v>3716</v>
      </c>
      <c r="C628" s="2">
        <v>3362</v>
      </c>
      <c r="D628" t="s">
        <v>962</v>
      </c>
      <c r="G628" s="15">
        <v>15.57</v>
      </c>
      <c r="J628" s="15"/>
      <c r="M628" s="1">
        <v>15.57</v>
      </c>
      <c r="Q628" s="19">
        <v>0.12986111111111112</v>
      </c>
    </row>
    <row r="629" spans="1:17" x14ac:dyDescent="0.2">
      <c r="A629" s="2">
        <v>3747</v>
      </c>
      <c r="D629" t="s">
        <v>655</v>
      </c>
      <c r="G629" s="2">
        <v>5.5439999999999996</v>
      </c>
    </row>
    <row r="630" spans="1:17" x14ac:dyDescent="0.2">
      <c r="D630" t="s">
        <v>1068</v>
      </c>
    </row>
    <row r="631" spans="1:17" x14ac:dyDescent="0.2">
      <c r="A631" s="2">
        <v>3813</v>
      </c>
      <c r="B631" s="2">
        <v>3955</v>
      </c>
      <c r="C631" s="2">
        <v>2358</v>
      </c>
      <c r="D631" t="s">
        <v>613</v>
      </c>
      <c r="G631" s="2">
        <v>20.74</v>
      </c>
      <c r="M631" s="1">
        <v>20.74</v>
      </c>
      <c r="Q631" s="19">
        <v>0.17500000000000002</v>
      </c>
    </row>
    <row r="632" spans="1:17" x14ac:dyDescent="0.2">
      <c r="A632" s="2">
        <v>3876</v>
      </c>
      <c r="B632" s="2">
        <v>3876</v>
      </c>
      <c r="C632" s="2">
        <v>10805</v>
      </c>
      <c r="D632" t="s">
        <v>1011</v>
      </c>
      <c r="G632" s="15">
        <v>5.085</v>
      </c>
      <c r="J632" s="15"/>
      <c r="M632" s="1">
        <v>5.085</v>
      </c>
      <c r="Q632" s="19">
        <v>0.35902777777777778</v>
      </c>
    </row>
    <row r="633" spans="1:17" x14ac:dyDescent="0.2">
      <c r="A633" s="2">
        <v>4131</v>
      </c>
      <c r="B633" s="2">
        <v>4131</v>
      </c>
      <c r="C633" s="2">
        <v>2102</v>
      </c>
      <c r="D633" t="s">
        <v>1171</v>
      </c>
      <c r="G633" s="15">
        <v>19.2</v>
      </c>
      <c r="J633" s="15"/>
      <c r="M633" s="15">
        <v>19.2</v>
      </c>
      <c r="Q633" s="19">
        <v>0.38194444444444442</v>
      </c>
    </row>
    <row r="634" spans="1:17" x14ac:dyDescent="0.2">
      <c r="A634" s="2">
        <v>4194</v>
      </c>
      <c r="B634" s="2">
        <v>4194</v>
      </c>
      <c r="C634" s="2">
        <v>22404</v>
      </c>
      <c r="D634" t="s">
        <v>1203</v>
      </c>
      <c r="G634" s="15">
        <v>2.6480000000000001</v>
      </c>
      <c r="J634" s="15"/>
      <c r="M634" s="14">
        <v>2.6480000000000001</v>
      </c>
      <c r="Q634" s="22">
        <v>0.31736111111111115</v>
      </c>
    </row>
    <row r="635" spans="1:17" x14ac:dyDescent="0.2">
      <c r="A635" s="2">
        <v>4235</v>
      </c>
      <c r="B635" s="2">
        <v>4235</v>
      </c>
      <c r="C635" s="2">
        <v>22544</v>
      </c>
      <c r="D635" t="s">
        <v>1063</v>
      </c>
      <c r="G635" s="15">
        <v>2.645</v>
      </c>
      <c r="J635" s="15"/>
      <c r="M635" s="1">
        <v>2.645</v>
      </c>
      <c r="Q635" s="19">
        <v>0.31736111111111115</v>
      </c>
    </row>
    <row r="636" spans="1:17" x14ac:dyDescent="0.2">
      <c r="A636" s="2">
        <v>4266</v>
      </c>
      <c r="B636" s="2">
        <v>4266</v>
      </c>
      <c r="C636" s="2">
        <v>2400</v>
      </c>
      <c r="D636" t="s">
        <v>909</v>
      </c>
      <c r="G636" s="2">
        <v>21.07</v>
      </c>
      <c r="M636" s="1">
        <v>21.07</v>
      </c>
      <c r="Q636" s="19">
        <v>0.33333333333333331</v>
      </c>
    </row>
    <row r="637" spans="1:17" x14ac:dyDescent="0.2">
      <c r="A637" s="2">
        <v>4304</v>
      </c>
      <c r="B637" s="2">
        <v>4304</v>
      </c>
      <c r="C637" s="2">
        <v>12099</v>
      </c>
      <c r="D637" t="s">
        <v>1199</v>
      </c>
      <c r="G637" s="15">
        <v>7.0010000000000003</v>
      </c>
      <c r="J637" s="15"/>
      <c r="M637" s="1">
        <v>7.0010000000000003</v>
      </c>
      <c r="Q637" s="19">
        <v>3.6111111111111115E-2</v>
      </c>
    </row>
    <row r="638" spans="1:17" x14ac:dyDescent="0.2">
      <c r="A638" s="2">
        <v>4341</v>
      </c>
      <c r="B638" s="2">
        <v>4341</v>
      </c>
      <c r="C638" s="2">
        <v>14925</v>
      </c>
      <c r="D638" t="s">
        <v>867</v>
      </c>
      <c r="G638" s="15">
        <v>4.2469999999999999</v>
      </c>
      <c r="J638" s="15"/>
      <c r="M638" s="14">
        <v>4.2469999999999999</v>
      </c>
      <c r="Q638" s="22">
        <v>0.27152777777777776</v>
      </c>
    </row>
    <row r="639" spans="1:17" x14ac:dyDescent="0.2">
      <c r="A639" s="2">
        <v>4367</v>
      </c>
      <c r="B639" s="2">
        <v>4367</v>
      </c>
      <c r="C639" s="2">
        <v>3083</v>
      </c>
      <c r="D639" t="s">
        <v>1030</v>
      </c>
      <c r="G639" s="2">
        <v>11.35</v>
      </c>
      <c r="M639" s="1">
        <v>11.35</v>
      </c>
      <c r="Q639" s="19">
        <v>0.20277777777777781</v>
      </c>
    </row>
    <row r="640" spans="1:17" x14ac:dyDescent="0.2">
      <c r="A640" s="2">
        <v>4383</v>
      </c>
      <c r="B640" s="2">
        <v>4383</v>
      </c>
      <c r="C640" s="2">
        <v>5861</v>
      </c>
      <c r="D640" t="s">
        <v>1154</v>
      </c>
      <c r="G640" s="15">
        <v>13.09</v>
      </c>
      <c r="J640" s="15"/>
      <c r="M640" s="15">
        <v>13.09</v>
      </c>
      <c r="Q640" s="19">
        <v>0.10972222222222222</v>
      </c>
    </row>
    <row r="641" spans="1:17" x14ac:dyDescent="0.2">
      <c r="A641" s="2">
        <v>4464</v>
      </c>
      <c r="B641" s="2">
        <v>4464</v>
      </c>
      <c r="C641" s="2">
        <v>1649</v>
      </c>
      <c r="D641" t="s">
        <v>1054</v>
      </c>
      <c r="G641" s="15">
        <v>24.74</v>
      </c>
      <c r="J641" s="15"/>
      <c r="M641" s="15">
        <v>24.74</v>
      </c>
      <c r="Q641" s="19">
        <v>0.21944444444444444</v>
      </c>
    </row>
    <row r="642" spans="1:17" x14ac:dyDescent="0.2">
      <c r="A642" s="2">
        <v>4563</v>
      </c>
      <c r="B642" s="2">
        <v>4563</v>
      </c>
      <c r="C642" s="2">
        <v>3636</v>
      </c>
      <c r="D642" t="s">
        <v>1178</v>
      </c>
      <c r="G642" s="15">
        <v>22.43</v>
      </c>
      <c r="I642" s="15"/>
      <c r="J642" s="15"/>
      <c r="M642" s="15">
        <v>22.43</v>
      </c>
      <c r="Q642" s="19">
        <v>0.13333333333333333</v>
      </c>
    </row>
    <row r="643" spans="1:17" x14ac:dyDescent="0.2">
      <c r="A643" s="2">
        <v>4604</v>
      </c>
      <c r="B643" s="2">
        <v>4604</v>
      </c>
      <c r="C643" s="2">
        <v>3524</v>
      </c>
      <c r="D643" t="s">
        <v>1186</v>
      </c>
      <c r="G643" s="15">
        <v>19.38</v>
      </c>
      <c r="J643" s="15"/>
      <c r="M643" s="14">
        <v>19.38</v>
      </c>
      <c r="Q643" s="22">
        <v>9.6527777777777768E-2</v>
      </c>
    </row>
    <row r="644" spans="1:17" s="3" customFormat="1" x14ac:dyDescent="0.2">
      <c r="A644" s="4">
        <v>4732</v>
      </c>
      <c r="B644" s="4">
        <v>4732</v>
      </c>
      <c r="C644" s="4">
        <v>7767</v>
      </c>
      <c r="D644" s="3" t="s">
        <v>872</v>
      </c>
      <c r="F644" s="4"/>
      <c r="G644" s="16">
        <v>6.3339999999999996</v>
      </c>
      <c r="H644" s="16"/>
      <c r="I644" s="16"/>
      <c r="J644" s="16"/>
      <c r="K644" s="9"/>
      <c r="L644" s="9"/>
      <c r="M644" s="9">
        <v>6.3339999999999996</v>
      </c>
      <c r="N644" s="9"/>
      <c r="O644" s="9"/>
      <c r="Q644" s="23">
        <v>0.1361111111111111</v>
      </c>
    </row>
    <row r="645" spans="1:17" x14ac:dyDescent="0.2">
      <c r="A645" s="2">
        <v>4869</v>
      </c>
      <c r="B645" s="2">
        <v>5033</v>
      </c>
      <c r="C645" s="2">
        <v>12656</v>
      </c>
      <c r="D645" t="s">
        <v>637</v>
      </c>
      <c r="G645" s="2">
        <v>6.0430000000000001</v>
      </c>
      <c r="M645" s="1">
        <v>5.6760000000000002</v>
      </c>
      <c r="Q645" s="19">
        <v>5.0694444444444452E-2</v>
      </c>
    </row>
    <row r="646" spans="1:17" x14ac:dyDescent="0.2">
      <c r="A646" s="2">
        <v>5043</v>
      </c>
      <c r="B646" s="2">
        <v>4999</v>
      </c>
      <c r="C646" s="2">
        <v>13640</v>
      </c>
      <c r="D646" t="s">
        <v>630</v>
      </c>
      <c r="G646" s="2">
        <v>6.782</v>
      </c>
      <c r="M646" s="1">
        <v>5.8659999999999997</v>
      </c>
      <c r="Q646" s="19">
        <v>2.9861111111111113E-2</v>
      </c>
    </row>
    <row r="647" spans="1:17" x14ac:dyDescent="0.2">
      <c r="A647" s="2">
        <v>5070</v>
      </c>
      <c r="B647" s="2">
        <v>5070</v>
      </c>
      <c r="C647" s="2">
        <v>8828</v>
      </c>
      <c r="D647" t="s">
        <v>828</v>
      </c>
      <c r="G647" s="2">
        <v>4.9059999999999997</v>
      </c>
      <c r="M647" s="1">
        <v>4.9059999999999997</v>
      </c>
      <c r="Q647" s="19">
        <v>0.6</v>
      </c>
    </row>
    <row r="648" spans="1:17" x14ac:dyDescent="0.2">
      <c r="A648" s="2">
        <v>5080</v>
      </c>
      <c r="B648" s="2">
        <v>4009</v>
      </c>
      <c r="C648" s="2">
        <v>3988</v>
      </c>
      <c r="D648" t="s">
        <v>604</v>
      </c>
      <c r="G648" s="2">
        <v>15.7</v>
      </c>
      <c r="M648" s="1">
        <v>12.54</v>
      </c>
      <c r="Q648" s="19">
        <v>0.27916666666666667</v>
      </c>
    </row>
    <row r="649" spans="1:17" x14ac:dyDescent="0.2">
      <c r="A649" s="2">
        <v>5139</v>
      </c>
      <c r="B649" s="2">
        <v>5139</v>
      </c>
      <c r="C649" s="2">
        <v>3954</v>
      </c>
      <c r="D649" t="s">
        <v>1155</v>
      </c>
      <c r="G649" s="15">
        <v>17.43</v>
      </c>
      <c r="J649" s="15"/>
      <c r="M649" s="14">
        <v>17.43</v>
      </c>
      <c r="Q649" s="19">
        <v>0.14305555555555557</v>
      </c>
    </row>
    <row r="650" spans="1:17" x14ac:dyDescent="0.2">
      <c r="A650" s="2">
        <v>5150</v>
      </c>
      <c r="B650" s="2">
        <v>5998</v>
      </c>
      <c r="C650" s="2">
        <v>8821</v>
      </c>
      <c r="D650" t="s">
        <v>617</v>
      </c>
      <c r="G650" s="15">
        <v>5.8819999999999997</v>
      </c>
      <c r="J650" s="15"/>
      <c r="M650" s="1">
        <v>5.7850000000000001</v>
      </c>
      <c r="Q650" s="23">
        <v>0.15694444444444444</v>
      </c>
    </row>
    <row r="651" spans="1:17" x14ac:dyDescent="0.2">
      <c r="A651" s="2">
        <v>5189</v>
      </c>
      <c r="B651" s="2">
        <v>5074</v>
      </c>
      <c r="C651" s="2">
        <v>7105</v>
      </c>
      <c r="D651" t="s">
        <v>627</v>
      </c>
      <c r="G651" s="2">
        <v>14.71</v>
      </c>
      <c r="M651" s="1">
        <v>10.48</v>
      </c>
      <c r="Q651" s="19">
        <v>0.12569444444444444</v>
      </c>
    </row>
    <row r="652" spans="1:17" x14ac:dyDescent="0.2">
      <c r="A652" s="2">
        <v>5323</v>
      </c>
      <c r="B652" s="2">
        <v>4509</v>
      </c>
      <c r="C652" s="2">
        <v>12542</v>
      </c>
      <c r="D652" t="s">
        <v>587</v>
      </c>
      <c r="G652" s="2">
        <v>8.8710000000000004</v>
      </c>
      <c r="M652" s="1">
        <v>7.12</v>
      </c>
      <c r="Q652" s="19">
        <v>5.8333333333333327E-2</v>
      </c>
    </row>
    <row r="653" spans="1:17" x14ac:dyDescent="0.2">
      <c r="A653" s="2">
        <v>5425</v>
      </c>
      <c r="B653" s="2">
        <v>5425</v>
      </c>
      <c r="C653" s="2">
        <v>6465</v>
      </c>
      <c r="D653" t="s">
        <v>964</v>
      </c>
      <c r="G653" s="15">
        <v>7.3879999999999999</v>
      </c>
      <c r="J653" s="15"/>
      <c r="M653" s="1">
        <v>7.3879999999999999</v>
      </c>
      <c r="Q653" s="19">
        <v>0.14375000000000002</v>
      </c>
    </row>
    <row r="654" spans="1:17" x14ac:dyDescent="0.2">
      <c r="A654" s="2">
        <v>5463</v>
      </c>
      <c r="B654" s="2">
        <v>5463</v>
      </c>
      <c r="C654" s="2">
        <v>14432</v>
      </c>
      <c r="D654" t="s">
        <v>1196</v>
      </c>
      <c r="G654" s="15">
        <v>5.7910000000000004</v>
      </c>
      <c r="J654" s="15"/>
      <c r="M654" s="14">
        <v>5.7910000000000004</v>
      </c>
      <c r="Q654" s="22">
        <v>3.7499999999999999E-2</v>
      </c>
    </row>
    <row r="655" spans="1:17" x14ac:dyDescent="0.2">
      <c r="A655" s="2">
        <v>5510</v>
      </c>
      <c r="B655" s="2">
        <v>5510</v>
      </c>
      <c r="C655" s="2">
        <v>16922</v>
      </c>
      <c r="D655" t="s">
        <v>1078</v>
      </c>
      <c r="G655" s="15">
        <v>2.5379999999999998</v>
      </c>
      <c r="J655" s="15"/>
      <c r="M655" s="1">
        <v>2.5379999999999998</v>
      </c>
      <c r="Q655" s="22">
        <v>0.1451388888888889</v>
      </c>
    </row>
    <row r="656" spans="1:17" s="3" customFormat="1" x14ac:dyDescent="0.2">
      <c r="A656" s="4">
        <v>5604</v>
      </c>
      <c r="B656" s="4">
        <v>5604</v>
      </c>
      <c r="C656" s="4">
        <v>14177</v>
      </c>
      <c r="D656" s="3" t="s">
        <v>874</v>
      </c>
      <c r="F656" s="4"/>
      <c r="G656" s="16">
        <v>4.1509999999999998</v>
      </c>
      <c r="H656" s="16"/>
      <c r="I656" s="16"/>
      <c r="J656" s="16"/>
      <c r="K656" s="9"/>
      <c r="L656" s="9"/>
      <c r="M656" s="9">
        <v>4.1509999999999998</v>
      </c>
      <c r="N656" s="9"/>
      <c r="O656" s="9"/>
      <c r="Q656" s="23">
        <v>0.20416666666666669</v>
      </c>
    </row>
    <row r="657" spans="1:17" x14ac:dyDescent="0.2">
      <c r="A657" s="2">
        <v>5645</v>
      </c>
      <c r="B657" s="2">
        <v>5645</v>
      </c>
      <c r="C657" s="2">
        <v>1698</v>
      </c>
      <c r="D657" t="s">
        <v>966</v>
      </c>
      <c r="G657" s="15">
        <v>14.64</v>
      </c>
      <c r="J657" s="15"/>
      <c r="M657" s="14">
        <v>14.64</v>
      </c>
      <c r="Q657" s="19">
        <v>0.79166666666666663</v>
      </c>
    </row>
    <row r="658" spans="1:17" x14ac:dyDescent="0.2">
      <c r="A658" s="2">
        <v>5647</v>
      </c>
      <c r="B658" s="2">
        <v>5608</v>
      </c>
      <c r="C658" s="2">
        <v>6148</v>
      </c>
      <c r="D658" t="s">
        <v>941</v>
      </c>
      <c r="G658" s="48">
        <v>8.4960000000000004</v>
      </c>
      <c r="M658" s="1">
        <v>8.4960000000000004</v>
      </c>
      <c r="Q658" s="19">
        <v>0.23750000000000002</v>
      </c>
    </row>
    <row r="659" spans="1:17" x14ac:dyDescent="0.2">
      <c r="A659" s="2">
        <v>5703</v>
      </c>
      <c r="B659" s="2">
        <v>5703</v>
      </c>
      <c r="C659" s="2">
        <v>29203</v>
      </c>
      <c r="D659" t="s">
        <v>1116</v>
      </c>
      <c r="G659" s="15">
        <v>1.9330000000000001</v>
      </c>
      <c r="J659" s="15"/>
      <c r="M659" s="14">
        <v>1.9330000000000001</v>
      </c>
      <c r="Q659" s="22">
        <v>0.62361111111111112</v>
      </c>
    </row>
    <row r="660" spans="1:17" x14ac:dyDescent="0.2">
      <c r="A660" s="2">
        <v>5777</v>
      </c>
      <c r="B660" s="2">
        <v>5777</v>
      </c>
      <c r="C660" s="2">
        <v>9537</v>
      </c>
      <c r="D660" t="s">
        <v>1191</v>
      </c>
      <c r="G660" s="2">
        <v>5.5259999999999998</v>
      </c>
      <c r="M660" s="1">
        <v>5.5259999999999998</v>
      </c>
      <c r="Q660" s="19">
        <v>0.12291666666666667</v>
      </c>
    </row>
    <row r="661" spans="1:17" x14ac:dyDescent="0.2">
      <c r="A661" s="2">
        <v>5858</v>
      </c>
      <c r="B661" s="2">
        <v>5858</v>
      </c>
      <c r="C661" s="2">
        <v>17076</v>
      </c>
      <c r="D661" t="s">
        <v>1077</v>
      </c>
      <c r="G661" s="2">
        <v>4.8769999999999998</v>
      </c>
      <c r="M661" s="1">
        <v>4.8769999999999998</v>
      </c>
      <c r="Q661" s="19">
        <v>3.4722222222222224E-2</v>
      </c>
    </row>
    <row r="662" spans="1:17" x14ac:dyDescent="0.2">
      <c r="A662" s="2">
        <v>5999</v>
      </c>
      <c r="B662" s="2">
        <v>5999</v>
      </c>
      <c r="C662" s="2">
        <v>7110</v>
      </c>
      <c r="D662" t="s">
        <v>1190</v>
      </c>
      <c r="G662" s="15">
        <v>6.74</v>
      </c>
      <c r="J662" s="15"/>
      <c r="M662" s="1">
        <v>6.74</v>
      </c>
      <c r="Q662" s="19">
        <v>0.3430555555555555</v>
      </c>
    </row>
    <row r="663" spans="1:17" x14ac:dyDescent="0.2">
      <c r="A663" s="2">
        <v>6027</v>
      </c>
      <c r="B663" s="2">
        <v>7610</v>
      </c>
      <c r="C663" s="2">
        <v>24304</v>
      </c>
      <c r="D663" t="s">
        <v>674</v>
      </c>
      <c r="G663" s="15">
        <v>1.831</v>
      </c>
      <c r="J663" s="15"/>
      <c r="M663" s="15">
        <v>1.81</v>
      </c>
      <c r="Q663" s="19">
        <v>0.23750000000000002</v>
      </c>
    </row>
    <row r="664" spans="1:17" x14ac:dyDescent="0.2">
      <c r="A664" s="2">
        <v>6113</v>
      </c>
      <c r="B664" s="2">
        <v>6113</v>
      </c>
      <c r="C664" s="2">
        <v>8894</v>
      </c>
      <c r="D664" t="s">
        <v>1134</v>
      </c>
      <c r="G664" s="15">
        <v>6.1139999999999999</v>
      </c>
      <c r="J664" s="15"/>
      <c r="M664" s="1">
        <v>6.1139999999999999</v>
      </c>
      <c r="Q664" s="19">
        <v>0.17291666666666669</v>
      </c>
    </row>
    <row r="665" spans="1:17" x14ac:dyDescent="0.2">
      <c r="A665" s="2">
        <v>6141</v>
      </c>
      <c r="B665" s="2">
        <v>6141</v>
      </c>
      <c r="C665" s="2">
        <v>3411</v>
      </c>
      <c r="D665" t="s">
        <v>1034</v>
      </c>
      <c r="G665" s="15">
        <v>13.84</v>
      </c>
      <c r="J665" s="15"/>
      <c r="M665" s="1">
        <v>13.84</v>
      </c>
      <c r="Q665" s="19">
        <v>0.39861111111111108</v>
      </c>
    </row>
    <row r="666" spans="1:17" x14ac:dyDescent="0.2">
      <c r="A666" s="2">
        <v>6170</v>
      </c>
      <c r="B666" s="2">
        <v>6170</v>
      </c>
      <c r="C666" s="2">
        <v>11165</v>
      </c>
      <c r="D666" t="s">
        <v>783</v>
      </c>
      <c r="G666" s="15">
        <v>2.931</v>
      </c>
      <c r="J666" s="15"/>
      <c r="M666" s="1">
        <v>2.931</v>
      </c>
      <c r="Q666" s="23">
        <v>0.47291666666666665</v>
      </c>
    </row>
    <row r="667" spans="1:17" x14ac:dyDescent="0.2">
      <c r="A667" s="2">
        <v>6198</v>
      </c>
      <c r="B667" s="2">
        <v>6198</v>
      </c>
      <c r="C667" s="2">
        <v>2660</v>
      </c>
      <c r="D667" t="s">
        <v>1055</v>
      </c>
      <c r="G667" s="15">
        <v>16.399999999999999</v>
      </c>
      <c r="J667" s="15"/>
      <c r="M667" s="14">
        <v>16.399999999999999</v>
      </c>
      <c r="Q667" s="19">
        <v>0.14444444444444446</v>
      </c>
    </row>
    <row r="668" spans="1:17" x14ac:dyDescent="0.2">
      <c r="A668" s="4">
        <v>6256</v>
      </c>
      <c r="B668" s="4">
        <v>5820</v>
      </c>
      <c r="C668" s="4">
        <v>16594</v>
      </c>
      <c r="D668" s="3" t="s">
        <v>641</v>
      </c>
      <c r="F668" s="4"/>
      <c r="G668" s="16">
        <v>5.806</v>
      </c>
      <c r="H668" s="16">
        <v>0.17149500000000001</v>
      </c>
      <c r="I668" s="16">
        <v>0.15160899999999999</v>
      </c>
      <c r="J668" s="16">
        <v>3.6989999999999998</v>
      </c>
      <c r="K668" s="9"/>
      <c r="L668" s="9"/>
      <c r="M668" s="9">
        <v>4.806</v>
      </c>
      <c r="N668" s="9"/>
      <c r="O668" s="9"/>
      <c r="P668" s="3"/>
      <c r="Q668" s="19">
        <v>6.5972222222222224E-2</v>
      </c>
    </row>
    <row r="669" spans="1:17" x14ac:dyDescent="0.2">
      <c r="A669" s="2">
        <v>6257</v>
      </c>
      <c r="B669" s="2">
        <v>6257</v>
      </c>
      <c r="C669" s="2">
        <v>3809</v>
      </c>
      <c r="D669" t="s">
        <v>1098</v>
      </c>
      <c r="G669" s="15">
        <v>16.55</v>
      </c>
      <c r="J669" s="15"/>
      <c r="M669" s="15">
        <v>16.55</v>
      </c>
      <c r="Q669" s="19">
        <v>0.125</v>
      </c>
    </row>
    <row r="670" spans="1:17" x14ac:dyDescent="0.2">
      <c r="A670" s="2">
        <v>6404</v>
      </c>
      <c r="B670" s="2">
        <v>6404</v>
      </c>
      <c r="C670" s="2">
        <v>8888</v>
      </c>
      <c r="D670" t="s">
        <v>1031</v>
      </c>
      <c r="G670" s="15">
        <v>4.827</v>
      </c>
      <c r="J670" s="15"/>
      <c r="M670" s="1">
        <v>4.827</v>
      </c>
      <c r="Q670" s="22">
        <v>0.21527777777777779</v>
      </c>
    </row>
    <row r="671" spans="1:17" x14ac:dyDescent="0.2">
      <c r="A671" s="2">
        <v>6716</v>
      </c>
      <c r="B671" s="2">
        <v>6716</v>
      </c>
      <c r="C671" s="2">
        <v>24350</v>
      </c>
      <c r="D671" t="s">
        <v>1090</v>
      </c>
      <c r="G671" s="2">
        <v>2.6560000000000001</v>
      </c>
      <c r="M671" s="1">
        <v>2.6560000000000001</v>
      </c>
      <c r="Q671" s="19">
        <v>9.375E-2</v>
      </c>
    </row>
    <row r="672" spans="1:17" x14ac:dyDescent="0.2">
      <c r="A672" s="2">
        <v>6799</v>
      </c>
      <c r="B672" s="2">
        <v>5863</v>
      </c>
      <c r="C672" s="2">
        <v>29058</v>
      </c>
      <c r="D672" t="s">
        <v>757</v>
      </c>
      <c r="G672" s="15">
        <v>2.2930000000000001</v>
      </c>
      <c r="H672" s="15">
        <v>7.3075000000000001E-2</v>
      </c>
      <c r="I672" s="15">
        <v>6.7874000000000004E-2</v>
      </c>
      <c r="J672" s="15">
        <v>1.782</v>
      </c>
      <c r="M672" s="1">
        <v>1.8029999999999999</v>
      </c>
      <c r="Q672" s="19">
        <v>9.7222222222222224E-2</v>
      </c>
    </row>
    <row r="673" spans="1:17" x14ac:dyDescent="0.2">
      <c r="A673" s="2">
        <v>6895</v>
      </c>
      <c r="B673" s="2">
        <v>6895</v>
      </c>
      <c r="C673" s="2">
        <v>14286</v>
      </c>
      <c r="D673" t="s">
        <v>905</v>
      </c>
      <c r="G673" s="15">
        <v>3.855</v>
      </c>
      <c r="J673" s="15"/>
      <c r="M673" s="1">
        <v>3.855</v>
      </c>
      <c r="Q673" s="19">
        <v>0.26458333333333334</v>
      </c>
    </row>
    <row r="674" spans="1:17" x14ac:dyDescent="0.2">
      <c r="A674" s="2">
        <v>6896</v>
      </c>
      <c r="B674" s="2">
        <v>5508</v>
      </c>
      <c r="C674" s="2">
        <v>680</v>
      </c>
      <c r="D674" t="s">
        <v>578</v>
      </c>
      <c r="G674" s="14">
        <v>51.9</v>
      </c>
      <c r="M674" s="15">
        <v>51.9</v>
      </c>
      <c r="Q674" s="19">
        <v>0.38125000000000003</v>
      </c>
    </row>
    <row r="675" spans="1:17" x14ac:dyDescent="0.2">
      <c r="A675" s="2">
        <v>6912</v>
      </c>
      <c r="B675" s="2">
        <v>6912</v>
      </c>
      <c r="C675" s="2">
        <v>5253</v>
      </c>
      <c r="D675" t="s">
        <v>1138</v>
      </c>
      <c r="G675" s="15">
        <v>15.51</v>
      </c>
      <c r="J675" s="15"/>
      <c r="M675" s="15">
        <v>15.51</v>
      </c>
      <c r="Q675" s="22">
        <v>0.10555555555555556</v>
      </c>
    </row>
    <row r="676" spans="1:17" x14ac:dyDescent="0.2">
      <c r="A676" s="2">
        <v>7013</v>
      </c>
      <c r="B676" s="2">
        <v>7013</v>
      </c>
      <c r="C676" s="2">
        <v>1733</v>
      </c>
      <c r="D676" t="s">
        <v>1053</v>
      </c>
      <c r="G676" s="15">
        <v>34.51</v>
      </c>
      <c r="J676" s="15"/>
      <c r="M676" s="15">
        <v>34.51</v>
      </c>
      <c r="Q676" s="19">
        <v>0.18124999999999999</v>
      </c>
    </row>
    <row r="677" spans="1:17" x14ac:dyDescent="0.2">
      <c r="A677" s="2">
        <v>7021</v>
      </c>
      <c r="B677" s="2">
        <v>7021</v>
      </c>
      <c r="C677" s="2">
        <v>7754</v>
      </c>
      <c r="D677" t="s">
        <v>1032</v>
      </c>
      <c r="G677" s="15">
        <v>7.726</v>
      </c>
      <c r="J677" s="15"/>
      <c r="M677" s="1">
        <v>7.726</v>
      </c>
      <c r="Q677" s="19">
        <v>0.1451388888888889</v>
      </c>
    </row>
    <row r="678" spans="1:17" x14ac:dyDescent="0.2">
      <c r="A678" s="2">
        <v>7130</v>
      </c>
      <c r="B678" s="2">
        <v>7130</v>
      </c>
      <c r="C678" s="2">
        <v>8217</v>
      </c>
      <c r="D678" t="s">
        <v>907</v>
      </c>
      <c r="G678" s="15">
        <v>10.01</v>
      </c>
      <c r="J678" s="15"/>
      <c r="M678" s="1">
        <v>10.01</v>
      </c>
      <c r="Q678" s="19">
        <v>8.2638888888888887E-2</v>
      </c>
    </row>
    <row r="679" spans="1:17" x14ac:dyDescent="0.2">
      <c r="A679" s="2">
        <v>7153</v>
      </c>
      <c r="B679" s="2">
        <v>7588</v>
      </c>
      <c r="C679" s="2">
        <v>22279</v>
      </c>
      <c r="D679" t="s">
        <v>730</v>
      </c>
      <c r="G679" s="15">
        <v>2.4820000000000002</v>
      </c>
      <c r="J679" s="15"/>
      <c r="M679" s="1">
        <v>2.669</v>
      </c>
      <c r="Q679" s="19">
        <v>4.5833333333333337E-2</v>
      </c>
    </row>
    <row r="680" spans="1:17" x14ac:dyDescent="0.2">
      <c r="A680" s="2">
        <v>7210</v>
      </c>
      <c r="B680" s="2">
        <v>7210</v>
      </c>
      <c r="C680" s="2">
        <v>17590</v>
      </c>
      <c r="D680" t="s">
        <v>1141</v>
      </c>
      <c r="G680" s="2">
        <v>3.1070000000000002</v>
      </c>
      <c r="M680" s="1">
        <v>3.1070000000000002</v>
      </c>
      <c r="Q680" s="19">
        <v>0.12986111111111112</v>
      </c>
    </row>
    <row r="681" spans="1:17" x14ac:dyDescent="0.2">
      <c r="A681" s="2">
        <v>7228</v>
      </c>
      <c r="B681" s="2">
        <v>9935</v>
      </c>
      <c r="C681" s="2">
        <v>27896</v>
      </c>
      <c r="D681" t="s">
        <v>595</v>
      </c>
      <c r="G681" s="15">
        <v>2.5379999999999998</v>
      </c>
      <c r="J681" s="15"/>
      <c r="M681" s="1">
        <v>2.5379999999999998</v>
      </c>
      <c r="Q681" s="19">
        <v>6.1805555555555558E-2</v>
      </c>
    </row>
    <row r="682" spans="1:17" x14ac:dyDescent="0.2">
      <c r="A682" s="2">
        <v>7403</v>
      </c>
      <c r="B682" s="2">
        <v>8340</v>
      </c>
      <c r="C682" s="2">
        <v>9255</v>
      </c>
      <c r="D682" t="s">
        <v>761</v>
      </c>
      <c r="G682" s="15">
        <v>6.0629999999999997</v>
      </c>
      <c r="H682" s="15">
        <v>0.18499499999999999</v>
      </c>
      <c r="I682" s="16">
        <v>0.16447500000000001</v>
      </c>
      <c r="J682" s="15">
        <v>4.218</v>
      </c>
      <c r="M682" s="1">
        <v>6.0330000000000004</v>
      </c>
      <c r="Q682" s="19">
        <v>0.1111111111111111</v>
      </c>
    </row>
    <row r="683" spans="1:17" x14ac:dyDescent="0.2">
      <c r="A683" s="2">
        <v>7491</v>
      </c>
      <c r="B683" s="2">
        <v>7491</v>
      </c>
      <c r="C683" s="2">
        <v>5868</v>
      </c>
      <c r="D683" t="s">
        <v>1175</v>
      </c>
      <c r="G683" s="15">
        <v>12</v>
      </c>
      <c r="J683" s="15"/>
      <c r="M683" s="15">
        <v>12</v>
      </c>
      <c r="Q683" s="22">
        <v>0.13263888888888889</v>
      </c>
    </row>
    <row r="684" spans="1:17" x14ac:dyDescent="0.2">
      <c r="A684" s="2">
        <v>7562</v>
      </c>
      <c r="B684" s="2">
        <v>7562</v>
      </c>
      <c r="C684" s="2">
        <v>5647</v>
      </c>
      <c r="D684" t="s">
        <v>897</v>
      </c>
      <c r="G684" s="15">
        <v>7.4489999999999998</v>
      </c>
      <c r="J684" s="15"/>
      <c r="M684" s="1">
        <v>7.4489999999999998</v>
      </c>
      <c r="Q684" s="19">
        <v>0.3527777777777778</v>
      </c>
    </row>
    <row r="685" spans="1:17" x14ac:dyDescent="0.2">
      <c r="A685" s="2">
        <v>7642</v>
      </c>
      <c r="B685" s="2">
        <v>7642</v>
      </c>
      <c r="C685" s="2">
        <v>17012</v>
      </c>
      <c r="D685" t="s">
        <v>1176</v>
      </c>
      <c r="G685" s="15">
        <v>3.7810000000000001</v>
      </c>
      <c r="I685" s="15"/>
      <c r="J685" s="15"/>
      <c r="M685" s="1">
        <v>3.7810000000000001</v>
      </c>
      <c r="Q685" s="19">
        <v>0.10416666666666667</v>
      </c>
    </row>
    <row r="686" spans="1:17" x14ac:dyDescent="0.2">
      <c r="A686" s="2">
        <v>7661</v>
      </c>
      <c r="B686" s="2">
        <v>7661</v>
      </c>
      <c r="C686" s="2">
        <v>38552</v>
      </c>
      <c r="D686" t="s">
        <v>1057</v>
      </c>
      <c r="G686" s="15">
        <v>1.0660000000000001</v>
      </c>
      <c r="J686" s="15"/>
      <c r="M686" s="1">
        <v>1.0660000000000001</v>
      </c>
      <c r="Q686" s="19">
        <v>0.26527777777777778</v>
      </c>
    </row>
    <row r="687" spans="1:17" x14ac:dyDescent="0.2">
      <c r="A687" s="2">
        <v>7668</v>
      </c>
      <c r="B687" s="2">
        <v>6316</v>
      </c>
      <c r="C687" s="2">
        <v>7121</v>
      </c>
      <c r="D687" t="s">
        <v>763</v>
      </c>
      <c r="G687" s="15">
        <v>13.4</v>
      </c>
      <c r="H687" s="15">
        <v>0.42543599999999998</v>
      </c>
      <c r="I687" s="15">
        <v>0.29056500000000002</v>
      </c>
      <c r="J687" s="15">
        <v>4.6760000000000002</v>
      </c>
      <c r="M687" s="1">
        <v>10.65</v>
      </c>
      <c r="Q687" s="23">
        <v>0.11666666666666665</v>
      </c>
    </row>
    <row r="688" spans="1:17" x14ac:dyDescent="0.2">
      <c r="A688" s="2">
        <v>7671</v>
      </c>
      <c r="B688" s="2">
        <v>7671</v>
      </c>
      <c r="C688" s="2">
        <v>5150</v>
      </c>
      <c r="D688" t="s">
        <v>970</v>
      </c>
      <c r="G688" s="15">
        <v>8.8940000000000001</v>
      </c>
      <c r="J688" s="15"/>
      <c r="M688" s="1">
        <v>8.8940000000000001</v>
      </c>
      <c r="Q688" s="19">
        <v>0.3</v>
      </c>
    </row>
    <row r="689" spans="1:17" x14ac:dyDescent="0.2">
      <c r="A689" s="2">
        <v>7745</v>
      </c>
      <c r="B689" s="2">
        <v>6758</v>
      </c>
      <c r="C689" s="2">
        <v>10668</v>
      </c>
      <c r="D689" t="s">
        <v>658</v>
      </c>
      <c r="G689" s="15">
        <v>7.0739999999999998</v>
      </c>
      <c r="J689" s="15"/>
      <c r="M689" s="1">
        <v>7.0739999999999998</v>
      </c>
      <c r="Q689" s="19">
        <v>8.0555555555555561E-2</v>
      </c>
    </row>
    <row r="690" spans="1:17" x14ac:dyDescent="0.2">
      <c r="A690" s="2">
        <v>7846</v>
      </c>
      <c r="B690" s="2">
        <v>7846</v>
      </c>
      <c r="C690" s="2">
        <v>41002</v>
      </c>
      <c r="D690" t="s">
        <v>1091</v>
      </c>
      <c r="G690" s="15">
        <v>1.605</v>
      </c>
      <c r="J690" s="15"/>
      <c r="M690" s="1">
        <v>1.605</v>
      </c>
      <c r="Q690" s="19">
        <v>6.25E-2</v>
      </c>
    </row>
    <row r="691" spans="1:17" x14ac:dyDescent="0.2">
      <c r="A691" s="2">
        <v>7980</v>
      </c>
      <c r="B691" s="2">
        <v>7980</v>
      </c>
      <c r="C691" s="2">
        <v>2123</v>
      </c>
      <c r="D691" t="s">
        <v>1150</v>
      </c>
      <c r="G691" s="15">
        <v>23.6</v>
      </c>
      <c r="J691" s="15"/>
      <c r="M691" s="15">
        <v>23.6</v>
      </c>
      <c r="Q691" s="19">
        <v>0.15347222222222223</v>
      </c>
    </row>
    <row r="692" spans="1:17" s="3" customFormat="1" x14ac:dyDescent="0.2">
      <c r="A692" s="2">
        <v>8028</v>
      </c>
      <c r="B692" s="2">
        <v>6614</v>
      </c>
      <c r="C692" s="2">
        <v>26838</v>
      </c>
      <c r="D692" t="s">
        <v>635</v>
      </c>
      <c r="E692"/>
      <c r="F692" s="2"/>
      <c r="G692" s="15">
        <v>3.1070000000000002</v>
      </c>
      <c r="H692" s="15"/>
      <c r="I692" s="16"/>
      <c r="J692" s="15"/>
      <c r="K692" s="1"/>
      <c r="L692" s="1"/>
      <c r="M692" s="1">
        <v>2.766</v>
      </c>
      <c r="N692" s="1"/>
      <c r="O692" s="1"/>
      <c r="P692"/>
      <c r="Q692" s="19">
        <v>9.3055555555555558E-2</v>
      </c>
    </row>
    <row r="693" spans="1:17" x14ac:dyDescent="0.2">
      <c r="A693" s="2">
        <v>8366</v>
      </c>
      <c r="B693" s="2">
        <v>9194</v>
      </c>
      <c r="C693" s="2">
        <v>35031</v>
      </c>
      <c r="D693" t="s">
        <v>579</v>
      </c>
      <c r="G693" s="15">
        <v>2.3620000000000001</v>
      </c>
      <c r="H693" s="15">
        <v>7.4180999999999997E-2</v>
      </c>
      <c r="I693" s="16">
        <v>6.5727999999999995E-2</v>
      </c>
      <c r="J693" s="15">
        <v>1.6220000000000001</v>
      </c>
      <c r="M693" s="1">
        <v>2.3490000000000002</v>
      </c>
      <c r="Q693" s="20" t="s">
        <v>749</v>
      </c>
    </row>
    <row r="694" spans="1:17" x14ac:dyDescent="0.2">
      <c r="A694" s="2">
        <v>8582</v>
      </c>
      <c r="B694" s="2">
        <v>8582</v>
      </c>
      <c r="C694" s="2">
        <v>38849</v>
      </c>
      <c r="D694" t="s">
        <v>1147</v>
      </c>
      <c r="G694" s="15">
        <v>1.966</v>
      </c>
      <c r="J694" s="15"/>
      <c r="M694" s="1">
        <v>1.966</v>
      </c>
      <c r="Q694" s="19">
        <v>5.4166666666666669E-2</v>
      </c>
    </row>
    <row r="695" spans="1:17" x14ac:dyDescent="0.2">
      <c r="A695" s="2">
        <v>8631</v>
      </c>
      <c r="B695" s="2">
        <v>8978</v>
      </c>
      <c r="C695" s="2">
        <v>31315</v>
      </c>
      <c r="D695" t="s">
        <v>833</v>
      </c>
      <c r="G695" s="15">
        <v>2.2080000000000002</v>
      </c>
      <c r="J695" s="15"/>
      <c r="M695" s="1">
        <v>2.246</v>
      </c>
      <c r="Q695" s="19">
        <v>7.2222222222222229E-2</v>
      </c>
    </row>
    <row r="696" spans="1:17" x14ac:dyDescent="0.2">
      <c r="A696" s="2">
        <v>8669</v>
      </c>
      <c r="B696" s="2">
        <v>8669</v>
      </c>
      <c r="C696" s="2">
        <v>14637</v>
      </c>
      <c r="D696" t="s">
        <v>1127</v>
      </c>
      <c r="G696" s="15">
        <v>3.3119999999999998</v>
      </c>
      <c r="J696" s="15"/>
      <c r="M696" s="1">
        <v>3.3119999999999998</v>
      </c>
      <c r="Q696" s="19">
        <v>0.22291666666666665</v>
      </c>
    </row>
    <row r="697" spans="1:17" x14ac:dyDescent="0.2">
      <c r="A697" s="2">
        <v>8767</v>
      </c>
      <c r="B697" s="2">
        <v>8767</v>
      </c>
      <c r="C697" s="2">
        <v>3343</v>
      </c>
      <c r="D697" t="s">
        <v>1179</v>
      </c>
      <c r="G697" s="2">
        <v>17.809999999999999</v>
      </c>
      <c r="M697" s="1">
        <v>17.809999999999999</v>
      </c>
      <c r="Q697" s="19">
        <v>0.23819444444444446</v>
      </c>
    </row>
    <row r="698" spans="1:17" x14ac:dyDescent="0.2">
      <c r="A698" s="2">
        <v>8783</v>
      </c>
      <c r="B698" s="2">
        <v>8783</v>
      </c>
      <c r="C698" s="2">
        <v>11452</v>
      </c>
      <c r="D698" t="s">
        <v>944</v>
      </c>
      <c r="G698" s="15">
        <v>5.3419999999999996</v>
      </c>
      <c r="J698" s="15"/>
      <c r="M698" s="1">
        <v>5.3419999999999996</v>
      </c>
      <c r="Q698" s="19">
        <v>0.10833333333333334</v>
      </c>
    </row>
    <row r="699" spans="1:17" x14ac:dyDescent="0.2">
      <c r="A699" s="2">
        <v>8940</v>
      </c>
      <c r="B699" s="2">
        <v>7649</v>
      </c>
      <c r="C699" s="2">
        <v>19229</v>
      </c>
      <c r="D699" t="s">
        <v>764</v>
      </c>
      <c r="G699" s="15">
        <v>4.5880000000000001</v>
      </c>
      <c r="H699" s="15">
        <v>0.14110700000000001</v>
      </c>
      <c r="I699" s="16">
        <v>0.123987</v>
      </c>
      <c r="J699" s="15">
        <v>2.968</v>
      </c>
      <c r="M699" s="1">
        <v>3.51</v>
      </c>
      <c r="Q699" s="19">
        <v>8.3333333333333329E-2</v>
      </c>
    </row>
    <row r="700" spans="1:17" x14ac:dyDescent="0.2">
      <c r="A700" s="2">
        <v>9065</v>
      </c>
      <c r="B700" s="2">
        <v>9065</v>
      </c>
      <c r="C700" s="2">
        <v>6336</v>
      </c>
      <c r="D700" t="s">
        <v>1192</v>
      </c>
      <c r="G700" s="15">
        <v>9.0410000000000004</v>
      </c>
      <c r="J700" s="15"/>
      <c r="M700" s="14">
        <v>9.0410000000000004</v>
      </c>
      <c r="Q700" s="22">
        <v>0.13749999999999998</v>
      </c>
    </row>
    <row r="701" spans="1:17" x14ac:dyDescent="0.2">
      <c r="A701" s="2">
        <v>9109</v>
      </c>
      <c r="B701" s="2">
        <v>9045</v>
      </c>
      <c r="C701" s="2">
        <v>41148</v>
      </c>
      <c r="D701" t="s">
        <v>611</v>
      </c>
      <c r="G701" s="15">
        <v>2.012</v>
      </c>
      <c r="J701" s="15"/>
      <c r="M701" s="1">
        <v>1.841</v>
      </c>
      <c r="Q701" s="19">
        <v>5.9722222222222225E-2</v>
      </c>
    </row>
    <row r="702" spans="1:17" x14ac:dyDescent="0.2">
      <c r="A702" s="2">
        <v>9617</v>
      </c>
      <c r="B702" s="2">
        <v>9617</v>
      </c>
      <c r="C702" s="2">
        <v>6386</v>
      </c>
      <c r="D702" t="s">
        <v>1201</v>
      </c>
      <c r="G702" s="15">
        <v>4.4560000000000004</v>
      </c>
      <c r="J702" s="15"/>
      <c r="M702" s="14">
        <v>4.4560000000000004</v>
      </c>
      <c r="Q702" s="22">
        <v>0.3527777777777778</v>
      </c>
    </row>
    <row r="703" spans="1:17" x14ac:dyDescent="0.2">
      <c r="A703" s="2">
        <v>9665</v>
      </c>
      <c r="B703" s="2">
        <v>9665</v>
      </c>
      <c r="C703" s="2">
        <v>24725</v>
      </c>
      <c r="D703" t="s">
        <v>1170</v>
      </c>
      <c r="G703" s="15">
        <v>3.206</v>
      </c>
      <c r="J703" s="15"/>
      <c r="M703" s="1">
        <v>3.206</v>
      </c>
      <c r="Q703" s="19">
        <v>3.1944444444444449E-2</v>
      </c>
    </row>
    <row r="704" spans="1:17" x14ac:dyDescent="0.2">
      <c r="A704" s="2">
        <v>9816</v>
      </c>
      <c r="B704" s="2">
        <v>9816</v>
      </c>
      <c r="C704" s="2">
        <v>9102</v>
      </c>
      <c r="D704" t="s">
        <v>1162</v>
      </c>
      <c r="G704" s="15">
        <v>6.2169999999999996</v>
      </c>
      <c r="J704" s="15"/>
      <c r="M704" s="1">
        <v>6.2169999999999996</v>
      </c>
      <c r="Q704" s="19">
        <v>0.18333333333333335</v>
      </c>
    </row>
    <row r="705" spans="1:17" x14ac:dyDescent="0.2">
      <c r="A705" s="2">
        <v>10295</v>
      </c>
      <c r="B705" s="2">
        <v>10295</v>
      </c>
      <c r="C705" s="2">
        <v>21176</v>
      </c>
      <c r="D705" t="s">
        <v>1008</v>
      </c>
      <c r="G705" s="15">
        <v>2.5070000000000001</v>
      </c>
      <c r="J705" s="15"/>
      <c r="M705" s="1">
        <v>2.5070000000000001</v>
      </c>
      <c r="Q705" s="19">
        <v>0.27291666666666664</v>
      </c>
    </row>
    <row r="706" spans="1:17" x14ac:dyDescent="0.2">
      <c r="A706" s="2">
        <v>10674</v>
      </c>
      <c r="B706" s="2">
        <v>10674</v>
      </c>
      <c r="C706" s="2">
        <v>4619</v>
      </c>
      <c r="D706" t="s">
        <v>1067</v>
      </c>
      <c r="G706" s="15">
        <v>12.01</v>
      </c>
      <c r="J706" s="15"/>
      <c r="M706" s="15">
        <v>12.01</v>
      </c>
      <c r="Q706" s="19">
        <v>0.23819444444444446</v>
      </c>
    </row>
    <row r="707" spans="1:17" x14ac:dyDescent="0.2">
      <c r="A707" s="2">
        <v>10700</v>
      </c>
      <c r="B707" s="2">
        <v>10700</v>
      </c>
      <c r="C707" s="2">
        <v>13857</v>
      </c>
      <c r="D707" t="s">
        <v>831</v>
      </c>
      <c r="G707" s="15">
        <v>3.9180000000000001</v>
      </c>
      <c r="J707" s="15"/>
      <c r="M707" s="1">
        <v>3.9180000000000001</v>
      </c>
      <c r="Q707" s="22">
        <v>0.1673611111111111</v>
      </c>
    </row>
    <row r="708" spans="1:17" x14ac:dyDescent="0.2">
      <c r="A708" s="2">
        <v>10904</v>
      </c>
      <c r="B708" s="2">
        <v>10904</v>
      </c>
      <c r="C708" s="2">
        <v>27127</v>
      </c>
      <c r="D708" t="s">
        <v>1187</v>
      </c>
      <c r="G708" s="15">
        <v>2.8220000000000001</v>
      </c>
      <c r="J708" s="15"/>
      <c r="M708" s="1">
        <v>2.8220000000000001</v>
      </c>
      <c r="Q708" s="22">
        <v>9.2361111111111116E-2</v>
      </c>
    </row>
    <row r="709" spans="1:17" x14ac:dyDescent="0.2">
      <c r="A709" s="2">
        <v>10990</v>
      </c>
      <c r="B709" s="2">
        <v>10990</v>
      </c>
      <c r="C709" s="2">
        <v>3168</v>
      </c>
      <c r="D709" t="s">
        <v>888</v>
      </c>
      <c r="G709" s="15">
        <v>13.41</v>
      </c>
      <c r="J709" s="15"/>
      <c r="K709" s="15"/>
      <c r="L709" s="15"/>
      <c r="M709" s="15">
        <v>13.41</v>
      </c>
      <c r="Q709" s="22">
        <v>0.16458333333333333</v>
      </c>
    </row>
    <row r="710" spans="1:17" x14ac:dyDescent="0.2">
      <c r="A710" s="2">
        <v>11096</v>
      </c>
      <c r="B710" s="2">
        <v>11096</v>
      </c>
      <c r="C710" s="2">
        <v>6703</v>
      </c>
      <c r="D710" t="s">
        <v>1193</v>
      </c>
      <c r="G710" s="15">
        <v>8.2750000000000004</v>
      </c>
      <c r="J710" s="15"/>
      <c r="M710" s="14">
        <v>8.2750000000000004</v>
      </c>
      <c r="Q710" s="22">
        <v>0.11666666666666665</v>
      </c>
    </row>
    <row r="711" spans="1:17" x14ac:dyDescent="0.2">
      <c r="A711" s="2">
        <v>11325</v>
      </c>
      <c r="B711" s="2">
        <v>11325</v>
      </c>
      <c r="C711" s="2">
        <v>48965</v>
      </c>
      <c r="D711" t="s">
        <v>1087</v>
      </c>
      <c r="G711" s="15">
        <v>1.4730000000000001</v>
      </c>
      <c r="J711" s="15"/>
      <c r="K711" s="15"/>
      <c r="L711" s="15"/>
      <c r="M711" s="15">
        <v>1.4730000000000001</v>
      </c>
      <c r="Q711" s="19">
        <v>4.4444444444444446E-2</v>
      </c>
    </row>
    <row r="712" spans="1:17" x14ac:dyDescent="0.2">
      <c r="A712" s="2">
        <v>11700</v>
      </c>
      <c r="B712" s="2">
        <v>11700</v>
      </c>
      <c r="C712" s="2">
        <v>8510</v>
      </c>
      <c r="D712" t="s">
        <v>1056</v>
      </c>
      <c r="G712" s="15">
        <v>7.6769999999999996</v>
      </c>
      <c r="J712" s="15"/>
      <c r="K712" s="15"/>
      <c r="L712" s="15"/>
      <c r="M712" s="15">
        <v>7.6769999999999996</v>
      </c>
      <c r="Q712" s="19">
        <v>0.14791666666666667</v>
      </c>
    </row>
    <row r="713" spans="1:17" x14ac:dyDescent="0.2">
      <c r="A713" s="2">
        <v>11772</v>
      </c>
      <c r="B713" s="2">
        <v>11772</v>
      </c>
      <c r="C713" s="2">
        <v>24530</v>
      </c>
      <c r="D713" t="s">
        <v>1111</v>
      </c>
      <c r="G713" s="15">
        <v>3.1259999999999999</v>
      </c>
      <c r="J713" s="15"/>
      <c r="M713" s="1">
        <v>3.1259999999999999</v>
      </c>
      <c r="Q713" s="22">
        <v>0.18819444444444444</v>
      </c>
    </row>
    <row r="714" spans="1:17" x14ac:dyDescent="0.2">
      <c r="A714" s="2">
        <v>11817</v>
      </c>
      <c r="B714" s="2">
        <v>11817</v>
      </c>
      <c r="C714" s="2">
        <v>56121</v>
      </c>
      <c r="D714" t="s">
        <v>1089</v>
      </c>
      <c r="G714" s="15">
        <v>1.1080000000000001</v>
      </c>
      <c r="J714" s="15"/>
      <c r="K714" s="15"/>
      <c r="L714" s="15"/>
      <c r="M714" s="15">
        <v>1.1080000000000001</v>
      </c>
      <c r="Q714" s="19">
        <v>9.3055555555555558E-2</v>
      </c>
    </row>
    <row r="715" spans="1:17" x14ac:dyDescent="0.2">
      <c r="A715" s="2">
        <v>11897</v>
      </c>
      <c r="B715" s="2">
        <v>11140</v>
      </c>
      <c r="C715" s="2">
        <v>16867</v>
      </c>
      <c r="D715" t="s">
        <v>640</v>
      </c>
      <c r="G715" s="15">
        <v>4.7699999999999996</v>
      </c>
      <c r="J715" s="15"/>
      <c r="K715" s="15"/>
      <c r="L715" s="15"/>
      <c r="M715" s="15">
        <v>4.7699999999999996</v>
      </c>
      <c r="Q715" s="19">
        <v>5.6944444444444443E-2</v>
      </c>
    </row>
    <row r="716" spans="1:17" x14ac:dyDescent="0.2">
      <c r="A716" s="2">
        <v>12049</v>
      </c>
      <c r="B716" s="2">
        <v>11657</v>
      </c>
      <c r="C716" s="2">
        <v>11065</v>
      </c>
      <c r="D716" t="s">
        <v>606</v>
      </c>
      <c r="G716" s="15">
        <v>5.976</v>
      </c>
      <c r="J716" s="15"/>
      <c r="K716" s="15"/>
      <c r="L716" s="15"/>
      <c r="M716" s="15">
        <v>5.29</v>
      </c>
      <c r="Q716" s="19">
        <v>0.30486111111111108</v>
      </c>
    </row>
    <row r="717" spans="1:17" x14ac:dyDescent="0.2">
      <c r="A717" s="2">
        <v>12099</v>
      </c>
      <c r="B717" s="2">
        <v>12099</v>
      </c>
      <c r="C717" s="2">
        <v>11039</v>
      </c>
      <c r="D717" t="s">
        <v>1109</v>
      </c>
      <c r="G717" s="15">
        <v>5.157</v>
      </c>
      <c r="J717" s="15"/>
      <c r="K717" s="15"/>
      <c r="L717" s="15"/>
      <c r="M717" s="15">
        <v>5.157</v>
      </c>
      <c r="Q717" s="19">
        <v>0.10833333333333334</v>
      </c>
    </row>
    <row r="718" spans="1:17" x14ac:dyDescent="0.2">
      <c r="A718" s="2">
        <v>12473</v>
      </c>
      <c r="B718" s="2">
        <v>12473</v>
      </c>
      <c r="C718" s="2">
        <v>63519</v>
      </c>
      <c r="D718" t="s">
        <v>1081</v>
      </c>
      <c r="G718" s="15">
        <v>0.980263</v>
      </c>
      <c r="J718" s="15"/>
      <c r="K718" s="15"/>
      <c r="L718" s="15"/>
      <c r="M718" s="15">
        <v>0.980263</v>
      </c>
      <c r="Q718" s="19">
        <v>9.5833333333333326E-2</v>
      </c>
    </row>
    <row r="719" spans="1:17" x14ac:dyDescent="0.2">
      <c r="A719" s="2">
        <v>12579</v>
      </c>
      <c r="B719" s="2">
        <v>12579</v>
      </c>
      <c r="C719" s="2">
        <v>9719</v>
      </c>
      <c r="D719" t="s">
        <v>1135</v>
      </c>
      <c r="G719" s="15">
        <v>4.9779999999999998</v>
      </c>
      <c r="J719" s="15"/>
      <c r="M719" s="1">
        <v>4.9779999999999998</v>
      </c>
      <c r="Q719" s="19">
        <v>0.17222222222222225</v>
      </c>
    </row>
    <row r="720" spans="1:17" x14ac:dyDescent="0.2">
      <c r="A720" s="2">
        <v>12657</v>
      </c>
      <c r="B720" s="2">
        <v>12657</v>
      </c>
      <c r="C720" s="2">
        <v>26060</v>
      </c>
      <c r="D720" t="s">
        <v>1126</v>
      </c>
      <c r="G720" s="15">
        <v>2.524</v>
      </c>
      <c r="J720" s="15"/>
      <c r="M720" s="1">
        <v>2.524</v>
      </c>
      <c r="Q720" s="22">
        <v>8.5416666666666655E-2</v>
      </c>
    </row>
    <row r="721" spans="1:17" x14ac:dyDescent="0.2">
      <c r="A721" s="2">
        <v>12766</v>
      </c>
      <c r="B721" s="2">
        <v>12766</v>
      </c>
      <c r="C721" s="2">
        <v>11058</v>
      </c>
      <c r="D721" t="s">
        <v>1198</v>
      </c>
      <c r="G721" s="15">
        <v>7.9269999999999996</v>
      </c>
      <c r="J721" s="15"/>
      <c r="M721" s="14">
        <v>7.9269999999999996</v>
      </c>
      <c r="Q721" s="22">
        <v>0.11319444444444444</v>
      </c>
    </row>
    <row r="722" spans="1:17" x14ac:dyDescent="0.2">
      <c r="A722" s="2">
        <v>12774</v>
      </c>
      <c r="B722" s="2">
        <v>12774</v>
      </c>
      <c r="C722" s="2">
        <v>64372</v>
      </c>
      <c r="D722" t="s">
        <v>1062</v>
      </c>
      <c r="G722" s="15">
        <v>0.67284100000000002</v>
      </c>
      <c r="J722" s="15"/>
      <c r="K722" s="15"/>
      <c r="L722" s="15"/>
      <c r="M722" s="15">
        <v>0.67284100000000002</v>
      </c>
      <c r="Q722" s="19">
        <v>0.20138888888888887</v>
      </c>
    </row>
    <row r="723" spans="1:17" x14ac:dyDescent="0.2">
      <c r="A723" s="2">
        <v>12812</v>
      </c>
      <c r="B723" s="2">
        <v>12812</v>
      </c>
      <c r="C723" s="2">
        <v>10412</v>
      </c>
      <c r="D723" t="s">
        <v>906</v>
      </c>
      <c r="G723" s="15">
        <v>7.125</v>
      </c>
      <c r="J723" s="15"/>
      <c r="M723" s="1">
        <v>7.125</v>
      </c>
      <c r="Q723" s="19">
        <v>0.1125</v>
      </c>
    </row>
    <row r="724" spans="1:17" x14ac:dyDescent="0.2">
      <c r="A724" s="2">
        <v>12841</v>
      </c>
      <c r="B724" s="2">
        <v>9655</v>
      </c>
      <c r="C724" s="2">
        <v>20256</v>
      </c>
      <c r="D724" t="s">
        <v>642</v>
      </c>
      <c r="G724" s="15">
        <v>5.694</v>
      </c>
      <c r="J724" s="15"/>
      <c r="M724" s="1">
        <v>3.956</v>
      </c>
      <c r="Q724" s="19">
        <v>8.0555555555555561E-2</v>
      </c>
    </row>
    <row r="725" spans="1:17" x14ac:dyDescent="0.2">
      <c r="A725" s="2">
        <v>12847</v>
      </c>
      <c r="B725" s="2">
        <v>12847</v>
      </c>
      <c r="C725" s="2">
        <v>8078</v>
      </c>
      <c r="D725" t="s">
        <v>832</v>
      </c>
      <c r="G725" s="15">
        <v>5.6790000000000003</v>
      </c>
      <c r="J725" s="15"/>
      <c r="M725" s="14">
        <v>5.6790000000000003</v>
      </c>
      <c r="Q725" s="19">
        <v>0.16666666666666666</v>
      </c>
    </row>
    <row r="726" spans="1:17" x14ac:dyDescent="0.2">
      <c r="A726" s="2">
        <v>13113</v>
      </c>
      <c r="B726" s="2">
        <v>13113</v>
      </c>
      <c r="C726" s="2">
        <v>31790</v>
      </c>
      <c r="D726" t="s">
        <v>1003</v>
      </c>
      <c r="G726" s="15">
        <v>1.8819999999999999</v>
      </c>
      <c r="I726" s="15"/>
      <c r="J726" s="15"/>
      <c r="M726" s="1">
        <v>1.8819999999999999</v>
      </c>
      <c r="Q726" s="23">
        <v>6.458333333333334E-2</v>
      </c>
    </row>
    <row r="727" spans="1:17" s="3" customFormat="1" x14ac:dyDescent="0.2">
      <c r="A727" s="4">
        <v>13139</v>
      </c>
      <c r="B727" s="4">
        <v>13139</v>
      </c>
      <c r="C727" s="4">
        <v>20953</v>
      </c>
      <c r="D727" s="3" t="s">
        <v>1026</v>
      </c>
      <c r="F727" s="4"/>
      <c r="G727" s="16">
        <v>3.5779999999999998</v>
      </c>
      <c r="H727" s="16"/>
      <c r="I727" s="16"/>
      <c r="J727" s="16"/>
      <c r="K727" s="9"/>
      <c r="L727" s="9"/>
      <c r="M727" s="9">
        <v>3.5779999999999998</v>
      </c>
      <c r="N727" s="9"/>
      <c r="O727" s="9"/>
      <c r="Q727" s="23">
        <v>8.5416666666666655E-2</v>
      </c>
    </row>
    <row r="728" spans="1:17" x14ac:dyDescent="0.2">
      <c r="A728" s="2">
        <v>13198</v>
      </c>
      <c r="B728" s="2">
        <v>14684</v>
      </c>
      <c r="C728" s="2">
        <v>37641</v>
      </c>
      <c r="D728" t="s">
        <v>583</v>
      </c>
      <c r="G728" s="15">
        <v>1.506</v>
      </c>
      <c r="J728" s="15"/>
      <c r="M728" s="1">
        <v>1.5669999999999999</v>
      </c>
      <c r="Q728" s="19">
        <v>0.15208333333333332</v>
      </c>
    </row>
    <row r="729" spans="1:17" x14ac:dyDescent="0.2">
      <c r="A729" s="2">
        <v>13684</v>
      </c>
      <c r="B729" s="2">
        <v>15418</v>
      </c>
      <c r="C729" s="2">
        <v>70506</v>
      </c>
      <c r="D729" t="s">
        <v>615</v>
      </c>
      <c r="G729" s="15">
        <v>0.91088999999999998</v>
      </c>
      <c r="J729" s="15"/>
      <c r="M729" s="14">
        <v>0.85121400000000003</v>
      </c>
      <c r="Q729" s="19">
        <v>5.6944444444444443E-2</v>
      </c>
    </row>
    <row r="730" spans="1:17" x14ac:dyDescent="0.2">
      <c r="A730" s="2">
        <v>13982</v>
      </c>
      <c r="B730" s="2">
        <v>13982</v>
      </c>
      <c r="C730" s="2">
        <v>42731</v>
      </c>
      <c r="D730" t="s">
        <v>884</v>
      </c>
      <c r="G730" s="15">
        <v>1.8180000000000001</v>
      </c>
      <c r="J730" s="15"/>
      <c r="M730" s="1">
        <v>1.8180000000000001</v>
      </c>
      <c r="Q730" s="19">
        <v>3.4722222222222224E-2</v>
      </c>
    </row>
    <row r="731" spans="1:17" x14ac:dyDescent="0.2">
      <c r="A731" s="2">
        <v>14138</v>
      </c>
      <c r="B731" s="2">
        <v>14138</v>
      </c>
      <c r="C731" s="2">
        <v>21731</v>
      </c>
      <c r="D731" t="s">
        <v>1165</v>
      </c>
      <c r="G731" s="15">
        <v>3.4180000000000001</v>
      </c>
      <c r="J731" s="15"/>
      <c r="M731" s="1">
        <v>3.4180000000000001</v>
      </c>
      <c r="Q731" s="19">
        <v>9.2361111111111116E-2</v>
      </c>
    </row>
    <row r="732" spans="1:17" x14ac:dyDescent="0.2">
      <c r="A732" s="2">
        <v>14198</v>
      </c>
      <c r="B732" s="2">
        <v>14198</v>
      </c>
      <c r="C732" s="2">
        <v>79439</v>
      </c>
      <c r="D732" t="s">
        <v>1050</v>
      </c>
      <c r="G732" s="15">
        <v>0.71810799999999997</v>
      </c>
      <c r="J732" s="15"/>
      <c r="M732" s="15">
        <v>0.71810799999999997</v>
      </c>
      <c r="Q732" s="19">
        <v>9.8611111111111108E-2</v>
      </c>
    </row>
    <row r="733" spans="1:17" x14ac:dyDescent="0.2">
      <c r="A733" s="2">
        <v>14201</v>
      </c>
      <c r="B733" s="2">
        <v>14201</v>
      </c>
      <c r="C733" s="2">
        <v>29468</v>
      </c>
      <c r="D733" t="s">
        <v>875</v>
      </c>
      <c r="G733" s="15">
        <v>2.0150000000000001</v>
      </c>
      <c r="J733" s="15"/>
      <c r="M733" s="1">
        <v>2.0150000000000001</v>
      </c>
      <c r="Q733" s="19">
        <v>0.22638888888888889</v>
      </c>
    </row>
    <row r="734" spans="1:17" x14ac:dyDescent="0.2">
      <c r="A734" s="2">
        <v>14530</v>
      </c>
      <c r="B734" s="2">
        <v>14530</v>
      </c>
      <c r="C734" s="2">
        <v>63885</v>
      </c>
      <c r="D734" t="s">
        <v>1083</v>
      </c>
      <c r="G734" s="15">
        <v>1.224</v>
      </c>
      <c r="J734" s="15"/>
      <c r="M734" s="1">
        <v>1.224</v>
      </c>
      <c r="Q734" s="19">
        <v>3.6111111111111115E-2</v>
      </c>
    </row>
    <row r="735" spans="1:17" x14ac:dyDescent="0.2">
      <c r="A735" s="4">
        <v>14907</v>
      </c>
      <c r="B735" s="4">
        <v>14907</v>
      </c>
      <c r="C735" s="4">
        <v>21829</v>
      </c>
      <c r="D735" s="3" t="s">
        <v>1177</v>
      </c>
      <c r="F735" s="4"/>
      <c r="G735" s="16">
        <v>3.41</v>
      </c>
      <c r="H735" s="16"/>
      <c r="J735" s="16"/>
      <c r="K735" s="9"/>
      <c r="L735" s="9"/>
      <c r="M735" s="9">
        <v>3.41</v>
      </c>
      <c r="N735" s="9"/>
      <c r="O735" s="9"/>
      <c r="P735" s="3"/>
      <c r="Q735" s="19">
        <v>8.1250000000000003E-2</v>
      </c>
    </row>
    <row r="736" spans="1:17" x14ac:dyDescent="0.2">
      <c r="A736" s="2">
        <v>14939</v>
      </c>
      <c r="B736" s="2">
        <v>14219</v>
      </c>
      <c r="C736" s="2">
        <v>40041</v>
      </c>
      <c r="D736" t="s">
        <v>636</v>
      </c>
      <c r="G736" s="15">
        <v>2.0870000000000002</v>
      </c>
      <c r="J736" s="15"/>
      <c r="M736" s="1">
        <v>1.7450000000000001</v>
      </c>
      <c r="Q736" s="19">
        <v>4.7222222222222221E-2</v>
      </c>
    </row>
    <row r="737" spans="1:17" x14ac:dyDescent="0.2">
      <c r="A737" s="2">
        <v>15187</v>
      </c>
      <c r="B737" s="2">
        <v>15187</v>
      </c>
      <c r="C737" s="2">
        <v>12075</v>
      </c>
      <c r="D737" t="s">
        <v>1181</v>
      </c>
      <c r="G737" s="15">
        <v>4.9370000000000003</v>
      </c>
      <c r="I737" s="15"/>
      <c r="J737" s="15"/>
      <c r="M737" s="1">
        <v>4.9370000000000003</v>
      </c>
      <c r="Q737" s="19">
        <v>0.12222222222222223</v>
      </c>
    </row>
    <row r="738" spans="1:17" x14ac:dyDescent="0.2">
      <c r="A738" s="2">
        <v>15239</v>
      </c>
      <c r="B738" s="2">
        <v>15739</v>
      </c>
      <c r="C738" s="2">
        <v>25278</v>
      </c>
      <c r="D738" t="s">
        <v>607</v>
      </c>
      <c r="G738" s="15">
        <v>1.871</v>
      </c>
      <c r="J738" s="15"/>
      <c r="M738" s="1">
        <v>2.0150000000000001</v>
      </c>
      <c r="Q738" s="19">
        <v>0.28958333333333336</v>
      </c>
    </row>
    <row r="739" spans="1:17" x14ac:dyDescent="0.2">
      <c r="A739" s="2">
        <v>15288</v>
      </c>
      <c r="B739" s="2">
        <v>15288</v>
      </c>
      <c r="C739" s="2">
        <v>20138</v>
      </c>
      <c r="D739" t="s">
        <v>938</v>
      </c>
      <c r="G739" s="15">
        <v>3.7130000000000001</v>
      </c>
      <c r="J739" s="15"/>
      <c r="M739" s="15">
        <v>3.7130000000000001</v>
      </c>
      <c r="Q739" s="19">
        <v>0.12569444444444444</v>
      </c>
    </row>
    <row r="740" spans="1:17" x14ac:dyDescent="0.2">
      <c r="A740" s="2">
        <v>15361</v>
      </c>
      <c r="B740" s="2">
        <v>15361</v>
      </c>
      <c r="C740" s="2">
        <v>11953</v>
      </c>
      <c r="D740" t="s">
        <v>1021</v>
      </c>
      <c r="G740" s="15">
        <v>4.7859999999999996</v>
      </c>
      <c r="J740" s="15"/>
      <c r="M740" s="1">
        <v>4.7859999999999996</v>
      </c>
      <c r="Q740" s="19">
        <v>0.10208333333333335</v>
      </c>
    </row>
    <row r="741" spans="1:17" x14ac:dyDescent="0.2">
      <c r="A741" s="2">
        <v>15371</v>
      </c>
      <c r="B741" s="2">
        <v>15371</v>
      </c>
      <c r="C741" s="2">
        <v>17066</v>
      </c>
      <c r="D741" t="s">
        <v>1069</v>
      </c>
      <c r="G741" s="15">
        <v>3.165</v>
      </c>
      <c r="J741" s="15"/>
      <c r="M741" s="14">
        <v>3.165</v>
      </c>
      <c r="Q741" s="19">
        <v>0.1173611111111111</v>
      </c>
    </row>
    <row r="742" spans="1:17" x14ac:dyDescent="0.2">
      <c r="A742" s="2">
        <v>15418</v>
      </c>
      <c r="B742" s="2">
        <v>15418</v>
      </c>
      <c r="C742" s="2">
        <v>17250</v>
      </c>
      <c r="D742" t="s">
        <v>1117</v>
      </c>
      <c r="G742" s="15">
        <v>3.47</v>
      </c>
      <c r="J742" s="15"/>
      <c r="M742" s="14">
        <v>3.47</v>
      </c>
      <c r="Q742" s="22">
        <v>6.1111111111111116E-2</v>
      </c>
    </row>
    <row r="743" spans="1:17" x14ac:dyDescent="0.2">
      <c r="A743" s="2">
        <v>15745</v>
      </c>
      <c r="B743" s="2">
        <v>15745</v>
      </c>
      <c r="C743" s="2">
        <v>27362</v>
      </c>
      <c r="D743" t="s">
        <v>1153</v>
      </c>
      <c r="G743" s="15">
        <v>2.831</v>
      </c>
      <c r="J743" s="15"/>
      <c r="M743" s="1">
        <v>2.831</v>
      </c>
      <c r="Q743" s="19">
        <v>7.1527777777777787E-2</v>
      </c>
    </row>
    <row r="744" spans="1:17" x14ac:dyDescent="0.2">
      <c r="A744" s="2">
        <v>15849</v>
      </c>
      <c r="B744" s="2">
        <v>15849</v>
      </c>
      <c r="C744" s="2">
        <v>26671</v>
      </c>
      <c r="D744" t="s">
        <v>1086</v>
      </c>
      <c r="G744" s="15">
        <v>2.2999999999999998</v>
      </c>
      <c r="J744" s="15"/>
      <c r="M744" s="14">
        <v>2.2999999999999998</v>
      </c>
      <c r="Q744" s="19">
        <v>0.18194444444444444</v>
      </c>
    </row>
    <row r="745" spans="1:17" x14ac:dyDescent="0.2">
      <c r="A745" s="2">
        <v>16208</v>
      </c>
      <c r="B745" s="2">
        <v>16208</v>
      </c>
      <c r="C745" s="2">
        <v>4400</v>
      </c>
      <c r="D745" t="s">
        <v>1104</v>
      </c>
      <c r="G745" s="15">
        <v>11.2</v>
      </c>
      <c r="J745" s="15"/>
      <c r="M745" s="14">
        <v>11.2</v>
      </c>
      <c r="Q745" s="19">
        <v>0.22569444444444445</v>
      </c>
    </row>
    <row r="746" spans="1:17" x14ac:dyDescent="0.2">
      <c r="A746" s="2">
        <v>16543</v>
      </c>
      <c r="B746" s="2">
        <v>16543</v>
      </c>
      <c r="C746" s="2">
        <v>18573</v>
      </c>
      <c r="D746" t="s">
        <v>796</v>
      </c>
      <c r="G746" s="15">
        <v>3.4249999999999998</v>
      </c>
      <c r="J746" s="15"/>
      <c r="M746" s="1">
        <v>3.4249999999999998</v>
      </c>
      <c r="Q746" s="19">
        <v>0.1173611111111111</v>
      </c>
    </row>
    <row r="747" spans="1:17" x14ac:dyDescent="0.2">
      <c r="A747" s="2">
        <v>17112</v>
      </c>
      <c r="B747" s="2">
        <v>17112</v>
      </c>
      <c r="C747" s="2">
        <v>79637</v>
      </c>
      <c r="D747" t="s">
        <v>1148</v>
      </c>
      <c r="G747" s="15">
        <v>0.89338300000000004</v>
      </c>
      <c r="J747" s="15"/>
      <c r="M747" s="14">
        <v>0.89338300000000004</v>
      </c>
      <c r="Q747" s="19">
        <v>6.7361111111111108E-2</v>
      </c>
    </row>
    <row r="748" spans="1:17" x14ac:dyDescent="0.2">
      <c r="A748" s="2">
        <v>17197</v>
      </c>
      <c r="B748" s="2">
        <v>20744</v>
      </c>
      <c r="C748" s="2">
        <v>26621</v>
      </c>
      <c r="D748" t="s">
        <v>591</v>
      </c>
      <c r="G748" s="15">
        <v>1.9430000000000001</v>
      </c>
      <c r="J748" s="15"/>
      <c r="M748" s="14">
        <v>1.905</v>
      </c>
      <c r="Q748" s="19">
        <v>0.18541666666666667</v>
      </c>
    </row>
    <row r="749" spans="1:17" x14ac:dyDescent="0.2">
      <c r="A749" s="2">
        <v>17228</v>
      </c>
      <c r="B749" s="2">
        <v>17228</v>
      </c>
      <c r="C749" s="2">
        <v>35100</v>
      </c>
      <c r="D749" t="s">
        <v>1167</v>
      </c>
      <c r="G749" s="15">
        <v>2.1269999999999998</v>
      </c>
      <c r="J749" s="15"/>
      <c r="M749" s="1">
        <v>2.1269999999999998</v>
      </c>
      <c r="Q749" s="19">
        <v>8.3333333333333329E-2</v>
      </c>
    </row>
    <row r="750" spans="1:17" x14ac:dyDescent="0.2">
      <c r="A750" s="2">
        <v>17442</v>
      </c>
      <c r="B750" s="2">
        <v>17442</v>
      </c>
      <c r="C750" s="2">
        <v>3366</v>
      </c>
      <c r="D750" t="s">
        <v>1180</v>
      </c>
      <c r="G750" s="2">
        <v>14.31</v>
      </c>
      <c r="M750" s="1">
        <v>14.31</v>
      </c>
      <c r="Q750" s="19">
        <v>8.9583333333333334E-2</v>
      </c>
    </row>
    <row r="751" spans="1:17" x14ac:dyDescent="0.2">
      <c r="A751" s="2">
        <v>17510</v>
      </c>
      <c r="B751" s="2">
        <v>17510</v>
      </c>
      <c r="C751" s="2">
        <v>48500</v>
      </c>
      <c r="D751" t="s">
        <v>1059</v>
      </c>
      <c r="G751" s="15">
        <v>1.2809999999999999</v>
      </c>
      <c r="J751" s="15"/>
      <c r="M751" s="1">
        <v>1.2809999999999999</v>
      </c>
      <c r="Q751" s="19">
        <v>9.4444444444444442E-2</v>
      </c>
    </row>
    <row r="752" spans="1:17" x14ac:dyDescent="0.2">
      <c r="A752" s="2">
        <v>17525</v>
      </c>
      <c r="B752" s="2">
        <v>17525</v>
      </c>
      <c r="C752" s="2">
        <v>13661</v>
      </c>
      <c r="D752" t="s">
        <v>1194</v>
      </c>
      <c r="G752" s="15">
        <v>3.9020000000000001</v>
      </c>
      <c r="J752" s="15"/>
      <c r="M752" s="14">
        <v>3.9020000000000001</v>
      </c>
      <c r="Q752" s="22">
        <v>0.29166666666666669</v>
      </c>
    </row>
    <row r="753" spans="1:17" x14ac:dyDescent="0.2">
      <c r="A753" s="2">
        <v>17706</v>
      </c>
      <c r="B753" s="2">
        <v>17706</v>
      </c>
      <c r="C753" s="2">
        <v>8009</v>
      </c>
      <c r="D753" t="s">
        <v>1102</v>
      </c>
      <c r="G753" s="15">
        <v>9.6489999999999991</v>
      </c>
      <c r="J753" s="15"/>
      <c r="M753" s="1">
        <v>9.6489999999999991</v>
      </c>
      <c r="Q753" s="19">
        <v>0.16319444444444445</v>
      </c>
    </row>
    <row r="754" spans="1:17" x14ac:dyDescent="0.2">
      <c r="A754" s="2">
        <v>17944</v>
      </c>
      <c r="B754" s="2">
        <v>17944</v>
      </c>
      <c r="C754" s="2">
        <v>5893</v>
      </c>
      <c r="D754" t="s">
        <v>900</v>
      </c>
      <c r="G754" s="15">
        <v>7.0490000000000004</v>
      </c>
      <c r="J754" s="15"/>
      <c r="M754" s="1">
        <v>7.0490000000000004</v>
      </c>
      <c r="Q754" s="19">
        <v>0.36944444444444446</v>
      </c>
    </row>
    <row r="755" spans="1:17" x14ac:dyDescent="0.2">
      <c r="A755" s="2">
        <v>17953</v>
      </c>
      <c r="B755" s="2">
        <v>17953</v>
      </c>
      <c r="C755" s="2">
        <v>35787</v>
      </c>
      <c r="D755" t="s">
        <v>1140</v>
      </c>
      <c r="G755" s="2">
        <v>1.84</v>
      </c>
      <c r="M755" s="1">
        <v>1.84</v>
      </c>
      <c r="Q755" s="19">
        <v>5.2777777777777778E-2</v>
      </c>
    </row>
    <row r="756" spans="1:17" x14ac:dyDescent="0.2">
      <c r="A756" s="2">
        <v>18053</v>
      </c>
      <c r="B756" s="2">
        <v>18053</v>
      </c>
      <c r="C756" s="2">
        <v>46525</v>
      </c>
      <c r="D756" t="s">
        <v>995</v>
      </c>
      <c r="G756" s="15">
        <v>1.73</v>
      </c>
      <c r="J756" s="15"/>
      <c r="M756" s="14">
        <v>1.73</v>
      </c>
      <c r="Q756" s="22">
        <v>3.2638888888888891E-2</v>
      </c>
    </row>
    <row r="757" spans="1:17" x14ac:dyDescent="0.2">
      <c r="A757" s="2">
        <v>18064</v>
      </c>
      <c r="B757" s="2">
        <v>18064</v>
      </c>
      <c r="C757" s="2">
        <v>25782</v>
      </c>
      <c r="D757" t="s">
        <v>838</v>
      </c>
      <c r="G757" s="15">
        <v>1.5369999999999999</v>
      </c>
      <c r="J757" s="15"/>
      <c r="M757" s="1">
        <v>1.5369999999999999</v>
      </c>
      <c r="Q757" s="19">
        <v>0.31875000000000003</v>
      </c>
    </row>
    <row r="758" spans="1:17" x14ac:dyDescent="0.2">
      <c r="A758" s="2">
        <v>18312</v>
      </c>
      <c r="B758" s="2">
        <v>18312</v>
      </c>
      <c r="C758" s="2">
        <v>50775</v>
      </c>
      <c r="D758" t="s">
        <v>792</v>
      </c>
      <c r="G758" s="15">
        <v>1.0680000000000001</v>
      </c>
      <c r="J758" s="15"/>
      <c r="M758" s="1">
        <v>1.0680000000000001</v>
      </c>
      <c r="Q758" s="19">
        <v>0.16180555555555556</v>
      </c>
    </row>
    <row r="759" spans="1:17" x14ac:dyDescent="0.2">
      <c r="A759" s="2">
        <v>18346</v>
      </c>
      <c r="B759" s="2">
        <v>17811</v>
      </c>
      <c r="C759" s="2">
        <v>71011</v>
      </c>
      <c r="D759" t="s">
        <v>633</v>
      </c>
      <c r="G759" s="15">
        <v>1.2130000000000001</v>
      </c>
      <c r="J759" s="15"/>
      <c r="M759" s="15">
        <v>1.02</v>
      </c>
      <c r="Q759" s="19">
        <v>3.4722222222222224E-2</v>
      </c>
    </row>
    <row r="760" spans="1:17" x14ac:dyDescent="0.2">
      <c r="A760" s="2">
        <v>18479</v>
      </c>
      <c r="B760" s="2">
        <v>18479</v>
      </c>
      <c r="C760" s="2">
        <v>25113</v>
      </c>
      <c r="D760" t="s">
        <v>986</v>
      </c>
      <c r="G760" s="15">
        <v>1.302</v>
      </c>
      <c r="J760" s="15"/>
      <c r="M760" s="1">
        <v>1.302</v>
      </c>
      <c r="Q760" s="22">
        <v>0.30486111111111108</v>
      </c>
    </row>
    <row r="761" spans="1:17" x14ac:dyDescent="0.2">
      <c r="A761" s="2">
        <v>18792</v>
      </c>
      <c r="B761" s="2">
        <v>18792</v>
      </c>
      <c r="C761" s="2">
        <v>18921</v>
      </c>
      <c r="D761" t="s">
        <v>973</v>
      </c>
      <c r="G761" s="15">
        <v>4.8689999999999998</v>
      </c>
      <c r="J761" s="15"/>
      <c r="M761" s="14">
        <v>4.8689999999999998</v>
      </c>
      <c r="Q761" s="22">
        <v>7.5694444444444439E-2</v>
      </c>
    </row>
    <row r="762" spans="1:17" x14ac:dyDescent="0.2">
      <c r="A762" s="2">
        <v>18873</v>
      </c>
      <c r="B762" s="2">
        <v>18873</v>
      </c>
      <c r="C762" s="2">
        <v>27066</v>
      </c>
      <c r="D762" t="s">
        <v>871</v>
      </c>
      <c r="G762" s="15">
        <v>1.9610000000000001</v>
      </c>
      <c r="J762" s="15"/>
      <c r="M762" s="1">
        <v>1.9610000000000001</v>
      </c>
      <c r="Q762" s="19">
        <v>0.1013888888888889</v>
      </c>
    </row>
    <row r="763" spans="1:17" x14ac:dyDescent="0.2">
      <c r="A763" s="2">
        <v>18930</v>
      </c>
      <c r="B763" s="2">
        <v>18930</v>
      </c>
      <c r="C763" s="2">
        <v>78052</v>
      </c>
      <c r="D763" t="s">
        <v>830</v>
      </c>
      <c r="G763" s="15">
        <v>0.46637099999999998</v>
      </c>
      <c r="J763" s="15"/>
      <c r="M763" s="15">
        <v>0.46637099999999998</v>
      </c>
      <c r="Q763" s="19">
        <v>0.54583333333333328</v>
      </c>
    </row>
    <row r="764" spans="1:17" x14ac:dyDescent="0.2">
      <c r="A764" s="2">
        <v>19800</v>
      </c>
      <c r="B764" s="2">
        <v>19800</v>
      </c>
      <c r="C764" s="2">
        <v>94773</v>
      </c>
      <c r="D764" t="s">
        <v>1082</v>
      </c>
      <c r="G764" s="15">
        <v>0.80048799999999998</v>
      </c>
      <c r="J764" s="15"/>
      <c r="M764" s="14">
        <v>0.80048799999999998</v>
      </c>
      <c r="Q764" s="19">
        <v>3.0555555555555555E-2</v>
      </c>
    </row>
    <row r="765" spans="1:17" x14ac:dyDescent="0.2">
      <c r="A765" s="2">
        <v>20062</v>
      </c>
      <c r="B765" s="2">
        <v>20062</v>
      </c>
      <c r="C765" s="2">
        <v>14069</v>
      </c>
      <c r="D765" t="s">
        <v>989</v>
      </c>
      <c r="G765" s="2">
        <v>4.4260000000000002</v>
      </c>
      <c r="M765" s="1">
        <v>4.4260000000000002</v>
      </c>
      <c r="Q765" s="19">
        <v>0.24305555555555555</v>
      </c>
    </row>
    <row r="766" spans="1:17" x14ac:dyDescent="0.2">
      <c r="A766" s="2">
        <v>20211</v>
      </c>
      <c r="B766" s="2">
        <v>20211</v>
      </c>
      <c r="C766" s="2">
        <v>19626</v>
      </c>
      <c r="D766" t="s">
        <v>1033</v>
      </c>
      <c r="G766" s="15">
        <v>2.5649999999999999</v>
      </c>
      <c r="J766" s="15"/>
      <c r="M766" s="1">
        <v>2.5649999999999999</v>
      </c>
      <c r="Q766" s="19">
        <v>0.12361111111111112</v>
      </c>
    </row>
    <row r="767" spans="1:17" x14ac:dyDescent="0.2">
      <c r="A767" s="2">
        <v>20271</v>
      </c>
      <c r="B767" s="2">
        <v>20331</v>
      </c>
      <c r="C767" s="2">
        <v>2052</v>
      </c>
      <c r="D767" t="s">
        <v>671</v>
      </c>
      <c r="G767" s="15">
        <v>30.34</v>
      </c>
      <c r="J767" s="15"/>
      <c r="M767" s="14">
        <v>30.34</v>
      </c>
      <c r="Q767" s="19">
        <v>0.17708333333333334</v>
      </c>
    </row>
    <row r="768" spans="1:17" x14ac:dyDescent="0.2">
      <c r="A768" s="2">
        <v>20397</v>
      </c>
      <c r="B768" s="2">
        <v>20397</v>
      </c>
      <c r="C768" s="2">
        <v>71452</v>
      </c>
      <c r="D768" t="s">
        <v>1079</v>
      </c>
      <c r="G768" s="15">
        <v>0.74738400000000005</v>
      </c>
      <c r="J768" s="15"/>
      <c r="M768" s="1">
        <v>0.74738400000000005</v>
      </c>
      <c r="Q768" s="22">
        <v>0.12986111111111112</v>
      </c>
    </row>
    <row r="769" spans="1:17" x14ac:dyDescent="0.2">
      <c r="A769" s="2">
        <v>20901</v>
      </c>
      <c r="B769" s="2">
        <v>20901</v>
      </c>
      <c r="C769" s="2">
        <v>15616</v>
      </c>
      <c r="D769" t="s">
        <v>950</v>
      </c>
      <c r="E769" t="s">
        <v>6</v>
      </c>
      <c r="F769" s="2">
        <v>50</v>
      </c>
      <c r="G769" s="15">
        <v>2.7959999999999998</v>
      </c>
      <c r="J769" s="15"/>
      <c r="M769" s="14">
        <v>2.7959999999999998</v>
      </c>
      <c r="Q769" s="19">
        <v>0.20208333333333331</v>
      </c>
    </row>
    <row r="770" spans="1:17" x14ac:dyDescent="0.2">
      <c r="A770" s="2">
        <v>21251</v>
      </c>
      <c r="B770" s="2">
        <v>21251</v>
      </c>
      <c r="C770" s="2">
        <v>69212</v>
      </c>
      <c r="D770" t="s">
        <v>1012</v>
      </c>
      <c r="G770" s="15">
        <v>0.64367399999999997</v>
      </c>
      <c r="J770" s="15"/>
      <c r="M770" s="14">
        <v>0.64367399999999997</v>
      </c>
      <c r="Q770" s="19">
        <v>0.21666666666666667</v>
      </c>
    </row>
    <row r="771" spans="1:17" x14ac:dyDescent="0.2">
      <c r="A771" s="2">
        <v>21998</v>
      </c>
      <c r="B771" s="2">
        <v>21998</v>
      </c>
      <c r="C771" s="2">
        <v>75891</v>
      </c>
      <c r="D771" t="s">
        <v>1145</v>
      </c>
      <c r="G771" s="15">
        <v>1.0049999999999999</v>
      </c>
      <c r="J771" s="15"/>
      <c r="M771" s="1">
        <v>1.0049999999999999</v>
      </c>
      <c r="Q771" s="19">
        <v>3.7499999999999999E-2</v>
      </c>
    </row>
    <row r="772" spans="1:17" x14ac:dyDescent="0.2">
      <c r="A772" s="2">
        <v>22356</v>
      </c>
      <c r="B772" s="2">
        <v>26530</v>
      </c>
      <c r="C772" s="2">
        <v>60220</v>
      </c>
      <c r="D772" t="s">
        <v>616</v>
      </c>
      <c r="G772" s="15">
        <v>0.76245099999999999</v>
      </c>
      <c r="J772" s="15"/>
      <c r="M772" s="14">
        <v>0.83454300000000003</v>
      </c>
      <c r="Q772" s="19">
        <v>0.17916666666666667</v>
      </c>
    </row>
    <row r="773" spans="1:17" x14ac:dyDescent="0.2">
      <c r="A773" s="2">
        <v>22376</v>
      </c>
      <c r="B773" s="2">
        <v>22376</v>
      </c>
      <c r="C773" s="2">
        <v>14353</v>
      </c>
      <c r="D773" t="s">
        <v>1128</v>
      </c>
      <c r="G773" s="15">
        <v>3.3420000000000001</v>
      </c>
      <c r="J773" s="15"/>
      <c r="M773" s="1">
        <v>3.3420000000000001</v>
      </c>
      <c r="Q773" s="22">
        <v>0.1423611111111111</v>
      </c>
    </row>
    <row r="774" spans="1:17" x14ac:dyDescent="0.2">
      <c r="A774" s="2">
        <v>22891</v>
      </c>
      <c r="B774" s="2">
        <v>22891</v>
      </c>
      <c r="C774" s="2">
        <v>15316</v>
      </c>
      <c r="D774" t="s">
        <v>853</v>
      </c>
      <c r="G774" s="15">
        <v>3.3330000000000002</v>
      </c>
      <c r="J774" s="15"/>
      <c r="M774" s="14">
        <v>3.3330000000000002</v>
      </c>
      <c r="Q774" s="19">
        <v>0.1361111111111111</v>
      </c>
    </row>
    <row r="775" spans="1:17" x14ac:dyDescent="0.2">
      <c r="A775" s="2">
        <v>23363</v>
      </c>
      <c r="B775" s="2">
        <v>23363</v>
      </c>
      <c r="C775" s="2">
        <v>72901</v>
      </c>
      <c r="D775" t="s">
        <v>1014</v>
      </c>
      <c r="G775" s="15">
        <v>0.82244600000000001</v>
      </c>
      <c r="J775" s="15"/>
      <c r="M775" s="14">
        <v>0.82244600000000001</v>
      </c>
      <c r="Q775" s="19">
        <v>8.1250000000000003E-2</v>
      </c>
    </row>
    <row r="776" spans="1:17" x14ac:dyDescent="0.2">
      <c r="A776" s="2">
        <v>23812</v>
      </c>
      <c r="B776" s="2">
        <v>21671</v>
      </c>
      <c r="C776" s="2">
        <v>52889</v>
      </c>
      <c r="D776" t="s">
        <v>584</v>
      </c>
      <c r="G776" s="15">
        <v>1.143</v>
      </c>
      <c r="J776" s="15"/>
      <c r="M776" s="14">
        <v>0.83321299999999998</v>
      </c>
      <c r="Q776" s="19">
        <v>0.33749999999999997</v>
      </c>
    </row>
    <row r="777" spans="1:17" x14ac:dyDescent="0.2">
      <c r="A777" s="2">
        <v>24398</v>
      </c>
      <c r="B777" s="2">
        <v>24398</v>
      </c>
      <c r="C777" s="2">
        <v>12636</v>
      </c>
      <c r="D777" t="s">
        <v>1099</v>
      </c>
      <c r="G777" s="15">
        <v>4.9509999999999996</v>
      </c>
      <c r="I777" s="15"/>
      <c r="J777" s="15"/>
      <c r="M777" s="1">
        <v>4.9509999999999996</v>
      </c>
      <c r="Q777" s="19">
        <v>0.17569444444444446</v>
      </c>
    </row>
    <row r="778" spans="1:17" x14ac:dyDescent="0.2">
      <c r="A778" s="2">
        <v>25334</v>
      </c>
      <c r="B778" s="2">
        <v>25457</v>
      </c>
      <c r="C778" s="2">
        <v>45197</v>
      </c>
      <c r="D778" t="s">
        <v>612</v>
      </c>
      <c r="G778" s="15">
        <v>1.218</v>
      </c>
      <c r="J778" s="15"/>
      <c r="M778" s="14">
        <v>1.23</v>
      </c>
      <c r="Q778" s="19">
        <v>0.47638888888888892</v>
      </c>
    </row>
    <row r="779" spans="1:17" x14ac:dyDescent="0.2">
      <c r="A779" s="2">
        <v>25984</v>
      </c>
      <c r="B779" s="2">
        <v>25984</v>
      </c>
      <c r="C779" s="2">
        <v>24090</v>
      </c>
      <c r="D779" t="s">
        <v>810</v>
      </c>
      <c r="G779" s="15">
        <v>2.9129999999999998</v>
      </c>
      <c r="J779" s="15"/>
      <c r="M779" s="14">
        <v>2.9129999999999998</v>
      </c>
      <c r="Q779" s="19">
        <v>8.1944444444444445E-2</v>
      </c>
    </row>
    <row r="780" spans="1:17" x14ac:dyDescent="0.2">
      <c r="A780" s="2">
        <v>26083</v>
      </c>
      <c r="B780" s="2">
        <v>26083</v>
      </c>
      <c r="C780" s="2">
        <v>19557</v>
      </c>
      <c r="D780" t="s">
        <v>1119</v>
      </c>
      <c r="G780" s="15">
        <v>3.0289999999999999</v>
      </c>
      <c r="J780" s="15"/>
      <c r="M780" s="1">
        <v>3.0289999999999999</v>
      </c>
      <c r="Q780" s="22">
        <v>0.11458333333333333</v>
      </c>
    </row>
    <row r="781" spans="1:17" x14ac:dyDescent="0.2">
      <c r="A781" s="2">
        <v>26323</v>
      </c>
      <c r="B781" s="2">
        <v>26323</v>
      </c>
      <c r="C781" s="2">
        <v>46851</v>
      </c>
      <c r="D781" t="s">
        <v>997</v>
      </c>
      <c r="G781" s="15">
        <v>0.93803700000000001</v>
      </c>
      <c r="J781" s="15"/>
      <c r="M781" s="14">
        <v>0.93803700000000001</v>
      </c>
      <c r="Q781" s="19">
        <v>0.23333333333333331</v>
      </c>
    </row>
    <row r="782" spans="1:17" x14ac:dyDescent="0.2">
      <c r="A782" s="2">
        <v>26693</v>
      </c>
      <c r="B782" s="2">
        <v>26693</v>
      </c>
      <c r="C782" s="2">
        <v>24558</v>
      </c>
      <c r="D782" t="s">
        <v>1131</v>
      </c>
      <c r="G782" s="15">
        <v>2.6469999999999998</v>
      </c>
      <c r="J782" s="15"/>
      <c r="M782" s="1">
        <v>2.6469999999999998</v>
      </c>
      <c r="Q782" s="22">
        <v>0.15763888888888888</v>
      </c>
    </row>
    <row r="783" spans="1:17" x14ac:dyDescent="0.2">
      <c r="A783" s="2">
        <v>26826</v>
      </c>
      <c r="B783" s="2">
        <v>26826</v>
      </c>
      <c r="C783" s="2">
        <v>42719</v>
      </c>
      <c r="D783" t="s">
        <v>829</v>
      </c>
      <c r="G783" s="15">
        <v>1.3540000000000001</v>
      </c>
      <c r="J783" s="15"/>
      <c r="M783" s="14">
        <v>1.3540000000000001</v>
      </c>
      <c r="Q783" s="19">
        <v>0.1277777777777778</v>
      </c>
    </row>
    <row r="784" spans="1:17" x14ac:dyDescent="0.2">
      <c r="A784" s="2">
        <v>27230</v>
      </c>
      <c r="B784" s="2">
        <v>27230</v>
      </c>
      <c r="C784" s="2">
        <v>22448</v>
      </c>
      <c r="D784" t="s">
        <v>1120</v>
      </c>
      <c r="G784" s="15">
        <v>2.8860000000000001</v>
      </c>
      <c r="J784" s="15"/>
      <c r="M784" s="1">
        <v>2.8860000000000001</v>
      </c>
      <c r="Q784" s="22">
        <v>0.2076388888888889</v>
      </c>
    </row>
    <row r="785" spans="1:17" x14ac:dyDescent="0.2">
      <c r="A785" s="2">
        <v>27488</v>
      </c>
      <c r="B785" s="2">
        <v>27488</v>
      </c>
      <c r="C785" s="2">
        <v>64015</v>
      </c>
      <c r="D785" t="s">
        <v>1042</v>
      </c>
      <c r="G785" s="15">
        <v>0.93698099999999995</v>
      </c>
      <c r="J785" s="15"/>
      <c r="M785" s="15">
        <v>0.93698099999999995</v>
      </c>
      <c r="Q785" s="19">
        <v>6.458333333333334E-2</v>
      </c>
    </row>
    <row r="786" spans="1:17" x14ac:dyDescent="0.2">
      <c r="A786" s="2">
        <v>27798</v>
      </c>
      <c r="B786" s="2">
        <v>27798</v>
      </c>
      <c r="C786" s="2">
        <v>58522</v>
      </c>
      <c r="D786" t="s">
        <v>1163</v>
      </c>
      <c r="G786" s="15">
        <v>0.62439100000000003</v>
      </c>
      <c r="J786" s="15"/>
      <c r="M786" s="15">
        <v>0.62439100000000003</v>
      </c>
      <c r="Q786" s="19">
        <v>0.27013888888888887</v>
      </c>
    </row>
    <row r="787" spans="1:17" x14ac:dyDescent="0.2">
      <c r="A787" s="2">
        <v>27944</v>
      </c>
      <c r="B787" s="2">
        <v>27944</v>
      </c>
      <c r="C787" s="2">
        <v>33877</v>
      </c>
      <c r="D787" t="s">
        <v>799</v>
      </c>
      <c r="E787" t="s">
        <v>800</v>
      </c>
      <c r="F787" s="2">
        <v>4000</v>
      </c>
      <c r="G787" s="15">
        <v>1.9219999999999999</v>
      </c>
      <c r="J787" s="15"/>
      <c r="M787" s="14">
        <v>1.9219999999999999</v>
      </c>
      <c r="Q787" s="19">
        <v>0.27152777777777776</v>
      </c>
    </row>
    <row r="788" spans="1:17" x14ac:dyDescent="0.2">
      <c r="A788" s="2">
        <v>28125</v>
      </c>
      <c r="B788" s="2">
        <v>28125</v>
      </c>
      <c r="C788" s="2">
        <v>43863</v>
      </c>
      <c r="D788" t="s">
        <v>967</v>
      </c>
      <c r="G788" s="15">
        <v>1.8029999999999999</v>
      </c>
      <c r="J788" s="15"/>
      <c r="M788" s="1">
        <v>1.8029999999999999</v>
      </c>
      <c r="Q788" s="19">
        <v>0.13958333333333334</v>
      </c>
    </row>
    <row r="789" spans="1:17" x14ac:dyDescent="0.2">
      <c r="A789" s="2">
        <v>28394</v>
      </c>
      <c r="B789" s="2">
        <v>28394</v>
      </c>
      <c r="C789" s="2">
        <v>51991</v>
      </c>
      <c r="D789" t="s">
        <v>1184</v>
      </c>
      <c r="G789" s="15">
        <v>1.3440000000000001</v>
      </c>
      <c r="J789" s="15"/>
      <c r="M789" s="14">
        <v>1.3440000000000001</v>
      </c>
      <c r="Q789" s="22">
        <v>7.9861111111111105E-2</v>
      </c>
    </row>
    <row r="790" spans="1:17" x14ac:dyDescent="0.2">
      <c r="A790" s="2">
        <v>28538</v>
      </c>
      <c r="B790" s="2">
        <v>28538</v>
      </c>
      <c r="C790" s="2">
        <v>25651</v>
      </c>
      <c r="D790" t="s">
        <v>1106</v>
      </c>
      <c r="G790" s="15">
        <v>2.145</v>
      </c>
      <c r="J790" s="15"/>
      <c r="M790" s="1">
        <v>2.145</v>
      </c>
      <c r="Q790" s="19">
        <v>0.17083333333333331</v>
      </c>
    </row>
    <row r="791" spans="1:17" x14ac:dyDescent="0.2">
      <c r="A791" s="2">
        <v>28879</v>
      </c>
      <c r="B791" s="2">
        <v>28879</v>
      </c>
      <c r="C791" s="2">
        <v>28464</v>
      </c>
      <c r="D791" t="s">
        <v>873</v>
      </c>
      <c r="G791" s="15">
        <v>1.9510000000000001</v>
      </c>
      <c r="J791" s="15"/>
      <c r="M791" s="14">
        <v>1.9510000000000001</v>
      </c>
      <c r="Q791" s="19">
        <v>0.14652777777777778</v>
      </c>
    </row>
    <row r="792" spans="1:17" x14ac:dyDescent="0.2">
      <c r="A792" s="2">
        <v>29115</v>
      </c>
      <c r="B792" s="2">
        <v>29115</v>
      </c>
      <c r="C792" s="2">
        <v>125709</v>
      </c>
      <c r="D792" t="s">
        <v>1146</v>
      </c>
      <c r="G792" s="15">
        <v>0.58443599999999996</v>
      </c>
      <c r="J792" s="15"/>
      <c r="M792" s="15">
        <v>0.58443599999999996</v>
      </c>
      <c r="Q792" s="19">
        <v>2.9166666666666664E-2</v>
      </c>
    </row>
    <row r="793" spans="1:17" x14ac:dyDescent="0.2">
      <c r="A793" s="2">
        <v>29148</v>
      </c>
      <c r="B793" s="2">
        <v>29148</v>
      </c>
      <c r="C793" s="2">
        <v>53655</v>
      </c>
      <c r="D793" t="s">
        <v>864</v>
      </c>
      <c r="G793" s="15">
        <v>1.0249999999999999</v>
      </c>
      <c r="J793" s="15"/>
      <c r="M793" s="14">
        <v>1.0249999999999999</v>
      </c>
      <c r="Q793" s="22">
        <v>0.11805555555555557</v>
      </c>
    </row>
    <row r="794" spans="1:17" x14ac:dyDescent="0.2">
      <c r="A794" s="2">
        <v>30286</v>
      </c>
      <c r="B794" s="2">
        <v>30286</v>
      </c>
      <c r="C794" s="2">
        <v>42126</v>
      </c>
      <c r="D794" t="s">
        <v>1013</v>
      </c>
      <c r="G794" s="15">
        <v>1.387</v>
      </c>
      <c r="J794" s="15"/>
      <c r="M794" s="14">
        <v>1.387</v>
      </c>
      <c r="Q794" s="19">
        <v>0.1173611111111111</v>
      </c>
    </row>
    <row r="795" spans="1:17" x14ac:dyDescent="0.2">
      <c r="A795" s="2">
        <v>30929</v>
      </c>
      <c r="B795" s="2">
        <v>33173</v>
      </c>
      <c r="C795" s="2">
        <v>71965</v>
      </c>
      <c r="D795" t="s">
        <v>574</v>
      </c>
      <c r="G795" s="15">
        <v>0.75358099999999995</v>
      </c>
      <c r="J795" s="15"/>
      <c r="M795" s="14">
        <v>0.75358099999999995</v>
      </c>
      <c r="Q795" s="19">
        <v>5.4166666666666669E-2</v>
      </c>
    </row>
    <row r="796" spans="1:17" x14ac:dyDescent="0.2">
      <c r="A796" s="2">
        <v>32082</v>
      </c>
      <c r="B796" s="2">
        <v>32082</v>
      </c>
      <c r="C796" s="2">
        <v>81464</v>
      </c>
      <c r="D796" t="s">
        <v>1015</v>
      </c>
      <c r="G796" s="15">
        <v>0.72070299999999998</v>
      </c>
      <c r="J796" s="15"/>
      <c r="M796" s="14">
        <v>0.72070299999999998</v>
      </c>
      <c r="Q796" s="19">
        <v>0.11041666666666666</v>
      </c>
    </row>
    <row r="797" spans="1:17" x14ac:dyDescent="0.2">
      <c r="A797" s="2">
        <v>32200</v>
      </c>
      <c r="B797" s="2">
        <v>32200</v>
      </c>
      <c r="C797" s="2">
        <v>32089</v>
      </c>
      <c r="D797" t="s">
        <v>974</v>
      </c>
      <c r="G797" s="15">
        <v>2.7610000000000001</v>
      </c>
      <c r="J797" s="15"/>
      <c r="M797" s="14">
        <v>2.7610000000000001</v>
      </c>
      <c r="Q797" s="22">
        <v>5.6250000000000001E-2</v>
      </c>
    </row>
    <row r="798" spans="1:17" x14ac:dyDescent="0.2">
      <c r="A798" s="2">
        <v>32363</v>
      </c>
      <c r="B798" s="2">
        <v>32363</v>
      </c>
      <c r="C798" s="2">
        <v>60520</v>
      </c>
      <c r="D798" t="s">
        <v>1048</v>
      </c>
      <c r="G798" s="15">
        <v>0.98753800000000003</v>
      </c>
      <c r="J798" s="15"/>
      <c r="M798" s="14">
        <v>0.98753800000000003</v>
      </c>
      <c r="Q798" s="19">
        <v>6.9444444444444434E-2</v>
      </c>
    </row>
    <row r="799" spans="1:17" x14ac:dyDescent="0.2">
      <c r="A799" s="2">
        <v>32417</v>
      </c>
      <c r="B799" s="2">
        <v>26164</v>
      </c>
      <c r="C799" s="2">
        <v>74686</v>
      </c>
      <c r="D799" t="s">
        <v>569</v>
      </c>
      <c r="G799" s="15">
        <v>0.789879</v>
      </c>
      <c r="H799" s="15">
        <v>2.7129E-2</v>
      </c>
      <c r="I799" s="16">
        <v>1.7961999999999999E-2</v>
      </c>
      <c r="J799" s="15">
        <v>0.16023499999999999</v>
      </c>
      <c r="M799" s="14">
        <v>0.74199700000000002</v>
      </c>
      <c r="Q799" s="19">
        <v>0.1763888888888889</v>
      </c>
    </row>
    <row r="800" spans="1:17" x14ac:dyDescent="0.2">
      <c r="A800" s="2">
        <v>34025</v>
      </c>
      <c r="B800" s="2">
        <v>34025</v>
      </c>
      <c r="C800" s="2">
        <v>44526</v>
      </c>
      <c r="D800" t="s">
        <v>1093</v>
      </c>
      <c r="G800" s="15">
        <v>1.7010000000000001</v>
      </c>
      <c r="J800" s="15"/>
      <c r="M800" s="1">
        <v>1.7010000000000001</v>
      </c>
      <c r="Q800" s="22">
        <v>4.5833333333333337E-2</v>
      </c>
    </row>
    <row r="801" spans="1:17" x14ac:dyDescent="0.2">
      <c r="A801" s="2">
        <v>34307</v>
      </c>
      <c r="B801" s="2">
        <v>34307</v>
      </c>
      <c r="C801" s="2">
        <v>96734</v>
      </c>
      <c r="D801" t="s">
        <v>993</v>
      </c>
      <c r="G801" s="15">
        <v>0.46610499999999999</v>
      </c>
      <c r="J801" s="15"/>
      <c r="M801" s="14">
        <v>0.46610499999999999</v>
      </c>
      <c r="Q801" s="22">
        <v>0.16041666666666668</v>
      </c>
    </row>
    <row r="802" spans="1:17" x14ac:dyDescent="0.2">
      <c r="A802" s="2">
        <v>34646</v>
      </c>
      <c r="B802" s="2">
        <v>34646</v>
      </c>
      <c r="C802" s="2">
        <v>20101</v>
      </c>
      <c r="D802" t="s">
        <v>1022</v>
      </c>
      <c r="G802" s="15">
        <v>2.1360000000000001</v>
      </c>
      <c r="J802" s="15"/>
      <c r="M802" s="14">
        <v>2.1360000000000001</v>
      </c>
      <c r="Q802" s="19">
        <v>0.20069444444444443</v>
      </c>
    </row>
    <row r="803" spans="1:17" x14ac:dyDescent="0.2">
      <c r="A803" s="2">
        <v>35088</v>
      </c>
      <c r="B803" s="2">
        <v>35088</v>
      </c>
      <c r="C803" s="2">
        <v>50232</v>
      </c>
      <c r="D803" t="s">
        <v>840</v>
      </c>
      <c r="G803" s="15">
        <v>1.163</v>
      </c>
      <c r="J803" s="15"/>
      <c r="M803" s="1">
        <v>1.163</v>
      </c>
      <c r="Q803" s="19">
        <v>0.1388888888888889</v>
      </c>
    </row>
    <row r="804" spans="1:17" x14ac:dyDescent="0.2">
      <c r="A804" s="2">
        <v>35137</v>
      </c>
      <c r="B804" s="2">
        <v>35137</v>
      </c>
      <c r="C804" s="2">
        <v>71605</v>
      </c>
      <c r="D804" t="s">
        <v>939</v>
      </c>
      <c r="G804" s="15">
        <v>0.80907300000000004</v>
      </c>
      <c r="J804" s="15"/>
      <c r="M804" s="14">
        <v>0.80907300000000004</v>
      </c>
      <c r="Q804" s="19">
        <v>0.12291666666666667</v>
      </c>
    </row>
    <row r="805" spans="1:17" x14ac:dyDescent="0.2">
      <c r="A805" s="2">
        <v>35336</v>
      </c>
      <c r="B805" s="2">
        <v>35336</v>
      </c>
      <c r="C805" s="2">
        <v>84797</v>
      </c>
      <c r="D805" t="s">
        <v>819</v>
      </c>
      <c r="G805" s="15">
        <v>0.75510100000000002</v>
      </c>
      <c r="J805" s="15"/>
      <c r="M805" s="14">
        <v>0.75510100000000002</v>
      </c>
      <c r="Q805" s="19">
        <v>7.3611111111111113E-2</v>
      </c>
    </row>
    <row r="806" spans="1:17" x14ac:dyDescent="0.2">
      <c r="A806" s="2">
        <v>36761</v>
      </c>
      <c r="B806" s="2">
        <v>36761</v>
      </c>
      <c r="C806" s="2">
        <v>24646</v>
      </c>
      <c r="D806" t="s">
        <v>1149</v>
      </c>
      <c r="G806" s="15">
        <v>3.6629999999999998</v>
      </c>
      <c r="J806" s="15"/>
      <c r="M806" s="1">
        <v>3.6629999999999998</v>
      </c>
      <c r="Q806" s="19">
        <v>0.15</v>
      </c>
    </row>
    <row r="807" spans="1:17" x14ac:dyDescent="0.2">
      <c r="A807" s="2">
        <v>36807</v>
      </c>
      <c r="B807" s="2">
        <v>36807</v>
      </c>
      <c r="C807" s="2">
        <v>91588</v>
      </c>
      <c r="D807" t="s">
        <v>1105</v>
      </c>
      <c r="G807" s="15">
        <v>0.813168</v>
      </c>
      <c r="J807" s="15"/>
      <c r="M807" s="15">
        <v>0.813168</v>
      </c>
      <c r="Q807" s="19">
        <v>9.7222222222222224E-2</v>
      </c>
    </row>
    <row r="808" spans="1:17" x14ac:dyDescent="0.2">
      <c r="A808" s="2">
        <v>37029</v>
      </c>
      <c r="B808" s="2">
        <v>37029</v>
      </c>
      <c r="C808" s="2">
        <v>109343</v>
      </c>
      <c r="D808" t="s">
        <v>787</v>
      </c>
      <c r="G808" s="15">
        <v>0.49878899999999998</v>
      </c>
      <c r="J808" s="15"/>
      <c r="M808" s="14">
        <v>0.49878899999999998</v>
      </c>
      <c r="Q808" s="19">
        <v>7.0833333333333331E-2</v>
      </c>
    </row>
    <row r="809" spans="1:17" x14ac:dyDescent="0.2">
      <c r="A809" s="2">
        <v>37666</v>
      </c>
      <c r="B809" s="2">
        <v>37666</v>
      </c>
      <c r="C809" s="2">
        <v>61277</v>
      </c>
      <c r="D809" t="s">
        <v>861</v>
      </c>
      <c r="G809" s="15">
        <v>0.80319799999999997</v>
      </c>
      <c r="J809" s="15"/>
      <c r="M809" s="14">
        <v>0.80319799999999997</v>
      </c>
      <c r="Q809" s="19">
        <v>0.17986111111111111</v>
      </c>
    </row>
    <row r="810" spans="1:17" x14ac:dyDescent="0.2">
      <c r="A810" s="2">
        <v>38293</v>
      </c>
      <c r="B810" s="2">
        <v>38293</v>
      </c>
      <c r="C810" s="2">
        <v>17261</v>
      </c>
      <c r="D810" t="s">
        <v>1028</v>
      </c>
      <c r="G810" s="15">
        <v>2.7839999999999998</v>
      </c>
      <c r="J810" s="15"/>
      <c r="M810" s="1">
        <v>2.7839999999999998</v>
      </c>
      <c r="Q810" s="19">
        <v>0.17152777777777775</v>
      </c>
    </row>
    <row r="811" spans="1:17" x14ac:dyDescent="0.2">
      <c r="A811" s="2">
        <v>38983</v>
      </c>
      <c r="B811" s="2">
        <v>38983</v>
      </c>
      <c r="C811" s="2">
        <v>41040</v>
      </c>
      <c r="D811" t="s">
        <v>1110</v>
      </c>
      <c r="G811" s="15">
        <v>0.95647000000000004</v>
      </c>
      <c r="J811" s="15"/>
      <c r="M811" s="15">
        <v>0.95647000000000004</v>
      </c>
      <c r="Q811" s="19">
        <v>0.25</v>
      </c>
    </row>
    <row r="812" spans="1:17" x14ac:dyDescent="0.2">
      <c r="A812" s="2">
        <v>40124</v>
      </c>
      <c r="B812" s="2">
        <v>40124</v>
      </c>
      <c r="C812" s="2">
        <v>37519</v>
      </c>
      <c r="D812" t="s">
        <v>1039</v>
      </c>
      <c r="G812" s="15">
        <v>1.4039999999999999</v>
      </c>
      <c r="J812" s="15"/>
      <c r="M812" s="1">
        <v>1.4039999999999999</v>
      </c>
      <c r="Q812" s="19">
        <v>0.27013888888888887</v>
      </c>
    </row>
    <row r="813" spans="1:17" x14ac:dyDescent="0.2">
      <c r="A813" s="2">
        <v>41697</v>
      </c>
      <c r="B813" s="2">
        <v>41697</v>
      </c>
      <c r="C813" s="2">
        <v>69247</v>
      </c>
      <c r="D813" t="s">
        <v>1040</v>
      </c>
      <c r="G813" s="15">
        <v>0.939438</v>
      </c>
      <c r="J813" s="15"/>
      <c r="M813" s="15">
        <v>0.939438</v>
      </c>
      <c r="Q813" s="19">
        <v>6.0416666666666667E-2</v>
      </c>
    </row>
    <row r="814" spans="1:17" x14ac:dyDescent="0.2">
      <c r="A814" s="2">
        <v>42170</v>
      </c>
      <c r="B814" s="2">
        <v>42170</v>
      </c>
      <c r="C814" s="2">
        <v>43294</v>
      </c>
      <c r="D814" t="s">
        <v>1151</v>
      </c>
      <c r="G814" s="15">
        <v>1.6140000000000001</v>
      </c>
      <c r="J814" s="15"/>
      <c r="M814" s="1">
        <v>1.6140000000000001</v>
      </c>
      <c r="Q814" s="19">
        <v>0.1763888888888889</v>
      </c>
    </row>
    <row r="815" spans="1:17" x14ac:dyDescent="0.2">
      <c r="A815" s="2">
        <v>42270</v>
      </c>
      <c r="B815" s="2">
        <v>42270</v>
      </c>
      <c r="C815" s="2">
        <v>132544</v>
      </c>
      <c r="D815" t="s">
        <v>1029</v>
      </c>
      <c r="G815" s="15">
        <v>0.34871999999999997</v>
      </c>
      <c r="J815" s="15"/>
      <c r="M815" s="15">
        <v>0.34871999999999997</v>
      </c>
      <c r="Q815" s="19">
        <v>0.1277777777777778</v>
      </c>
    </row>
    <row r="816" spans="1:17" x14ac:dyDescent="0.2">
      <c r="A816" s="2">
        <v>46675</v>
      </c>
      <c r="B816" s="2">
        <v>46675</v>
      </c>
      <c r="C816" s="2">
        <v>33418</v>
      </c>
      <c r="D816" t="s">
        <v>839</v>
      </c>
      <c r="G816" s="15">
        <v>1.7669999999999999</v>
      </c>
      <c r="J816" s="15"/>
      <c r="M816" s="1">
        <v>1.7669999999999999</v>
      </c>
      <c r="Q816" s="19">
        <v>0.13194444444444445</v>
      </c>
    </row>
    <row r="817" spans="1:17" x14ac:dyDescent="0.2">
      <c r="A817" s="2">
        <v>47038</v>
      </c>
      <c r="B817" s="2">
        <v>47038</v>
      </c>
      <c r="C817" s="2">
        <v>56427</v>
      </c>
      <c r="D817" t="s">
        <v>1044</v>
      </c>
      <c r="G817" s="15">
        <v>0.88661800000000002</v>
      </c>
      <c r="J817" s="15"/>
      <c r="M817" s="15">
        <v>0.88661800000000002</v>
      </c>
      <c r="Q817" s="19">
        <v>0.11388888888888889</v>
      </c>
    </row>
    <row r="818" spans="1:17" x14ac:dyDescent="0.2">
      <c r="A818" s="2">
        <v>48169</v>
      </c>
      <c r="B818" s="2">
        <v>48169</v>
      </c>
      <c r="C818" s="2">
        <v>150491</v>
      </c>
      <c r="D818" t="s">
        <v>1133</v>
      </c>
      <c r="G818" s="15">
        <v>0.288435</v>
      </c>
      <c r="J818" s="15"/>
      <c r="M818" s="14">
        <v>0.288435</v>
      </c>
      <c r="Q818" s="19">
        <v>0.47569444444444442</v>
      </c>
    </row>
    <row r="819" spans="1:17" x14ac:dyDescent="0.2">
      <c r="A819" s="2">
        <v>48750</v>
      </c>
      <c r="B819" s="2">
        <v>48750</v>
      </c>
      <c r="C819" s="2">
        <v>56854</v>
      </c>
      <c r="D819" t="s">
        <v>1020</v>
      </c>
      <c r="G819" s="15">
        <v>0.75953000000000004</v>
      </c>
      <c r="J819" s="15"/>
      <c r="M819" s="14">
        <v>0.75953000000000004</v>
      </c>
      <c r="Q819" s="19">
        <v>0.14305555555555557</v>
      </c>
    </row>
    <row r="820" spans="1:17" x14ac:dyDescent="0.2">
      <c r="A820" s="2">
        <v>48972</v>
      </c>
      <c r="B820" s="2">
        <v>48972</v>
      </c>
      <c r="C820" s="2">
        <v>108759</v>
      </c>
      <c r="D820" t="s">
        <v>915</v>
      </c>
      <c r="G820" s="15">
        <v>0.522698</v>
      </c>
      <c r="J820" s="15"/>
      <c r="M820" s="14">
        <v>0.522698</v>
      </c>
      <c r="Q820" s="19">
        <v>0.17500000000000002</v>
      </c>
    </row>
    <row r="821" spans="1:17" x14ac:dyDescent="0.2">
      <c r="A821" s="2">
        <v>52176</v>
      </c>
      <c r="B821" s="2">
        <v>52176</v>
      </c>
      <c r="C821" s="2">
        <v>127697</v>
      </c>
      <c r="D821" t="s">
        <v>791</v>
      </c>
      <c r="G821" s="15">
        <v>0.38327699999999998</v>
      </c>
      <c r="J821" s="15"/>
      <c r="M821" s="15">
        <v>0.38327699999999998</v>
      </c>
      <c r="Q821" s="19">
        <v>0.11875000000000001</v>
      </c>
    </row>
    <row r="822" spans="1:17" x14ac:dyDescent="0.2">
      <c r="A822" s="2">
        <v>53051</v>
      </c>
      <c r="B822" s="2">
        <v>53051</v>
      </c>
      <c r="C822" s="2">
        <v>237636</v>
      </c>
      <c r="D822" t="s">
        <v>1092</v>
      </c>
      <c r="G822" s="15">
        <v>0.270791</v>
      </c>
      <c r="J822" s="15"/>
      <c r="M822" s="1">
        <v>0.270791</v>
      </c>
      <c r="Q822" s="19">
        <v>3.888888888888889E-2</v>
      </c>
    </row>
    <row r="823" spans="1:17" x14ac:dyDescent="0.2">
      <c r="A823" s="2">
        <v>55354</v>
      </c>
      <c r="B823" s="2">
        <v>55354</v>
      </c>
      <c r="C823" s="2">
        <v>70450</v>
      </c>
      <c r="D823" t="s">
        <v>942</v>
      </c>
      <c r="G823" s="15">
        <v>0.63859900000000003</v>
      </c>
      <c r="J823" s="15"/>
      <c r="M823" s="15">
        <v>0.63859900000000003</v>
      </c>
      <c r="Q823" s="19">
        <v>0.18611111111111112</v>
      </c>
    </row>
    <row r="824" spans="1:17" x14ac:dyDescent="0.2">
      <c r="A824" s="2">
        <v>55724</v>
      </c>
      <c r="B824" s="2">
        <v>55724</v>
      </c>
      <c r="C824" s="2">
        <v>209170</v>
      </c>
      <c r="D824" t="s">
        <v>1041</v>
      </c>
      <c r="G824" s="15">
        <v>0.298043</v>
      </c>
      <c r="J824" s="15"/>
      <c r="M824" s="15">
        <v>0.298043</v>
      </c>
      <c r="Q824" s="19">
        <v>2.2916666666666669E-2</v>
      </c>
    </row>
    <row r="825" spans="1:17" x14ac:dyDescent="0.2">
      <c r="A825" s="2">
        <v>56210</v>
      </c>
      <c r="B825" s="2">
        <v>56210</v>
      </c>
      <c r="C825" s="2">
        <v>77864</v>
      </c>
      <c r="D825" t="s">
        <v>935</v>
      </c>
      <c r="G825" s="15">
        <v>0.77962500000000001</v>
      </c>
      <c r="J825" s="15"/>
      <c r="M825" s="15">
        <v>0.77962500000000001</v>
      </c>
      <c r="Q825" s="19">
        <v>0.12708333333333333</v>
      </c>
    </row>
    <row r="826" spans="1:17" x14ac:dyDescent="0.2">
      <c r="A826" s="2">
        <v>56722</v>
      </c>
      <c r="B826" s="2">
        <v>56722</v>
      </c>
      <c r="C826" s="2">
        <v>179853</v>
      </c>
      <c r="D826" t="s">
        <v>859</v>
      </c>
      <c r="G826" s="15">
        <v>0.18307699999999999</v>
      </c>
      <c r="J826" s="15"/>
      <c r="M826" s="15">
        <v>0.18307699999999999</v>
      </c>
      <c r="Q826" s="19">
        <v>0.33124999999999999</v>
      </c>
    </row>
    <row r="827" spans="1:17" x14ac:dyDescent="0.2">
      <c r="A827" s="2">
        <v>57277</v>
      </c>
      <c r="B827" s="2">
        <v>57277</v>
      </c>
      <c r="C827" s="2">
        <v>40671</v>
      </c>
      <c r="D827" t="s">
        <v>963</v>
      </c>
      <c r="G827" s="15">
        <v>0.88869299999999996</v>
      </c>
      <c r="J827" s="15"/>
      <c r="M827" s="14">
        <v>0.88869299999999996</v>
      </c>
      <c r="Q827" s="19">
        <v>0.19930555555555554</v>
      </c>
    </row>
    <row r="828" spans="1:17" x14ac:dyDescent="0.2">
      <c r="A828" s="2">
        <v>58426</v>
      </c>
      <c r="B828" s="2">
        <v>58426</v>
      </c>
      <c r="C828" s="2">
        <v>107141</v>
      </c>
      <c r="D828" t="s">
        <v>999</v>
      </c>
      <c r="G828" s="15">
        <v>0.72270199999999996</v>
      </c>
      <c r="J828" s="15"/>
      <c r="M828" s="1">
        <v>0.72270199999999996</v>
      </c>
      <c r="Q828" s="19">
        <v>6.6666666666666666E-2</v>
      </c>
    </row>
    <row r="829" spans="1:17" x14ac:dyDescent="0.2">
      <c r="A829" s="2">
        <v>59465</v>
      </c>
      <c r="B829" s="2">
        <v>59465</v>
      </c>
      <c r="C829" s="2">
        <v>106245</v>
      </c>
      <c r="D829" t="s">
        <v>965</v>
      </c>
      <c r="G829" s="15">
        <v>0.57583700000000004</v>
      </c>
      <c r="J829" s="15"/>
      <c r="M829" s="15">
        <v>0.57583700000000004</v>
      </c>
      <c r="Q829" s="19">
        <v>0.12430555555555556</v>
      </c>
    </row>
    <row r="830" spans="1:17" x14ac:dyDescent="0.2">
      <c r="A830" s="2">
        <v>60053</v>
      </c>
      <c r="B830" s="2">
        <v>60053</v>
      </c>
      <c r="C830" s="2">
        <v>56764</v>
      </c>
      <c r="D830" t="s">
        <v>1107</v>
      </c>
      <c r="G830" s="15">
        <v>1.431</v>
      </c>
      <c r="J830" s="15"/>
      <c r="M830" s="1">
        <v>1.431</v>
      </c>
      <c r="Q830" s="19">
        <v>5.9722222222222225E-2</v>
      </c>
    </row>
    <row r="831" spans="1:17" x14ac:dyDescent="0.2">
      <c r="A831" s="2">
        <v>60214</v>
      </c>
      <c r="B831" s="2">
        <v>60214</v>
      </c>
      <c r="C831" s="2">
        <v>64874</v>
      </c>
      <c r="D831" t="s">
        <v>1076</v>
      </c>
      <c r="G831" s="15">
        <v>0.71190200000000003</v>
      </c>
      <c r="J831" s="15"/>
      <c r="M831" s="15">
        <v>0.71190200000000003</v>
      </c>
      <c r="Q831" s="19">
        <v>9.8611111111111108E-2</v>
      </c>
    </row>
    <row r="832" spans="1:17" x14ac:dyDescent="0.2">
      <c r="A832" s="2">
        <v>60917</v>
      </c>
      <c r="B832" s="2">
        <v>60917</v>
      </c>
      <c r="C832" s="2">
        <v>326034</v>
      </c>
      <c r="D832" t="s">
        <v>784</v>
      </c>
      <c r="G832" s="15">
        <v>0.137154</v>
      </c>
      <c r="J832" s="15"/>
      <c r="M832" s="15">
        <v>0.137154</v>
      </c>
      <c r="Q832" s="19">
        <v>6.0416666666666667E-2</v>
      </c>
    </row>
    <row r="833" spans="1:17" x14ac:dyDescent="0.2">
      <c r="A833" s="2">
        <v>61697</v>
      </c>
      <c r="B833" s="2">
        <v>61697</v>
      </c>
      <c r="C833" s="2">
        <v>121842</v>
      </c>
      <c r="D833" t="s">
        <v>782</v>
      </c>
      <c r="G833" s="15">
        <v>0.39068900000000001</v>
      </c>
      <c r="J833" s="15"/>
      <c r="M833" s="14">
        <v>0.39068900000000001</v>
      </c>
      <c r="Q833" s="19">
        <v>0.1173611111111111</v>
      </c>
    </row>
    <row r="834" spans="1:17" x14ac:dyDescent="0.2">
      <c r="A834" s="2">
        <v>62871</v>
      </c>
      <c r="B834" s="2">
        <v>62871</v>
      </c>
      <c r="C834" s="2">
        <v>81867</v>
      </c>
      <c r="D834" t="s">
        <v>1017</v>
      </c>
      <c r="G834" s="15">
        <v>0.55604799999999999</v>
      </c>
      <c r="J834" s="15"/>
      <c r="M834" s="14">
        <v>0.55604799999999999</v>
      </c>
      <c r="Q834" s="19">
        <v>0.11527777777777777</v>
      </c>
    </row>
    <row r="835" spans="1:17" x14ac:dyDescent="0.2">
      <c r="A835" s="2">
        <v>63237</v>
      </c>
      <c r="B835" s="2">
        <v>63237</v>
      </c>
      <c r="C835" s="2">
        <v>94603</v>
      </c>
      <c r="D835" t="s">
        <v>926</v>
      </c>
      <c r="G835" s="15">
        <v>0.36492400000000003</v>
      </c>
      <c r="J835" s="15"/>
      <c r="M835" s="14">
        <v>0.36492400000000003</v>
      </c>
      <c r="Q835" s="19">
        <v>0.48680555555555555</v>
      </c>
    </row>
    <row r="836" spans="1:17" x14ac:dyDescent="0.2">
      <c r="A836" s="2">
        <v>63508</v>
      </c>
      <c r="B836" s="2">
        <v>63508</v>
      </c>
      <c r="C836" s="2">
        <v>91364</v>
      </c>
      <c r="D836" t="s">
        <v>1037</v>
      </c>
      <c r="G836" s="15">
        <v>0.54338699999999995</v>
      </c>
      <c r="J836" s="15"/>
      <c r="M836" s="14">
        <v>0.54338699999999995</v>
      </c>
      <c r="Q836" s="19">
        <v>0.1388888888888889</v>
      </c>
    </row>
    <row r="837" spans="1:17" x14ac:dyDescent="0.2">
      <c r="A837" s="2">
        <v>64252</v>
      </c>
      <c r="B837" s="2">
        <v>64252</v>
      </c>
      <c r="C837" s="2">
        <v>106624</v>
      </c>
      <c r="D837" t="s">
        <v>940</v>
      </c>
      <c r="G837" s="15">
        <v>0.54640999999999995</v>
      </c>
      <c r="J837" s="15"/>
      <c r="M837" s="14">
        <v>0.54640999999999995</v>
      </c>
      <c r="Q837" s="19">
        <v>5.5555555555555552E-2</v>
      </c>
    </row>
    <row r="838" spans="1:17" x14ac:dyDescent="0.2">
      <c r="A838" s="2">
        <v>65401</v>
      </c>
      <c r="B838" s="2">
        <v>65401</v>
      </c>
      <c r="C838" s="2">
        <v>320264</v>
      </c>
      <c r="D838" t="s">
        <v>1046</v>
      </c>
      <c r="G838" s="15">
        <v>0.166854</v>
      </c>
      <c r="J838" s="15"/>
      <c r="M838" s="14">
        <v>0.166854</v>
      </c>
      <c r="Q838" s="19">
        <v>2.361111111111111E-2</v>
      </c>
    </row>
    <row r="839" spans="1:17" x14ac:dyDescent="0.2">
      <c r="A839" s="2">
        <v>70448</v>
      </c>
      <c r="B839" s="2">
        <v>70448</v>
      </c>
      <c r="C839" s="2">
        <v>332914</v>
      </c>
      <c r="D839" t="s">
        <v>1045</v>
      </c>
      <c r="G839" s="15">
        <v>0.123067</v>
      </c>
      <c r="J839" s="15"/>
      <c r="M839" s="14">
        <v>0.123067</v>
      </c>
      <c r="Q839" s="19">
        <v>7.8472222222222221E-2</v>
      </c>
    </row>
    <row r="840" spans="1:17" x14ac:dyDescent="0.2">
      <c r="A840" s="2">
        <v>72506</v>
      </c>
      <c r="B840" s="2">
        <v>72506</v>
      </c>
      <c r="C840" s="2">
        <v>80107</v>
      </c>
      <c r="D840" t="s">
        <v>914</v>
      </c>
      <c r="G840" s="15">
        <v>8.0106999999999998E-2</v>
      </c>
      <c r="J840" s="15"/>
      <c r="M840" s="14">
        <v>8.0106999999999998E-2</v>
      </c>
      <c r="Q840" s="19">
        <v>0.14722222222222223</v>
      </c>
    </row>
    <row r="841" spans="1:17" x14ac:dyDescent="0.2">
      <c r="A841" s="2">
        <v>72645</v>
      </c>
      <c r="B841" s="2">
        <v>72645</v>
      </c>
      <c r="C841" s="2">
        <v>338552</v>
      </c>
      <c r="D841" t="s">
        <v>994</v>
      </c>
      <c r="G841" s="15">
        <v>7.8987000000000002E-2</v>
      </c>
      <c r="J841" s="15"/>
      <c r="M841" s="14">
        <v>7.8987000000000002E-2</v>
      </c>
      <c r="Q841" s="19">
        <v>0.19583333333333333</v>
      </c>
    </row>
    <row r="842" spans="1:17" x14ac:dyDescent="0.2">
      <c r="A842" s="2">
        <v>73683</v>
      </c>
      <c r="B842" s="2">
        <v>73683</v>
      </c>
      <c r="C842" s="2">
        <v>82269</v>
      </c>
      <c r="D842" t="s">
        <v>1084</v>
      </c>
      <c r="G842" s="15">
        <v>0.64739599999999997</v>
      </c>
      <c r="J842" s="15"/>
      <c r="M842" s="1">
        <v>0.64739599999999997</v>
      </c>
      <c r="Q842" s="19">
        <v>0.19305555555555554</v>
      </c>
    </row>
    <row r="843" spans="1:17" x14ac:dyDescent="0.2">
      <c r="A843" s="2">
        <v>73876</v>
      </c>
      <c r="B843" s="2">
        <v>73876</v>
      </c>
      <c r="C843" s="2">
        <v>76451</v>
      </c>
      <c r="D843" t="s">
        <v>805</v>
      </c>
      <c r="G843" s="15">
        <v>0.65510400000000002</v>
      </c>
      <c r="J843" s="15"/>
      <c r="M843" s="14">
        <v>0.65510400000000002</v>
      </c>
      <c r="Q843" s="19">
        <v>6.1111111111111116E-2</v>
      </c>
    </row>
    <row r="844" spans="1:17" x14ac:dyDescent="0.2">
      <c r="A844" s="2">
        <v>73985</v>
      </c>
      <c r="B844" s="2">
        <v>73985</v>
      </c>
      <c r="C844" s="2">
        <v>61616</v>
      </c>
      <c r="D844" t="s">
        <v>1088</v>
      </c>
      <c r="G844" s="15">
        <v>1.0389999999999999</v>
      </c>
      <c r="J844" s="15"/>
      <c r="M844" s="1">
        <v>1.0389999999999999</v>
      </c>
      <c r="Q844" s="19">
        <v>0.13125000000000001</v>
      </c>
    </row>
    <row r="845" spans="1:17" x14ac:dyDescent="0.2">
      <c r="A845" s="2">
        <v>76768</v>
      </c>
      <c r="B845" s="2">
        <v>76768</v>
      </c>
      <c r="C845" s="2">
        <v>53218</v>
      </c>
      <c r="D845" t="s">
        <v>1036</v>
      </c>
      <c r="G845" s="15">
        <v>0.80736399999999997</v>
      </c>
      <c r="J845" s="15"/>
      <c r="M845" s="14">
        <v>0.80736399999999997</v>
      </c>
      <c r="Q845" s="19">
        <v>0.17777777777777778</v>
      </c>
    </row>
    <row r="846" spans="1:17" x14ac:dyDescent="0.2">
      <c r="A846" s="2">
        <v>77760</v>
      </c>
      <c r="B846" s="2">
        <v>77760</v>
      </c>
      <c r="C846" s="2">
        <v>9193</v>
      </c>
      <c r="D846" t="s">
        <v>969</v>
      </c>
      <c r="G846" s="15">
        <v>5.883</v>
      </c>
      <c r="J846" s="15"/>
      <c r="M846" s="1">
        <v>5.883</v>
      </c>
      <c r="Q846" s="19">
        <v>0.31319444444444444</v>
      </c>
    </row>
    <row r="847" spans="1:17" x14ac:dyDescent="0.2">
      <c r="A847" s="2">
        <v>78266</v>
      </c>
      <c r="B847" s="2">
        <v>78266</v>
      </c>
      <c r="C847" s="2">
        <v>108303</v>
      </c>
      <c r="D847" t="s">
        <v>1001</v>
      </c>
      <c r="G847" s="15">
        <v>0.54505300000000001</v>
      </c>
      <c r="J847" s="15"/>
      <c r="M847" s="14">
        <v>0.54505300000000001</v>
      </c>
      <c r="Q847" s="19">
        <v>0.12013888888888889</v>
      </c>
    </row>
    <row r="848" spans="1:17" x14ac:dyDescent="0.2">
      <c r="A848" s="2">
        <v>80167</v>
      </c>
      <c r="B848" s="2">
        <v>80167</v>
      </c>
      <c r="C848" s="2">
        <v>85799</v>
      </c>
      <c r="D848" t="s">
        <v>1000</v>
      </c>
      <c r="G848" s="15">
        <v>0.83872800000000003</v>
      </c>
      <c r="J848" s="15"/>
      <c r="M848" s="14">
        <v>0.83872800000000003</v>
      </c>
      <c r="Q848" s="19">
        <v>5.2083333333333336E-2</v>
      </c>
    </row>
    <row r="849" spans="1:17" x14ac:dyDescent="0.2">
      <c r="A849" s="2">
        <v>80600</v>
      </c>
      <c r="B849" s="2">
        <v>80600</v>
      </c>
      <c r="C849" s="2">
        <v>57632</v>
      </c>
      <c r="D849" t="s">
        <v>1115</v>
      </c>
      <c r="G849" s="15">
        <v>0.75457799999999997</v>
      </c>
      <c r="J849" s="15"/>
      <c r="M849" s="1">
        <v>0.75457799999999997</v>
      </c>
      <c r="Q849" s="22">
        <v>0.1763888888888889</v>
      </c>
    </row>
    <row r="850" spans="1:17" x14ac:dyDescent="0.2">
      <c r="A850" s="2">
        <v>82222</v>
      </c>
      <c r="B850" s="2">
        <v>82222</v>
      </c>
      <c r="C850" s="2">
        <v>96800</v>
      </c>
      <c r="D850" t="s">
        <v>798</v>
      </c>
      <c r="G850" s="15">
        <v>0.65190700000000001</v>
      </c>
      <c r="J850" s="15"/>
      <c r="M850" s="14">
        <v>0.65190700000000001</v>
      </c>
      <c r="Q850" s="19">
        <v>9.8611111111111108E-2</v>
      </c>
    </row>
    <row r="851" spans="1:17" x14ac:dyDescent="0.2">
      <c r="A851" s="2">
        <v>82940</v>
      </c>
      <c r="B851" s="2">
        <v>82940</v>
      </c>
      <c r="C851" s="2">
        <v>173729</v>
      </c>
      <c r="D851" t="s">
        <v>968</v>
      </c>
      <c r="G851" s="15">
        <v>0.38967299999999999</v>
      </c>
      <c r="J851" s="15"/>
      <c r="M851" s="14">
        <v>0.38967299999999999</v>
      </c>
      <c r="Q851" s="19">
        <v>0.1451388888888889</v>
      </c>
    </row>
    <row r="852" spans="1:17" x14ac:dyDescent="0.2">
      <c r="A852" s="2">
        <v>83377</v>
      </c>
      <c r="B852" s="2">
        <v>83377</v>
      </c>
      <c r="C852" s="2">
        <v>127653</v>
      </c>
      <c r="D852" t="s">
        <v>1016</v>
      </c>
      <c r="G852" s="15">
        <v>0.36705199999999999</v>
      </c>
      <c r="J852" s="15"/>
      <c r="M852" s="14">
        <v>0.36705199999999999</v>
      </c>
      <c r="Q852" s="19">
        <v>0.1173611111111111</v>
      </c>
    </row>
    <row r="853" spans="1:17" x14ac:dyDescent="0.2">
      <c r="A853" s="2">
        <v>83458</v>
      </c>
      <c r="B853" s="2">
        <v>83458</v>
      </c>
      <c r="C853" s="2">
        <v>245028</v>
      </c>
      <c r="D853" t="s">
        <v>785</v>
      </c>
      <c r="G853" s="15">
        <v>0.19157099999999999</v>
      </c>
      <c r="J853" s="15"/>
      <c r="M853" s="14">
        <v>0.19157099999999999</v>
      </c>
      <c r="Q853" s="19">
        <v>4.1666666666666664E-2</v>
      </c>
    </row>
    <row r="854" spans="1:17" x14ac:dyDescent="0.2">
      <c r="A854" s="2">
        <v>84038</v>
      </c>
      <c r="B854" s="2">
        <v>84038</v>
      </c>
      <c r="C854" s="2">
        <v>142930</v>
      </c>
      <c r="D854" t="s">
        <v>1096</v>
      </c>
      <c r="G854" s="15">
        <v>0.28136499999999998</v>
      </c>
      <c r="J854" s="15"/>
      <c r="M854" s="14">
        <v>0.28136499999999998</v>
      </c>
      <c r="Q854" s="19">
        <v>0.11527777777777777</v>
      </c>
    </row>
    <row r="855" spans="1:17" x14ac:dyDescent="0.2">
      <c r="A855" s="2">
        <v>87014</v>
      </c>
      <c r="B855" s="2">
        <v>87014</v>
      </c>
      <c r="C855" s="2">
        <v>69720</v>
      </c>
      <c r="D855" t="s">
        <v>1060</v>
      </c>
      <c r="G855" s="15">
        <v>0.87467099999999998</v>
      </c>
      <c r="I855" s="15"/>
      <c r="J855" s="15"/>
      <c r="M855" s="1">
        <v>0.87467099999999998</v>
      </c>
      <c r="Q855" s="19">
        <v>6.6666666666666666E-2</v>
      </c>
    </row>
    <row r="856" spans="1:17" x14ac:dyDescent="0.2">
      <c r="A856" s="2">
        <v>87024</v>
      </c>
      <c r="B856" s="2">
        <v>87024</v>
      </c>
      <c r="C856" s="2">
        <v>79737</v>
      </c>
      <c r="D856" t="s">
        <v>932</v>
      </c>
      <c r="G856" s="15">
        <v>0.32195000000000001</v>
      </c>
      <c r="J856" s="15"/>
      <c r="M856" s="14">
        <v>0.32195000000000001</v>
      </c>
      <c r="Q856" s="19">
        <v>0.26874999999999999</v>
      </c>
    </row>
    <row r="857" spans="1:17" x14ac:dyDescent="0.2">
      <c r="A857" s="2">
        <v>87349</v>
      </c>
      <c r="B857" s="2">
        <v>87349</v>
      </c>
      <c r="C857" s="2">
        <v>67096</v>
      </c>
      <c r="D857" t="s">
        <v>1058</v>
      </c>
      <c r="G857" s="15">
        <v>0.86591899999999999</v>
      </c>
      <c r="J857" s="15"/>
      <c r="M857" s="1">
        <v>0.86591899999999999</v>
      </c>
      <c r="Q857" s="19">
        <v>0.10416666666666667</v>
      </c>
    </row>
    <row r="858" spans="1:17" x14ac:dyDescent="0.2">
      <c r="A858" s="2">
        <v>92899</v>
      </c>
      <c r="B858" s="2">
        <v>92899</v>
      </c>
      <c r="C858" s="2">
        <v>340633</v>
      </c>
      <c r="D858" t="s">
        <v>1047</v>
      </c>
      <c r="G858" s="15">
        <v>0.16528000000000001</v>
      </c>
      <c r="J858" s="15"/>
      <c r="M858" s="14">
        <v>0.16528000000000001</v>
      </c>
      <c r="Q858" s="19">
        <v>3.5416666666666666E-2</v>
      </c>
    </row>
    <row r="859" spans="1:17" x14ac:dyDescent="0.2">
      <c r="A859" s="2">
        <v>94046</v>
      </c>
      <c r="B859" s="2">
        <v>94046</v>
      </c>
      <c r="C859" s="2">
        <v>187478</v>
      </c>
      <c r="D859" t="s">
        <v>837</v>
      </c>
      <c r="G859" s="15">
        <v>0.26639200000000002</v>
      </c>
      <c r="J859" s="15"/>
      <c r="M859" s="14">
        <v>0.26639200000000002</v>
      </c>
      <c r="Q859" s="19">
        <v>7.9166666666666663E-2</v>
      </c>
    </row>
    <row r="860" spans="1:17" x14ac:dyDescent="0.2">
      <c r="A860" s="2">
        <v>95981</v>
      </c>
      <c r="B860" s="2">
        <v>95981</v>
      </c>
      <c r="C860" s="2">
        <v>245260</v>
      </c>
      <c r="D860" t="s">
        <v>984</v>
      </c>
      <c r="G860" s="15">
        <v>0.277696</v>
      </c>
      <c r="J860" s="15"/>
      <c r="M860" s="14">
        <v>0.277696</v>
      </c>
      <c r="Q860" s="22">
        <v>3.0555555555555555E-2</v>
      </c>
    </row>
    <row r="861" spans="1:17" x14ac:dyDescent="0.2">
      <c r="A861" s="2">
        <v>98542</v>
      </c>
      <c r="B861" s="2">
        <v>98542</v>
      </c>
      <c r="C861" s="2">
        <v>116137</v>
      </c>
      <c r="D861" t="s">
        <v>824</v>
      </c>
      <c r="G861" s="15">
        <v>0.50777300000000003</v>
      </c>
      <c r="J861" s="15"/>
      <c r="M861" s="14">
        <v>0.50777300000000003</v>
      </c>
      <c r="Q861" s="19">
        <v>0.13333333333333333</v>
      </c>
    </row>
    <row r="862" spans="1:17" x14ac:dyDescent="0.2">
      <c r="A862" s="2">
        <v>98570</v>
      </c>
      <c r="B862" s="2">
        <v>98570</v>
      </c>
      <c r="C862" s="2">
        <v>315147</v>
      </c>
      <c r="D862" t="s">
        <v>918</v>
      </c>
      <c r="G862" s="15">
        <v>0.121147</v>
      </c>
      <c r="J862" s="15"/>
      <c r="M862" s="15">
        <v>0.121147</v>
      </c>
      <c r="Q862" s="19">
        <v>0.34652777777777777</v>
      </c>
    </row>
    <row r="863" spans="1:17" x14ac:dyDescent="0.2">
      <c r="A863" s="2">
        <v>100195</v>
      </c>
      <c r="B863" s="2">
        <v>100195</v>
      </c>
      <c r="C863" s="2">
        <v>79530</v>
      </c>
      <c r="D863" t="s">
        <v>1018</v>
      </c>
      <c r="G863" s="15">
        <v>0.54786999999999997</v>
      </c>
      <c r="J863" s="15"/>
      <c r="M863" s="14">
        <v>0.54786999999999997</v>
      </c>
      <c r="Q863" s="22">
        <v>0.19444444444444445</v>
      </c>
    </row>
    <row r="864" spans="1:17" x14ac:dyDescent="0.2">
      <c r="A864" s="2">
        <v>100959</v>
      </c>
      <c r="B864" s="2">
        <v>100959</v>
      </c>
      <c r="C864" s="2">
        <v>450951</v>
      </c>
      <c r="D864" t="s">
        <v>868</v>
      </c>
      <c r="G864" s="15">
        <v>5.9858000000000001E-2</v>
      </c>
      <c r="J864" s="15"/>
      <c r="M864" s="14">
        <v>5.9858000000000001E-2</v>
      </c>
      <c r="Q864" s="22">
        <v>0.43194444444444446</v>
      </c>
    </row>
    <row r="865" spans="1:17" x14ac:dyDescent="0.2">
      <c r="A865" s="2">
        <v>104851</v>
      </c>
      <c r="B865" s="2">
        <v>104851</v>
      </c>
      <c r="C865" s="2">
        <v>191322</v>
      </c>
      <c r="D865" t="s">
        <v>937</v>
      </c>
      <c r="G865" s="15">
        <v>0.27698</v>
      </c>
      <c r="J865" s="15"/>
      <c r="M865" s="15">
        <v>0.27698</v>
      </c>
      <c r="Q865" s="19">
        <v>9.375E-2</v>
      </c>
    </row>
    <row r="866" spans="1:17" x14ac:dyDescent="0.2">
      <c r="A866" s="2">
        <v>109230</v>
      </c>
      <c r="B866" s="2">
        <v>109230</v>
      </c>
      <c r="C866" s="2">
        <v>448033</v>
      </c>
      <c r="D866" t="s">
        <v>850</v>
      </c>
      <c r="G866" s="15">
        <v>8.3721000000000004E-2</v>
      </c>
      <c r="J866" s="15"/>
      <c r="M866" s="15">
        <v>8.3721000000000004E-2</v>
      </c>
      <c r="Q866" s="19">
        <v>0.17083333333333331</v>
      </c>
    </row>
    <row r="867" spans="1:17" x14ac:dyDescent="0.2">
      <c r="A867" s="2">
        <v>110954</v>
      </c>
      <c r="B867" s="2">
        <v>110954</v>
      </c>
      <c r="C867" s="2">
        <v>161346</v>
      </c>
      <c r="D867" t="s">
        <v>870</v>
      </c>
      <c r="G867" s="15">
        <v>0.25052099999999999</v>
      </c>
      <c r="J867" s="15"/>
      <c r="M867" s="14">
        <v>0.25052099999999999</v>
      </c>
      <c r="Q867" s="22">
        <v>0.23055555555555554</v>
      </c>
    </row>
    <row r="868" spans="1:17" x14ac:dyDescent="0.2">
      <c r="A868" s="2">
        <v>112151</v>
      </c>
      <c r="B868" s="2">
        <v>112151</v>
      </c>
      <c r="C868" s="2">
        <v>171189</v>
      </c>
      <c r="D868" t="s">
        <v>985</v>
      </c>
      <c r="G868" s="15">
        <v>0.357184</v>
      </c>
      <c r="J868" s="15"/>
      <c r="M868" s="14">
        <v>0.357184</v>
      </c>
      <c r="Q868" s="22">
        <v>4.3055555555555562E-2</v>
      </c>
    </row>
    <row r="869" spans="1:17" x14ac:dyDescent="0.2">
      <c r="A869" s="2">
        <v>112417</v>
      </c>
      <c r="B869" s="2">
        <v>112417</v>
      </c>
      <c r="C869" s="2">
        <v>139460</v>
      </c>
      <c r="D869" t="s">
        <v>1038</v>
      </c>
      <c r="G869" s="15">
        <v>0.29633799999999999</v>
      </c>
      <c r="J869" s="15"/>
      <c r="M869" s="14">
        <v>0.29633799999999999</v>
      </c>
      <c r="Q869" s="19">
        <v>0.23194444444444443</v>
      </c>
    </row>
    <row r="870" spans="1:17" x14ac:dyDescent="0.2">
      <c r="A870" s="2">
        <v>114126</v>
      </c>
      <c r="B870" s="2">
        <v>114126</v>
      </c>
      <c r="C870" s="2">
        <v>669602</v>
      </c>
      <c r="D870" t="s">
        <v>955</v>
      </c>
      <c r="G870" s="15">
        <v>3.7558000000000001E-2</v>
      </c>
      <c r="J870" s="15"/>
      <c r="M870" s="15">
        <v>3.7558000000000001E-2</v>
      </c>
      <c r="Q870" s="19">
        <v>6.9444444444444434E-2</v>
      </c>
    </row>
    <row r="871" spans="1:17" x14ac:dyDescent="0.2">
      <c r="A871" s="2">
        <v>115744</v>
      </c>
      <c r="B871" s="2">
        <v>115744</v>
      </c>
      <c r="C871" s="2">
        <v>289102</v>
      </c>
      <c r="D871" t="s">
        <v>806</v>
      </c>
      <c r="G871" s="15">
        <v>0.17391100000000001</v>
      </c>
      <c r="J871" s="15"/>
      <c r="M871" s="14">
        <v>0.17391100000000001</v>
      </c>
      <c r="Q871" s="22">
        <v>6.458333333333334E-2</v>
      </c>
    </row>
    <row r="872" spans="1:17" x14ac:dyDescent="0.2">
      <c r="A872" s="2">
        <v>120338</v>
      </c>
      <c r="B872" s="2">
        <v>120338</v>
      </c>
      <c r="C872" s="2">
        <v>155266</v>
      </c>
      <c r="D872" t="s">
        <v>797</v>
      </c>
      <c r="G872" s="15">
        <v>0.24010600000000001</v>
      </c>
      <c r="J872" s="15"/>
      <c r="M872" s="15">
        <v>0.24010600000000001</v>
      </c>
      <c r="Q872" s="19">
        <v>0.30833333333333335</v>
      </c>
    </row>
    <row r="873" spans="1:17" x14ac:dyDescent="0.2">
      <c r="A873" s="2">
        <v>125085</v>
      </c>
      <c r="B873" s="2">
        <v>125085</v>
      </c>
      <c r="C873" s="2">
        <v>284365</v>
      </c>
      <c r="D873" t="s">
        <v>981</v>
      </c>
      <c r="G873" s="15">
        <v>0.23280300000000001</v>
      </c>
      <c r="J873" s="15"/>
      <c r="M873" s="14">
        <v>0.23280300000000001</v>
      </c>
      <c r="Q873" s="22">
        <v>1.6666666666666666E-2</v>
      </c>
    </row>
    <row r="874" spans="1:17" x14ac:dyDescent="0.2">
      <c r="A874" s="2">
        <v>128783</v>
      </c>
      <c r="B874" s="2">
        <v>210686</v>
      </c>
      <c r="C874" s="2">
        <v>210686</v>
      </c>
      <c r="D874" t="s">
        <v>1072</v>
      </c>
      <c r="G874" s="15">
        <v>0.21390899999999999</v>
      </c>
      <c r="J874" s="15"/>
      <c r="M874" s="14">
        <v>0.21390899999999999</v>
      </c>
      <c r="Q874" s="22">
        <v>9.3055555555555558E-2</v>
      </c>
    </row>
    <row r="875" spans="1:17" x14ac:dyDescent="0.2">
      <c r="A875" s="2">
        <v>131042</v>
      </c>
      <c r="B875" s="2">
        <v>131042</v>
      </c>
      <c r="C875" s="2">
        <v>531260</v>
      </c>
      <c r="D875" t="s">
        <v>1049</v>
      </c>
      <c r="G875" s="15">
        <v>7.1768999999999999E-2</v>
      </c>
      <c r="J875" s="15"/>
      <c r="M875" s="14">
        <v>7.1768999999999999E-2</v>
      </c>
      <c r="Q875" s="19">
        <v>8.4722222222222213E-2</v>
      </c>
    </row>
    <row r="876" spans="1:17" x14ac:dyDescent="0.2">
      <c r="A876" s="2">
        <v>135127</v>
      </c>
      <c r="B876" s="2">
        <v>135127</v>
      </c>
      <c r="C876" s="2">
        <v>625610</v>
      </c>
      <c r="D876" t="s">
        <v>801</v>
      </c>
      <c r="G876" s="15">
        <v>6.4711000000000005E-2</v>
      </c>
      <c r="J876" s="15"/>
      <c r="M876" s="15">
        <v>6.4711000000000005E-2</v>
      </c>
      <c r="Q876" s="19">
        <v>5.0694444444444452E-2</v>
      </c>
    </row>
    <row r="877" spans="1:17" x14ac:dyDescent="0.2">
      <c r="A877" s="2">
        <v>138955</v>
      </c>
      <c r="B877" s="2">
        <v>138955</v>
      </c>
      <c r="C877" s="2">
        <v>414216</v>
      </c>
      <c r="D877" t="s">
        <v>821</v>
      </c>
      <c r="G877" s="15">
        <v>9.7415000000000002E-2</v>
      </c>
      <c r="J877" s="15"/>
      <c r="M877" s="15">
        <v>9.7415000000000002E-2</v>
      </c>
      <c r="Q877" s="19">
        <v>0.1111111111111111</v>
      </c>
    </row>
    <row r="878" spans="1:17" x14ac:dyDescent="0.2">
      <c r="A878" s="2">
        <v>144189</v>
      </c>
      <c r="B878" s="2">
        <v>144189</v>
      </c>
      <c r="C878" s="2">
        <v>448435</v>
      </c>
      <c r="D878" t="s">
        <v>931</v>
      </c>
      <c r="G878" s="15">
        <v>7.8155000000000002E-2</v>
      </c>
      <c r="J878" s="15"/>
      <c r="M878" s="15">
        <v>7.8155000000000002E-2</v>
      </c>
      <c r="Q878" s="19">
        <v>0.47152777777777777</v>
      </c>
    </row>
    <row r="879" spans="1:17" x14ac:dyDescent="0.2">
      <c r="A879" s="2">
        <v>145685</v>
      </c>
      <c r="B879" s="2">
        <v>145685</v>
      </c>
      <c r="C879" s="2">
        <v>61350</v>
      </c>
      <c r="D879" t="s">
        <v>1185</v>
      </c>
      <c r="G879" s="15">
        <v>0.93016699999999997</v>
      </c>
      <c r="J879" s="15"/>
      <c r="M879" s="14">
        <v>0.93016699999999997</v>
      </c>
      <c r="Q879" s="22">
        <v>0.12569444444444444</v>
      </c>
    </row>
    <row r="880" spans="1:17" x14ac:dyDescent="0.2">
      <c r="A880" s="2">
        <v>148264</v>
      </c>
      <c r="B880" s="2">
        <v>148264</v>
      </c>
      <c r="C880" s="2">
        <v>102014</v>
      </c>
      <c r="D880" t="s">
        <v>1118</v>
      </c>
      <c r="G880" s="15">
        <v>0.36461100000000002</v>
      </c>
      <c r="J880" s="15"/>
      <c r="M880" s="1">
        <v>0.36461100000000002</v>
      </c>
      <c r="Q880" s="22">
        <v>0.20486111111111113</v>
      </c>
    </row>
    <row r="881" spans="1:17" x14ac:dyDescent="0.2">
      <c r="A881" s="2">
        <v>148434</v>
      </c>
      <c r="B881" s="2">
        <v>148434</v>
      </c>
      <c r="C881" s="2">
        <v>168328</v>
      </c>
      <c r="D881" t="s">
        <v>869</v>
      </c>
      <c r="G881" s="15">
        <v>0.31137399999999998</v>
      </c>
      <c r="J881" s="15"/>
      <c r="M881" s="15">
        <v>0.31137399999999998</v>
      </c>
      <c r="Q881" s="19">
        <v>5.7638888888888885E-2</v>
      </c>
    </row>
    <row r="882" spans="1:17" x14ac:dyDescent="0.2">
      <c r="A882" s="2">
        <v>156510</v>
      </c>
      <c r="B882" s="2">
        <v>156510</v>
      </c>
      <c r="C882" s="2">
        <v>504707</v>
      </c>
      <c r="D882" t="s">
        <v>855</v>
      </c>
      <c r="G882" s="15">
        <v>9.4228999999999993E-2</v>
      </c>
      <c r="J882" s="15"/>
      <c r="M882" s="15">
        <v>9.4228999999999993E-2</v>
      </c>
      <c r="Q882" s="19">
        <v>0.14305555555555557</v>
      </c>
    </row>
    <row r="883" spans="1:17" x14ac:dyDescent="0.2">
      <c r="A883" s="2">
        <v>158155</v>
      </c>
      <c r="B883" s="2">
        <v>158155</v>
      </c>
      <c r="C883" s="2">
        <v>102471</v>
      </c>
      <c r="D883" t="s">
        <v>1027</v>
      </c>
      <c r="G883" s="15">
        <v>0.54634899999999997</v>
      </c>
      <c r="J883" s="15"/>
      <c r="M883" s="15">
        <v>0.54634899999999997</v>
      </c>
      <c r="Q883" s="19">
        <v>4.1666666666666664E-2</v>
      </c>
    </row>
    <row r="884" spans="1:17" x14ac:dyDescent="0.2">
      <c r="A884" s="2">
        <v>160348</v>
      </c>
      <c r="B884" s="2">
        <v>160348</v>
      </c>
      <c r="C884" s="2">
        <v>107196</v>
      </c>
      <c r="D884" t="s">
        <v>1070</v>
      </c>
      <c r="G884" s="15">
        <v>0.56619299999999995</v>
      </c>
      <c r="J884" s="15"/>
      <c r="M884" s="14">
        <v>0.56619299999999995</v>
      </c>
      <c r="Q884" s="19">
        <v>0.12291666666666667</v>
      </c>
    </row>
    <row r="885" spans="1:17" x14ac:dyDescent="0.2">
      <c r="A885" s="2">
        <v>162240</v>
      </c>
      <c r="B885" s="2">
        <v>162240</v>
      </c>
      <c r="C885" s="2">
        <v>76125</v>
      </c>
      <c r="D885" t="s">
        <v>987</v>
      </c>
      <c r="G885" s="15">
        <v>0.58323100000000005</v>
      </c>
      <c r="J885" s="15"/>
      <c r="M885" s="14">
        <v>0.58323100000000005</v>
      </c>
      <c r="Q885" s="22">
        <v>0.24374999999999999</v>
      </c>
    </row>
    <row r="886" spans="1:17" x14ac:dyDescent="0.2">
      <c r="A886" s="2">
        <v>162630</v>
      </c>
      <c r="B886" s="2">
        <v>29678</v>
      </c>
      <c r="C886" s="2">
        <v>643051</v>
      </c>
      <c r="D886" t="s">
        <v>596</v>
      </c>
      <c r="G886" s="15">
        <v>8.9998999999999996E-2</v>
      </c>
      <c r="J886" s="15"/>
      <c r="M886" s="14">
        <v>8.9998999999999996E-2</v>
      </c>
      <c r="Q886" t="s">
        <v>1007</v>
      </c>
    </row>
    <row r="887" spans="1:17" x14ac:dyDescent="0.2">
      <c r="A887" s="2">
        <v>165077</v>
      </c>
      <c r="B887" s="2">
        <v>165077</v>
      </c>
      <c r="C887" s="2">
        <v>218560</v>
      </c>
      <c r="D887" t="s">
        <v>910</v>
      </c>
      <c r="G887" s="15">
        <v>0.20650399999999999</v>
      </c>
      <c r="J887" s="15"/>
      <c r="M887" s="15">
        <v>0.20650399999999999</v>
      </c>
      <c r="Q887" s="19">
        <v>0.22708333333333333</v>
      </c>
    </row>
    <row r="888" spans="1:17" x14ac:dyDescent="0.2">
      <c r="A888" s="2">
        <v>165214</v>
      </c>
      <c r="B888" s="2">
        <v>165214</v>
      </c>
      <c r="C888" s="2">
        <v>185779</v>
      </c>
      <c r="D888" t="s">
        <v>1035</v>
      </c>
      <c r="G888" s="15">
        <v>0.26993299999999998</v>
      </c>
      <c r="J888" s="15"/>
      <c r="M888" s="14">
        <v>0.26993299999999998</v>
      </c>
      <c r="Q888" s="19">
        <v>6.7361111111111108E-2</v>
      </c>
    </row>
    <row r="889" spans="1:17" x14ac:dyDescent="0.2">
      <c r="A889" s="2">
        <v>175073</v>
      </c>
      <c r="B889" s="2">
        <v>175073</v>
      </c>
      <c r="C889" s="2">
        <v>592763</v>
      </c>
      <c r="D889" t="s">
        <v>808</v>
      </c>
      <c r="G889" s="15">
        <v>6.0814E-2</v>
      </c>
      <c r="J889" s="15"/>
      <c r="M889" s="15">
        <v>6.0814E-2</v>
      </c>
      <c r="Q889" s="19">
        <v>5.6250000000000001E-2</v>
      </c>
    </row>
    <row r="890" spans="1:17" x14ac:dyDescent="0.2">
      <c r="A890" s="2">
        <v>179492</v>
      </c>
      <c r="B890" s="2">
        <v>179492</v>
      </c>
      <c r="C890" s="2">
        <v>300580</v>
      </c>
      <c r="D890" t="s">
        <v>992</v>
      </c>
      <c r="G890" s="15">
        <v>0.13455700000000001</v>
      </c>
      <c r="J890" s="15"/>
      <c r="M890" s="14">
        <v>0.13455700000000001</v>
      </c>
      <c r="Q890" s="22">
        <v>0.1125</v>
      </c>
    </row>
    <row r="891" spans="1:17" x14ac:dyDescent="0.2">
      <c r="A891" s="2">
        <v>180116</v>
      </c>
      <c r="B891" s="2">
        <v>180116</v>
      </c>
      <c r="C891" s="2">
        <v>441256</v>
      </c>
      <c r="D891" t="s">
        <v>857</v>
      </c>
      <c r="G891" s="15">
        <v>9.5690999999999998E-2</v>
      </c>
      <c r="J891" s="15"/>
      <c r="M891" s="15">
        <v>9.5690999999999998E-2</v>
      </c>
      <c r="Q891" s="19">
        <v>8.4722222222222213E-2</v>
      </c>
    </row>
    <row r="892" spans="1:17" x14ac:dyDescent="0.2">
      <c r="A892" s="2">
        <v>183568</v>
      </c>
      <c r="B892" s="2">
        <v>183568</v>
      </c>
      <c r="C892" s="2">
        <v>754802</v>
      </c>
      <c r="D892" t="s">
        <v>817</v>
      </c>
      <c r="G892" s="15">
        <v>5.4674E-2</v>
      </c>
      <c r="J892" s="15"/>
      <c r="M892" s="15">
        <v>5.4670999999999997E-2</v>
      </c>
      <c r="Q892" s="19">
        <v>9.4444444444444442E-2</v>
      </c>
    </row>
    <row r="893" spans="1:17" x14ac:dyDescent="0.2">
      <c r="A893" s="2">
        <v>185850</v>
      </c>
      <c r="B893" s="2">
        <v>185850</v>
      </c>
      <c r="C893" s="2">
        <v>74957</v>
      </c>
      <c r="D893" t="s">
        <v>826</v>
      </c>
      <c r="G893" s="15">
        <v>0.60908600000000002</v>
      </c>
      <c r="J893" s="15"/>
      <c r="M893" s="15">
        <v>0.60908600000000002</v>
      </c>
      <c r="Q893" s="19">
        <v>0.31597222222222221</v>
      </c>
    </row>
    <row r="894" spans="1:17" x14ac:dyDescent="0.2">
      <c r="A894" s="2">
        <v>189602</v>
      </c>
      <c r="B894" s="2">
        <v>189602</v>
      </c>
      <c r="C894" s="2">
        <v>39283</v>
      </c>
      <c r="D894" t="s">
        <v>786</v>
      </c>
      <c r="G894" s="15">
        <v>1.0269999999999999</v>
      </c>
      <c r="J894" s="15"/>
      <c r="M894" s="14">
        <v>1.0269999999999999</v>
      </c>
      <c r="Q894" s="22">
        <v>0.56805555555555554</v>
      </c>
    </row>
    <row r="895" spans="1:17" x14ac:dyDescent="0.2">
      <c r="A895" s="2">
        <v>193626</v>
      </c>
      <c r="B895" s="2">
        <v>193626</v>
      </c>
      <c r="C895" s="2">
        <v>315288</v>
      </c>
      <c r="D895" t="s">
        <v>978</v>
      </c>
      <c r="G895" s="15">
        <v>0.10598</v>
      </c>
      <c r="J895" s="15"/>
      <c r="M895" s="14">
        <v>0.10598</v>
      </c>
      <c r="Q895" s="22">
        <v>0.1673611111111111</v>
      </c>
    </row>
    <row r="896" spans="1:17" x14ac:dyDescent="0.2">
      <c r="A896" s="2">
        <v>194991</v>
      </c>
      <c r="B896" s="2">
        <v>194991</v>
      </c>
      <c r="C896" s="2">
        <v>836526</v>
      </c>
      <c r="D896" t="s">
        <v>818</v>
      </c>
      <c r="G896" s="15">
        <v>5.1083999999999997E-2</v>
      </c>
      <c r="J896" s="15"/>
      <c r="M896" s="14">
        <v>5.1083999999999997E-2</v>
      </c>
      <c r="Q896" s="22">
        <v>5.4166666666666669E-2</v>
      </c>
    </row>
    <row r="897" spans="1:17" x14ac:dyDescent="0.2">
      <c r="A897" s="2">
        <v>196044</v>
      </c>
      <c r="B897" s="2">
        <v>196044</v>
      </c>
      <c r="C897" s="2">
        <v>502782</v>
      </c>
      <c r="D897" t="s">
        <v>802</v>
      </c>
      <c r="G897" s="15">
        <v>8.6777999999999994E-2</v>
      </c>
      <c r="J897" s="15"/>
      <c r="M897" s="14">
        <v>8.6777999999999994E-2</v>
      </c>
      <c r="Q897" s="22">
        <v>0.11666666666666665</v>
      </c>
    </row>
    <row r="898" spans="1:17" x14ac:dyDescent="0.2">
      <c r="A898" s="2">
        <v>198261</v>
      </c>
      <c r="B898" s="2">
        <v>198261</v>
      </c>
      <c r="C898" s="2">
        <v>473156</v>
      </c>
      <c r="D898" t="s">
        <v>841</v>
      </c>
      <c r="G898" s="15">
        <v>0.10972999999999999</v>
      </c>
      <c r="J898" s="15"/>
      <c r="M898" s="14">
        <v>0.10972999999999999</v>
      </c>
      <c r="Q898" s="22">
        <v>4.8611111111111112E-2</v>
      </c>
    </row>
    <row r="899" spans="1:17" x14ac:dyDescent="0.2">
      <c r="A899" s="2">
        <v>206518</v>
      </c>
      <c r="B899" s="2">
        <v>206518</v>
      </c>
      <c r="C899" s="2">
        <v>402841</v>
      </c>
      <c r="D899" t="s">
        <v>865</v>
      </c>
      <c r="G899" s="15">
        <v>0.13608400000000001</v>
      </c>
      <c r="J899" s="15"/>
      <c r="M899" s="14">
        <v>0.13608400000000001</v>
      </c>
      <c r="Q899" s="22">
        <v>3.3333333333333333E-2</v>
      </c>
    </row>
    <row r="900" spans="1:17" x14ac:dyDescent="0.2">
      <c r="A900" s="2">
        <v>215398</v>
      </c>
      <c r="B900" s="2">
        <v>215398</v>
      </c>
      <c r="C900" s="2">
        <v>745454</v>
      </c>
      <c r="D900" t="s">
        <v>816</v>
      </c>
      <c r="G900" s="15">
        <v>6.0047999999999997E-2</v>
      </c>
      <c r="J900" s="15"/>
      <c r="M900" s="14">
        <v>6.0047999999999997E-2</v>
      </c>
      <c r="Q900" s="22">
        <v>6.25E-2</v>
      </c>
    </row>
    <row r="901" spans="1:17" x14ac:dyDescent="0.2">
      <c r="A901" s="2">
        <v>220383</v>
      </c>
      <c r="B901" s="2">
        <v>220383</v>
      </c>
      <c r="C901" s="2">
        <v>5868</v>
      </c>
      <c r="D901" t="s">
        <v>1052</v>
      </c>
      <c r="G901" s="15">
        <v>7.9880000000000004</v>
      </c>
      <c r="J901" s="15"/>
      <c r="M901" s="1">
        <v>7.9880000000000004</v>
      </c>
      <c r="Q901" s="19">
        <v>0.14722222222222223</v>
      </c>
    </row>
    <row r="902" spans="1:17" x14ac:dyDescent="0.2">
      <c r="A902" s="2">
        <v>233390</v>
      </c>
      <c r="B902" s="2">
        <v>233390</v>
      </c>
      <c r="C902" s="2">
        <v>196245</v>
      </c>
      <c r="D902" t="s">
        <v>1114</v>
      </c>
      <c r="G902" s="15">
        <v>0.29372900000000002</v>
      </c>
      <c r="J902" s="15"/>
      <c r="M902" s="14">
        <v>0.29372900000000002</v>
      </c>
      <c r="Q902" s="22">
        <v>5.7638888888888885E-2</v>
      </c>
    </row>
    <row r="903" spans="1:17" x14ac:dyDescent="0.2">
      <c r="A903" s="2">
        <v>239872</v>
      </c>
      <c r="B903" s="2">
        <v>239872</v>
      </c>
      <c r="C903" s="2">
        <v>290877</v>
      </c>
      <c r="D903" t="s">
        <v>886</v>
      </c>
      <c r="G903" s="15">
        <v>0.11515400000000001</v>
      </c>
      <c r="J903" s="15"/>
      <c r="M903" s="14">
        <v>0.11515400000000001</v>
      </c>
      <c r="Q903" s="22">
        <v>0.13263888888888889</v>
      </c>
    </row>
    <row r="904" spans="1:17" x14ac:dyDescent="0.2">
      <c r="A904" s="2">
        <v>249693</v>
      </c>
      <c r="B904" s="2">
        <v>249693</v>
      </c>
      <c r="C904" s="2">
        <v>196407</v>
      </c>
      <c r="D904" t="s">
        <v>893</v>
      </c>
      <c r="G904" s="15">
        <v>0.36059000000000002</v>
      </c>
      <c r="J904" s="15"/>
      <c r="M904" s="14">
        <v>0.36059000000000002</v>
      </c>
      <c r="Q904" s="22">
        <v>7.6388888888888886E-3</v>
      </c>
    </row>
    <row r="905" spans="1:17" x14ac:dyDescent="0.2">
      <c r="A905" s="2">
        <v>251404</v>
      </c>
      <c r="B905" s="2">
        <v>251404</v>
      </c>
      <c r="C905" s="2">
        <v>237449</v>
      </c>
      <c r="D905" t="s">
        <v>1130</v>
      </c>
      <c r="G905" s="15">
        <v>0.149258</v>
      </c>
      <c r="J905" s="15"/>
      <c r="M905" s="14">
        <v>0.149258</v>
      </c>
      <c r="Q905" s="22">
        <v>0.11944444444444445</v>
      </c>
    </row>
    <row r="906" spans="1:17" x14ac:dyDescent="0.2">
      <c r="A906" s="2">
        <v>266787</v>
      </c>
      <c r="B906" s="2">
        <v>266787</v>
      </c>
      <c r="C906" s="2">
        <v>721521</v>
      </c>
      <c r="D906" t="s">
        <v>912</v>
      </c>
      <c r="G906" s="15">
        <v>5.7058999999999999E-2</v>
      </c>
      <c r="J906" s="15"/>
      <c r="M906" s="14">
        <v>5.7058999999999999E-2</v>
      </c>
      <c r="Q906" s="22">
        <v>5.9722222222222225E-2</v>
      </c>
    </row>
    <row r="907" spans="1:17" x14ac:dyDescent="0.2">
      <c r="A907" s="2">
        <v>275806</v>
      </c>
      <c r="B907" s="2">
        <v>275806</v>
      </c>
      <c r="C907" s="2">
        <v>31718</v>
      </c>
      <c r="D907" t="s">
        <v>1136</v>
      </c>
      <c r="G907" s="15">
        <v>1.865</v>
      </c>
      <c r="J907" s="15"/>
      <c r="M907" s="1">
        <v>1.865</v>
      </c>
      <c r="Q907" s="19">
        <v>0.12222222222222223</v>
      </c>
    </row>
    <row r="908" spans="1:17" x14ac:dyDescent="0.2">
      <c r="A908" s="2">
        <v>276728</v>
      </c>
      <c r="B908" s="2">
        <v>276728</v>
      </c>
      <c r="C908" s="2">
        <v>229666</v>
      </c>
      <c r="D908" t="s">
        <v>793</v>
      </c>
      <c r="G908" s="15">
        <v>0.221168</v>
      </c>
      <c r="J908" s="15"/>
      <c r="M908" s="14">
        <v>0.221168</v>
      </c>
      <c r="Q908" s="22">
        <v>0.15</v>
      </c>
    </row>
    <row r="909" spans="1:17" x14ac:dyDescent="0.2">
      <c r="A909" s="2">
        <v>287152</v>
      </c>
      <c r="B909" s="2">
        <v>287152</v>
      </c>
      <c r="C909" s="2">
        <v>1541548</v>
      </c>
      <c r="D909" t="s">
        <v>896</v>
      </c>
      <c r="G909" s="15">
        <v>2.3637999999999999E-2</v>
      </c>
      <c r="J909" s="15"/>
      <c r="M909" s="14">
        <v>2.3637999999999999E-2</v>
      </c>
      <c r="Q909" s="22">
        <v>6.3194444444444442E-2</v>
      </c>
    </row>
    <row r="910" spans="1:17" x14ac:dyDescent="0.2">
      <c r="A910" s="2">
        <v>287556</v>
      </c>
      <c r="B910" s="2">
        <v>287556</v>
      </c>
      <c r="C910" s="2">
        <v>111916</v>
      </c>
      <c r="D910" t="s">
        <v>1113</v>
      </c>
      <c r="G910" s="15">
        <v>0.36848599999999998</v>
      </c>
      <c r="J910" s="15"/>
      <c r="M910" s="14">
        <v>0.36848599999999998</v>
      </c>
      <c r="Q910" s="22">
        <v>6.7361111111111108E-2</v>
      </c>
    </row>
    <row r="911" spans="1:17" x14ac:dyDescent="0.2">
      <c r="A911" s="2">
        <v>281091</v>
      </c>
      <c r="B911" s="2">
        <v>281091</v>
      </c>
      <c r="C911" s="2">
        <v>396061</v>
      </c>
      <c r="D911" t="s">
        <v>996</v>
      </c>
      <c r="G911" s="15">
        <v>0.14083300000000001</v>
      </c>
      <c r="J911" s="15"/>
      <c r="M911" s="14">
        <v>0.14083300000000001</v>
      </c>
      <c r="Q911" s="22">
        <v>2.9861111111111113E-2</v>
      </c>
    </row>
    <row r="912" spans="1:17" x14ac:dyDescent="0.2">
      <c r="A912" s="2">
        <v>288094</v>
      </c>
      <c r="B912" s="2">
        <v>288094</v>
      </c>
      <c r="C912" s="2">
        <v>290348</v>
      </c>
      <c r="D912" t="s">
        <v>980</v>
      </c>
      <c r="G912" s="15">
        <v>0.17930199999999999</v>
      </c>
      <c r="J912" s="15"/>
      <c r="M912" s="14">
        <v>0.17930199999999999</v>
      </c>
      <c r="Q912" s="22">
        <v>4.8611111111111112E-2</v>
      </c>
    </row>
    <row r="913" spans="1:17" x14ac:dyDescent="0.2">
      <c r="A913" s="2">
        <v>299812</v>
      </c>
      <c r="B913" s="2">
        <v>299821</v>
      </c>
      <c r="C913" s="2">
        <v>1073909</v>
      </c>
      <c r="D913" t="s">
        <v>1002</v>
      </c>
      <c r="G913" s="15">
        <v>4.7247999999999998E-2</v>
      </c>
      <c r="J913" s="15"/>
      <c r="M913" s="14">
        <v>4.7247999999999998E-2</v>
      </c>
      <c r="Q913" s="22">
        <v>6.805555555555555E-2</v>
      </c>
    </row>
    <row r="914" spans="1:17" x14ac:dyDescent="0.2">
      <c r="A914" s="2">
        <v>302947</v>
      </c>
      <c r="B914" s="2">
        <v>302947</v>
      </c>
      <c r="C914" s="2">
        <v>1519075</v>
      </c>
      <c r="D914" t="s">
        <v>878</v>
      </c>
      <c r="G914" s="15">
        <v>1.7176E-2</v>
      </c>
      <c r="J914" s="15"/>
      <c r="M914" s="14">
        <v>1.7176E-2</v>
      </c>
      <c r="Q914" s="22">
        <v>0.15833333333333333</v>
      </c>
    </row>
    <row r="915" spans="1:17" x14ac:dyDescent="0.2">
      <c r="A915" s="2">
        <v>310908</v>
      </c>
      <c r="B915" s="2">
        <v>310908</v>
      </c>
      <c r="C915" s="2">
        <v>1110206</v>
      </c>
      <c r="D915" t="s">
        <v>977</v>
      </c>
      <c r="G915" s="15">
        <v>4.1696999999999998E-2</v>
      </c>
      <c r="J915" s="15"/>
      <c r="M915" s="15">
        <v>4.1696999999999998E-2</v>
      </c>
      <c r="Q915" s="22">
        <v>5.4166666666666669E-2</v>
      </c>
    </row>
    <row r="916" spans="1:17" x14ac:dyDescent="0.2">
      <c r="A916" s="2">
        <v>311388</v>
      </c>
      <c r="B916" s="2">
        <v>311388</v>
      </c>
      <c r="C916" s="2">
        <v>1019461</v>
      </c>
      <c r="D916" t="s">
        <v>856</v>
      </c>
      <c r="G916" s="15">
        <v>3.8109999999999998E-2</v>
      </c>
      <c r="J916" s="15"/>
      <c r="M916" s="14">
        <v>3.8109999999999998E-2</v>
      </c>
      <c r="Q916" s="22">
        <v>6.8749999999999992E-2</v>
      </c>
    </row>
    <row r="917" spans="1:17" x14ac:dyDescent="0.2">
      <c r="A917" s="2">
        <v>316010</v>
      </c>
      <c r="B917" s="2">
        <v>316010</v>
      </c>
      <c r="C917" s="2">
        <v>106276</v>
      </c>
      <c r="D917" t="s">
        <v>1200</v>
      </c>
      <c r="G917" s="15">
        <v>0.42126599999999997</v>
      </c>
      <c r="J917" s="15"/>
      <c r="M917" s="14">
        <v>0.42126599999999997</v>
      </c>
      <c r="Q917" s="22">
        <v>8.1250000000000003E-2</v>
      </c>
    </row>
    <row r="918" spans="1:17" x14ac:dyDescent="0.2">
      <c r="A918" s="2">
        <v>322298</v>
      </c>
      <c r="B918" s="2">
        <v>322298</v>
      </c>
      <c r="C918" s="2">
        <v>217314</v>
      </c>
      <c r="D918" t="s">
        <v>954</v>
      </c>
      <c r="G918" s="15">
        <v>0.273484</v>
      </c>
      <c r="J918" s="15"/>
      <c r="M918" s="14">
        <v>0.273484</v>
      </c>
      <c r="Q918" s="22">
        <v>8.5416666666666655E-2</v>
      </c>
    </row>
    <row r="919" spans="1:17" x14ac:dyDescent="0.2">
      <c r="A919" s="2">
        <v>323767</v>
      </c>
      <c r="B919" s="2">
        <v>323767</v>
      </c>
      <c r="C919" s="2">
        <v>1317153</v>
      </c>
      <c r="D919" t="s">
        <v>960</v>
      </c>
      <c r="G919" s="15">
        <v>1.5440000000000001E-2</v>
      </c>
      <c r="J919" s="15"/>
      <c r="M919" s="14">
        <v>1.5440000000000001E-2</v>
      </c>
      <c r="Q919" s="22">
        <v>0.47638888888888892</v>
      </c>
    </row>
    <row r="920" spans="1:17" x14ac:dyDescent="0.2">
      <c r="A920" s="2">
        <v>323843</v>
      </c>
      <c r="B920" s="2">
        <v>323843</v>
      </c>
      <c r="C920" s="2">
        <v>534793</v>
      </c>
      <c r="D920" t="s">
        <v>852</v>
      </c>
      <c r="G920" s="15">
        <v>9.9955000000000002E-2</v>
      </c>
      <c r="J920" s="15"/>
      <c r="M920" s="14">
        <v>9.9955000000000002E-2</v>
      </c>
      <c r="Q920" s="22">
        <v>5.5555555555555552E-2</v>
      </c>
    </row>
    <row r="921" spans="1:17" x14ac:dyDescent="0.2">
      <c r="A921" s="2">
        <v>336588</v>
      </c>
      <c r="B921" s="2">
        <v>336588</v>
      </c>
      <c r="C921" s="2">
        <v>495267</v>
      </c>
      <c r="D921" t="s">
        <v>1071</v>
      </c>
      <c r="G921" s="14">
        <v>8.1984000000000001E-2</v>
      </c>
      <c r="J921" s="15"/>
      <c r="M921" s="14">
        <v>8.1984000000000001E-2</v>
      </c>
      <c r="Q921" s="22">
        <v>6.9444444444444434E-2</v>
      </c>
    </row>
    <row r="922" spans="1:17" x14ac:dyDescent="0.2">
      <c r="A922" s="2">
        <v>338642</v>
      </c>
      <c r="B922" s="2">
        <v>338642</v>
      </c>
      <c r="C922" s="2">
        <v>569527</v>
      </c>
      <c r="D922" t="s">
        <v>1137</v>
      </c>
      <c r="G922" s="14">
        <v>5.8404999999999999E-2</v>
      </c>
      <c r="H922" s="14"/>
      <c r="I922" s="47"/>
      <c r="J922" s="14"/>
      <c r="K922" s="14"/>
      <c r="L922" s="14"/>
      <c r="M922" s="14">
        <v>5.8404999999999999E-2</v>
      </c>
      <c r="Q922" s="22">
        <v>7.4305555555555555E-2</v>
      </c>
    </row>
    <row r="923" spans="1:17" x14ac:dyDescent="0.2">
      <c r="A923" s="2">
        <v>343524</v>
      </c>
      <c r="B923" s="2">
        <v>343524</v>
      </c>
      <c r="C923" s="2">
        <v>554149</v>
      </c>
      <c r="D923" t="s">
        <v>1043</v>
      </c>
      <c r="G923" s="15">
        <v>6.6655000000000006E-2</v>
      </c>
      <c r="J923" s="15"/>
      <c r="M923" s="14">
        <v>6.6655000000000006E-2</v>
      </c>
      <c r="Q923" s="19">
        <v>5.4166666666666669E-2</v>
      </c>
    </row>
    <row r="924" spans="1:17" x14ac:dyDescent="0.2">
      <c r="A924" s="2">
        <v>345178</v>
      </c>
      <c r="B924" s="2">
        <v>345178</v>
      </c>
      <c r="C924" s="2">
        <v>551260</v>
      </c>
      <c r="D924" t="s">
        <v>895</v>
      </c>
      <c r="G924" s="15">
        <v>7.7016000000000001E-2</v>
      </c>
      <c r="J924" s="15"/>
      <c r="M924" s="14">
        <v>7.7016000000000001E-2</v>
      </c>
      <c r="Q924" s="22">
        <v>4.5833333333333337E-2</v>
      </c>
    </row>
    <row r="925" spans="1:17" x14ac:dyDescent="0.2">
      <c r="A925" s="2">
        <v>348235</v>
      </c>
      <c r="B925" s="2">
        <v>348235</v>
      </c>
      <c r="C925" s="2">
        <v>785259</v>
      </c>
      <c r="D925" t="s">
        <v>866</v>
      </c>
      <c r="G925" s="15">
        <v>5.7549999999999997E-2</v>
      </c>
      <c r="J925" s="15"/>
      <c r="M925" s="14">
        <v>5.7549999999999997E-2</v>
      </c>
      <c r="Q925" s="22">
        <v>8.1944444444444445E-2</v>
      </c>
    </row>
    <row r="926" spans="1:17" x14ac:dyDescent="0.2">
      <c r="A926" s="2">
        <v>349464</v>
      </c>
      <c r="B926" s="2">
        <v>349464</v>
      </c>
      <c r="C926" s="2">
        <v>1439813</v>
      </c>
      <c r="D926" t="s">
        <v>790</v>
      </c>
      <c r="G926" s="15">
        <v>2.6478000000000002E-2</v>
      </c>
      <c r="J926" s="15"/>
      <c r="M926" s="14">
        <v>2.6478000000000002E-2</v>
      </c>
      <c r="Q926" s="22">
        <v>5.5555555555555552E-2</v>
      </c>
    </row>
    <row r="927" spans="1:17" x14ac:dyDescent="0.2">
      <c r="A927" s="2">
        <v>360123</v>
      </c>
      <c r="B927" s="2">
        <v>360123</v>
      </c>
      <c r="C927" s="2">
        <v>815969</v>
      </c>
      <c r="D927" t="s">
        <v>851</v>
      </c>
      <c r="G927" s="15">
        <v>2.6478000000000002E-2</v>
      </c>
      <c r="J927" s="15"/>
      <c r="M927" s="14">
        <v>2.9766999999999998E-2</v>
      </c>
      <c r="Q927" s="22">
        <v>0.32569444444444445</v>
      </c>
    </row>
    <row r="928" spans="1:17" x14ac:dyDescent="0.2">
      <c r="A928" s="2">
        <v>360918</v>
      </c>
      <c r="B928" s="2">
        <v>360918</v>
      </c>
      <c r="C928" s="2">
        <v>734063</v>
      </c>
      <c r="D928" t="s">
        <v>923</v>
      </c>
      <c r="G928" s="15">
        <v>6.6060999999999995E-2</v>
      </c>
      <c r="J928" s="15"/>
      <c r="M928" s="14">
        <v>6.6060999999999995E-2</v>
      </c>
      <c r="Q928" s="22">
        <v>0.1125</v>
      </c>
    </row>
    <row r="929" spans="1:17" x14ac:dyDescent="0.2">
      <c r="A929" s="2">
        <v>389962</v>
      </c>
      <c r="B929" s="2">
        <v>389962</v>
      </c>
      <c r="C929" s="2">
        <v>688196</v>
      </c>
      <c r="D929" t="s">
        <v>825</v>
      </c>
      <c r="G929" s="15">
        <v>6.9675000000000001E-2</v>
      </c>
      <c r="J929" s="15"/>
      <c r="M929" s="14">
        <v>6.9675000000000001E-2</v>
      </c>
      <c r="Q929" s="22">
        <v>2.8472222222222222E-2</v>
      </c>
    </row>
    <row r="930" spans="1:17" x14ac:dyDescent="0.2">
      <c r="A930" s="2">
        <v>393631</v>
      </c>
      <c r="B930" s="2">
        <v>393631</v>
      </c>
      <c r="C930" s="2">
        <v>1777874</v>
      </c>
      <c r="D930" t="s">
        <v>924</v>
      </c>
      <c r="G930" s="15">
        <v>1.9050000000000001E-2</v>
      </c>
      <c r="J930" s="15"/>
      <c r="M930" s="14">
        <v>1.9050000000000001E-2</v>
      </c>
      <c r="Q930" s="22">
        <v>0.11319444444444444</v>
      </c>
    </row>
    <row r="931" spans="1:17" x14ac:dyDescent="0.2">
      <c r="A931" s="2">
        <v>397878</v>
      </c>
      <c r="B931" s="2">
        <v>397878</v>
      </c>
      <c r="C931" s="2">
        <v>1070407</v>
      </c>
      <c r="D931" t="s">
        <v>862</v>
      </c>
      <c r="G931" s="15">
        <v>3.8234999999999998E-2</v>
      </c>
      <c r="J931" s="15"/>
      <c r="M931" s="14">
        <v>3.8234999999999998E-2</v>
      </c>
      <c r="Q931" s="22">
        <v>2.4305555555555556E-2</v>
      </c>
    </row>
    <row r="932" spans="1:17" x14ac:dyDescent="0.2">
      <c r="A932" s="2">
        <v>417182</v>
      </c>
      <c r="B932" s="2">
        <v>417182</v>
      </c>
      <c r="C932" s="2">
        <v>1072306</v>
      </c>
      <c r="D932" t="s">
        <v>789</v>
      </c>
      <c r="G932" s="15">
        <v>2.2433000000000002E-2</v>
      </c>
      <c r="J932" s="15"/>
      <c r="M932" s="14">
        <v>2.2433000000000002E-2</v>
      </c>
      <c r="Q932" s="22">
        <v>0.51597222222222217</v>
      </c>
    </row>
    <row r="933" spans="1:17" x14ac:dyDescent="0.2">
      <c r="A933" s="2">
        <v>420515</v>
      </c>
      <c r="B933" s="2">
        <v>420515</v>
      </c>
      <c r="C933" s="2">
        <v>988217</v>
      </c>
      <c r="D933" t="s">
        <v>812</v>
      </c>
      <c r="G933" s="15">
        <v>3.8457999999999999E-2</v>
      </c>
      <c r="J933" s="15"/>
      <c r="M933" s="14">
        <v>3.8457999999999999E-2</v>
      </c>
      <c r="Q933" s="22">
        <v>0.11388888888888889</v>
      </c>
    </row>
    <row r="934" spans="1:17" x14ac:dyDescent="0.2">
      <c r="A934" s="2">
        <v>421512</v>
      </c>
      <c r="B934" s="2">
        <v>421512</v>
      </c>
      <c r="C934" s="2">
        <v>1298181</v>
      </c>
      <c r="D934" t="s">
        <v>922</v>
      </c>
      <c r="G934" s="15">
        <v>2.4740999999999999E-2</v>
      </c>
      <c r="J934" s="15"/>
      <c r="M934" s="14">
        <v>2.4740999999999999E-2</v>
      </c>
      <c r="Q934" s="22">
        <v>0.14444444444444446</v>
      </c>
    </row>
    <row r="935" spans="1:17" x14ac:dyDescent="0.2">
      <c r="A935" s="2">
        <v>421859</v>
      </c>
      <c r="B935" s="2">
        <v>421859</v>
      </c>
      <c r="C935" s="2">
        <v>874137</v>
      </c>
      <c r="D935" t="s">
        <v>879</v>
      </c>
      <c r="G935" s="15">
        <v>4.3948000000000001E-2</v>
      </c>
      <c r="J935" s="15"/>
      <c r="M935" s="14">
        <v>4.3948000000000001E-2</v>
      </c>
      <c r="Q935" s="22">
        <v>0.23333333333333331</v>
      </c>
    </row>
    <row r="936" spans="1:17" x14ac:dyDescent="0.2">
      <c r="A936" s="2">
        <v>433666</v>
      </c>
      <c r="B936" s="2">
        <v>433666</v>
      </c>
      <c r="C936" s="2">
        <v>609532</v>
      </c>
      <c r="D936" t="s">
        <v>933</v>
      </c>
      <c r="G936" s="15">
        <v>7.2140999999999997E-2</v>
      </c>
      <c r="J936" s="15"/>
      <c r="M936" s="14">
        <v>7.2140999999999997E-2</v>
      </c>
      <c r="Q936" s="22">
        <v>3.5416666666666666E-2</v>
      </c>
    </row>
    <row r="937" spans="1:17" x14ac:dyDescent="0.2">
      <c r="A937" s="2">
        <v>444554</v>
      </c>
      <c r="B937" s="2">
        <v>444554</v>
      </c>
      <c r="C937" s="2">
        <v>1471268</v>
      </c>
      <c r="D937" t="s">
        <v>854</v>
      </c>
      <c r="G937" s="15">
        <v>2.9928E-2</v>
      </c>
      <c r="J937" s="15"/>
      <c r="M937" s="14">
        <v>2.9928E-2</v>
      </c>
      <c r="Q937" s="22">
        <v>9.5833333333333326E-2</v>
      </c>
    </row>
    <row r="938" spans="1:17" x14ac:dyDescent="0.2">
      <c r="A938" s="2">
        <v>444657</v>
      </c>
      <c r="B938" s="2">
        <v>444657</v>
      </c>
      <c r="C938" s="2">
        <v>527587</v>
      </c>
      <c r="D938" t="s">
        <v>795</v>
      </c>
      <c r="G938" s="15">
        <v>6.6556000000000004E-2</v>
      </c>
      <c r="J938" s="15"/>
      <c r="M938" s="14">
        <v>6.6556000000000004E-2</v>
      </c>
      <c r="Q938" s="22">
        <v>0.2590277777777778</v>
      </c>
    </row>
    <row r="939" spans="1:17" x14ac:dyDescent="0.2">
      <c r="A939" s="2">
        <v>445215</v>
      </c>
      <c r="B939" s="2">
        <v>445215</v>
      </c>
      <c r="C939" s="2">
        <v>353271</v>
      </c>
      <c r="D939" t="s">
        <v>988</v>
      </c>
      <c r="G939" s="15">
        <v>0.119949</v>
      </c>
      <c r="J939" s="15"/>
      <c r="M939" s="1">
        <v>0.119949</v>
      </c>
      <c r="Q939" s="19">
        <v>8.1944444444444445E-2</v>
      </c>
    </row>
    <row r="940" spans="1:17" x14ac:dyDescent="0.2">
      <c r="A940" s="2">
        <v>446715</v>
      </c>
      <c r="B940" s="2">
        <v>446715</v>
      </c>
      <c r="C940" s="2">
        <v>902966</v>
      </c>
      <c r="D940" t="s">
        <v>887</v>
      </c>
      <c r="G940" s="15">
        <v>3.8922999999999999E-2</v>
      </c>
      <c r="J940" s="15"/>
      <c r="M940" s="14">
        <v>3.8922999999999999E-2</v>
      </c>
      <c r="Q940" s="22">
        <v>5.4166666666666669E-2</v>
      </c>
    </row>
    <row r="941" spans="1:17" x14ac:dyDescent="0.2">
      <c r="A941" s="2">
        <v>449963</v>
      </c>
      <c r="B941" s="2">
        <v>449963</v>
      </c>
      <c r="C941" s="2">
        <v>1735572</v>
      </c>
      <c r="D941" t="s">
        <v>863</v>
      </c>
      <c r="G941" s="15">
        <v>2.3448E-2</v>
      </c>
      <c r="J941" s="15"/>
      <c r="M941" s="14">
        <v>2.3448E-2</v>
      </c>
      <c r="Q941" s="22">
        <v>3.8194444444444441E-2</v>
      </c>
    </row>
    <row r="942" spans="1:17" x14ac:dyDescent="0.2">
      <c r="A942" s="2">
        <v>450134</v>
      </c>
      <c r="B942" s="2">
        <v>450134</v>
      </c>
      <c r="C942" s="2">
        <v>1693143</v>
      </c>
      <c r="D942" t="s">
        <v>820</v>
      </c>
      <c r="G942" s="15">
        <v>1.7038000000000001E-2</v>
      </c>
      <c r="J942" s="15"/>
      <c r="M942" s="14">
        <v>1.7038000000000001E-2</v>
      </c>
      <c r="Q942" s="22">
        <v>0.13749999999999998</v>
      </c>
    </row>
    <row r="943" spans="1:17" x14ac:dyDescent="0.2">
      <c r="A943" s="2">
        <v>454688</v>
      </c>
      <c r="B943" s="2">
        <v>454688</v>
      </c>
      <c r="C943" s="2">
        <v>445551</v>
      </c>
      <c r="D943" t="s">
        <v>1112</v>
      </c>
      <c r="G943" s="15">
        <v>9.9835999999999994E-2</v>
      </c>
      <c r="J943" s="15"/>
      <c r="M943" s="15">
        <v>9.9835999999999994E-2</v>
      </c>
      <c r="Q943" s="22">
        <v>7.5694444444444439E-2</v>
      </c>
    </row>
    <row r="944" spans="1:17" x14ac:dyDescent="0.2">
      <c r="A944" s="2">
        <v>467431</v>
      </c>
      <c r="B944" s="2">
        <v>467431</v>
      </c>
      <c r="C944" s="2">
        <v>842967</v>
      </c>
      <c r="D944" t="s">
        <v>882</v>
      </c>
      <c r="G944" s="15">
        <v>5.3367999999999999E-2</v>
      </c>
      <c r="J944" s="15"/>
      <c r="M944" s="14">
        <v>5.3367999999999999E-2</v>
      </c>
      <c r="Q944" s="22">
        <v>8.2638888888888887E-2</v>
      </c>
    </row>
    <row r="945" spans="1:17" x14ac:dyDescent="0.2">
      <c r="A945" s="2">
        <v>488080</v>
      </c>
      <c r="B945" s="2">
        <v>488080</v>
      </c>
      <c r="C945" s="2">
        <v>1747853</v>
      </c>
      <c r="D945" t="s">
        <v>813</v>
      </c>
      <c r="G945" s="15">
        <v>2.2540000000000001E-2</v>
      </c>
      <c r="J945" s="15"/>
      <c r="M945" s="14">
        <v>2.2540000000000001E-2</v>
      </c>
      <c r="Q945" s="22">
        <v>3.888888888888889E-2</v>
      </c>
    </row>
    <row r="946" spans="1:17" x14ac:dyDescent="0.2">
      <c r="A946" s="2">
        <v>490173</v>
      </c>
      <c r="B946" s="2">
        <v>490173</v>
      </c>
      <c r="C946" s="2">
        <v>90271</v>
      </c>
      <c r="D946" t="s">
        <v>1051</v>
      </c>
      <c r="G946" s="15">
        <v>0.72974600000000001</v>
      </c>
      <c r="J946" s="15"/>
      <c r="M946" s="14">
        <v>0.72974600000000001</v>
      </c>
      <c r="Q946" s="19">
        <v>5.7638888888888885E-2</v>
      </c>
    </row>
    <row r="947" spans="1:17" x14ac:dyDescent="0.2">
      <c r="A947" s="2">
        <v>500383</v>
      </c>
      <c r="B947" s="2">
        <v>500383</v>
      </c>
      <c r="C947" s="2">
        <v>966791</v>
      </c>
      <c r="D947" t="s">
        <v>901</v>
      </c>
      <c r="G947" s="15">
        <v>2.8972000000000001E-2</v>
      </c>
      <c r="J947" s="15"/>
      <c r="M947" s="14">
        <v>2.8972000000000001E-2</v>
      </c>
      <c r="Q947" s="22">
        <v>0.30763888888888891</v>
      </c>
    </row>
    <row r="948" spans="1:17" x14ac:dyDescent="0.2">
      <c r="A948" s="2">
        <v>531416</v>
      </c>
      <c r="B948" s="2">
        <v>531416</v>
      </c>
      <c r="C948" s="2">
        <v>665301</v>
      </c>
      <c r="D948" t="s">
        <v>990</v>
      </c>
      <c r="G948" s="15">
        <v>6.8719000000000002E-2</v>
      </c>
      <c r="J948" s="15"/>
      <c r="M948" s="14">
        <v>6.8719000000000002E-2</v>
      </c>
      <c r="Q948" s="22">
        <v>4.7916666666666663E-2</v>
      </c>
    </row>
    <row r="949" spans="1:17" x14ac:dyDescent="0.2">
      <c r="A949" s="2">
        <v>534305</v>
      </c>
      <c r="B949" s="2">
        <v>534305</v>
      </c>
      <c r="C949" s="2">
        <v>2395526</v>
      </c>
      <c r="D949" t="s">
        <v>927</v>
      </c>
      <c r="G949" s="15">
        <v>1.3875999999999999E-2</v>
      </c>
      <c r="J949" s="15"/>
      <c r="M949" s="14">
        <v>1.3875999999999999E-2</v>
      </c>
      <c r="Q949" s="22">
        <v>2.4305555555555556E-2</v>
      </c>
    </row>
    <row r="950" spans="1:17" x14ac:dyDescent="0.2">
      <c r="A950" s="2">
        <v>535575</v>
      </c>
      <c r="B950" s="2">
        <v>535575</v>
      </c>
      <c r="C950" s="2">
        <v>1793208</v>
      </c>
      <c r="D950" t="s">
        <v>809</v>
      </c>
      <c r="G950" s="15">
        <v>1.9136E-2</v>
      </c>
      <c r="J950" s="15"/>
      <c r="M950" s="14">
        <v>1.9136E-2</v>
      </c>
      <c r="Q950" s="22">
        <v>5.6250000000000001E-2</v>
      </c>
    </row>
    <row r="951" spans="1:17" x14ac:dyDescent="0.2">
      <c r="A951" s="2">
        <v>537012</v>
      </c>
      <c r="B951" s="2">
        <v>537012</v>
      </c>
      <c r="C951" s="2">
        <v>405952</v>
      </c>
      <c r="D951" t="s">
        <v>991</v>
      </c>
      <c r="G951" s="15">
        <v>0.121917</v>
      </c>
      <c r="J951" s="15"/>
      <c r="M951" s="14">
        <v>0.121917</v>
      </c>
      <c r="Q951" s="22">
        <v>3.6111111111111115E-2</v>
      </c>
    </row>
    <row r="952" spans="1:17" x14ac:dyDescent="0.2">
      <c r="A952" s="2">
        <v>537480</v>
      </c>
      <c r="B952" s="2">
        <v>537480</v>
      </c>
      <c r="C952" s="2">
        <v>523525</v>
      </c>
      <c r="D952" t="s">
        <v>1129</v>
      </c>
      <c r="G952" s="15">
        <v>8.4498000000000004E-2</v>
      </c>
      <c r="J952" s="15"/>
      <c r="M952" s="15">
        <v>8.4498000000000004E-2</v>
      </c>
      <c r="Q952" s="22">
        <v>8.7500000000000008E-2</v>
      </c>
    </row>
    <row r="953" spans="1:17" x14ac:dyDescent="0.2">
      <c r="A953" s="2">
        <v>540680</v>
      </c>
      <c r="B953" s="2">
        <v>540680</v>
      </c>
      <c r="C953" s="2">
        <v>2298772</v>
      </c>
      <c r="D953" t="s">
        <v>898</v>
      </c>
      <c r="G953" s="15">
        <v>1.6847000000000001E-2</v>
      </c>
      <c r="J953" s="15"/>
      <c r="M953" s="14">
        <v>1.6847000000000001E-2</v>
      </c>
      <c r="Q953" s="22">
        <v>1.3888888888888889E-3</v>
      </c>
    </row>
    <row r="954" spans="1:17" x14ac:dyDescent="0.2">
      <c r="A954" s="2">
        <v>591842</v>
      </c>
      <c r="B954" s="2">
        <v>591842</v>
      </c>
      <c r="C954" s="2">
        <v>79970</v>
      </c>
      <c r="D954" t="s">
        <v>788</v>
      </c>
      <c r="G954" s="15">
        <v>0.55719300000000005</v>
      </c>
      <c r="J954" s="15"/>
      <c r="M954" s="14">
        <v>0.55719300000000005</v>
      </c>
      <c r="Q954" s="22">
        <v>0.80763888888888891</v>
      </c>
    </row>
    <row r="955" spans="1:17" x14ac:dyDescent="0.2">
      <c r="A955" s="2">
        <v>609159</v>
      </c>
      <c r="B955" s="2">
        <v>609159</v>
      </c>
      <c r="C955" s="2">
        <v>321214</v>
      </c>
      <c r="D955" t="s">
        <v>925</v>
      </c>
      <c r="G955" s="15">
        <v>0.156365</v>
      </c>
      <c r="J955" s="15"/>
      <c r="M955" s="14">
        <v>0.156365</v>
      </c>
      <c r="Q955" s="22">
        <v>0.20972222222222223</v>
      </c>
    </row>
    <row r="956" spans="1:17" x14ac:dyDescent="0.2">
      <c r="A956" s="2">
        <v>613039</v>
      </c>
      <c r="B956" s="2">
        <v>613039</v>
      </c>
      <c r="C956" s="2">
        <v>567508</v>
      </c>
      <c r="D956" t="s">
        <v>919</v>
      </c>
      <c r="G956" s="15">
        <v>4.4072E-2</v>
      </c>
      <c r="J956" s="15"/>
      <c r="M956" s="14">
        <v>4.4072E-2</v>
      </c>
      <c r="Q956" s="22">
        <v>0.21875</v>
      </c>
    </row>
    <row r="957" spans="1:17" x14ac:dyDescent="0.2">
      <c r="A957" s="2">
        <v>625185</v>
      </c>
      <c r="B957" s="2">
        <v>625185</v>
      </c>
      <c r="C957" s="2">
        <v>1054681</v>
      </c>
      <c r="D957" t="s">
        <v>822</v>
      </c>
      <c r="G957" s="15">
        <v>4.0629999999999999E-2</v>
      </c>
      <c r="J957" s="15"/>
      <c r="M957" s="14">
        <v>4.0629999999999999E-2</v>
      </c>
      <c r="Q957" s="22">
        <v>0.11875000000000001</v>
      </c>
    </row>
    <row r="958" spans="1:17" x14ac:dyDescent="0.2">
      <c r="A958" s="2">
        <v>634589</v>
      </c>
      <c r="B958" s="2">
        <v>184541</v>
      </c>
      <c r="C958" s="2">
        <v>338704</v>
      </c>
      <c r="D958" t="s">
        <v>575</v>
      </c>
      <c r="G958" s="15">
        <v>0.41208099999999998</v>
      </c>
      <c r="H958" s="15">
        <v>1.089E-2</v>
      </c>
      <c r="I958" s="16">
        <v>1.0588E-2</v>
      </c>
      <c r="J958" s="15">
        <v>0.23796300000000001</v>
      </c>
      <c r="M958" s="14">
        <v>0.15287899999999999</v>
      </c>
      <c r="Q958" s="22">
        <v>2.4305555555555556E-2</v>
      </c>
    </row>
    <row r="959" spans="1:17" x14ac:dyDescent="0.2">
      <c r="A959" s="2">
        <v>657445</v>
      </c>
      <c r="B959" s="2">
        <v>657445</v>
      </c>
      <c r="C959" s="2">
        <v>74686</v>
      </c>
      <c r="D959" t="s">
        <v>1132</v>
      </c>
      <c r="G959" s="15">
        <v>0.44040600000000002</v>
      </c>
      <c r="J959" s="15"/>
      <c r="M959" s="15">
        <v>0.44040600000000002</v>
      </c>
      <c r="Q959" s="19">
        <v>0.15694444444444444</v>
      </c>
    </row>
    <row r="960" spans="1:17" x14ac:dyDescent="0.2">
      <c r="A960" s="2">
        <v>691803</v>
      </c>
      <c r="B960" s="2">
        <v>691803</v>
      </c>
      <c r="C960" s="2">
        <v>962670</v>
      </c>
      <c r="D960" t="s">
        <v>979</v>
      </c>
      <c r="G960" s="15">
        <v>4.7480000000000001E-2</v>
      </c>
      <c r="J960" s="15"/>
      <c r="M960" s="14">
        <v>4.7480000000000001E-2</v>
      </c>
      <c r="Q960" s="22">
        <v>0.25416666666666665</v>
      </c>
    </row>
    <row r="961" spans="1:17" x14ac:dyDescent="0.2">
      <c r="A961" s="2">
        <v>711587</v>
      </c>
      <c r="B961" s="2">
        <v>711587</v>
      </c>
      <c r="C961" s="2">
        <v>810424</v>
      </c>
      <c r="D961" t="s">
        <v>891</v>
      </c>
      <c r="G961" s="15">
        <v>4.2204999999999999E-2</v>
      </c>
      <c r="J961" s="15"/>
      <c r="M961" s="14">
        <v>4.2204999999999999E-2</v>
      </c>
      <c r="Q961" s="22">
        <v>0.16458333333333333</v>
      </c>
    </row>
    <row r="962" spans="1:17" x14ac:dyDescent="0.2">
      <c r="A962" s="2">
        <v>713854</v>
      </c>
      <c r="B962" s="2">
        <v>713854</v>
      </c>
      <c r="C962" s="2">
        <v>2989213</v>
      </c>
      <c r="D962" t="s">
        <v>948</v>
      </c>
      <c r="G962" s="15">
        <v>9.3509999999999999E-3</v>
      </c>
      <c r="J962" s="15"/>
      <c r="M962" s="14">
        <v>9.3509999999999999E-3</v>
      </c>
      <c r="Q962" s="22">
        <v>2.9861111111111113E-2</v>
      </c>
    </row>
    <row r="963" spans="1:17" x14ac:dyDescent="0.2">
      <c r="A963" s="2">
        <v>721786</v>
      </c>
      <c r="B963" s="2">
        <v>721786</v>
      </c>
      <c r="C963" s="2">
        <v>2565701</v>
      </c>
      <c r="D963" t="s">
        <v>794</v>
      </c>
      <c r="G963" s="15">
        <v>1.1689E-2</v>
      </c>
      <c r="J963" s="15"/>
      <c r="M963" s="14">
        <v>1.1689E-2</v>
      </c>
      <c r="Q963" s="22">
        <v>0.14444444444444446</v>
      </c>
    </row>
    <row r="964" spans="1:17" x14ac:dyDescent="0.2">
      <c r="A964" s="2">
        <v>724307</v>
      </c>
      <c r="B964" s="2">
        <v>724307</v>
      </c>
      <c r="C964" s="2">
        <v>3067096</v>
      </c>
      <c r="D964" t="s">
        <v>892</v>
      </c>
      <c r="G964" s="15">
        <v>8.9449999999999998E-3</v>
      </c>
      <c r="J964" s="15"/>
      <c r="M964" s="14">
        <v>8.9449999999999998E-3</v>
      </c>
      <c r="Q964" s="22">
        <v>2.9166666666666664E-2</v>
      </c>
    </row>
    <row r="965" spans="1:17" x14ac:dyDescent="0.2">
      <c r="A965" s="2">
        <v>730301</v>
      </c>
      <c r="B965" s="2">
        <v>730301</v>
      </c>
      <c r="C965" s="2">
        <v>2194204</v>
      </c>
      <c r="D965" t="s">
        <v>953</v>
      </c>
      <c r="G965" s="15"/>
      <c r="J965" s="15"/>
      <c r="M965" s="14"/>
      <c r="Q965" s="22"/>
    </row>
    <row r="966" spans="1:17" x14ac:dyDescent="0.2">
      <c r="A966" s="2">
        <v>751450</v>
      </c>
      <c r="B966" s="2">
        <v>751450</v>
      </c>
      <c r="C966" s="2">
        <v>1961638</v>
      </c>
      <c r="D966" t="s">
        <v>921</v>
      </c>
      <c r="G966" s="15">
        <v>2.0410999999999999E-2</v>
      </c>
      <c r="J966" s="15"/>
      <c r="M966" s="14">
        <v>2.0410999999999999E-2</v>
      </c>
      <c r="Q966" s="22">
        <v>5.5555555555555552E-2</v>
      </c>
    </row>
    <row r="967" spans="1:17" x14ac:dyDescent="0.2">
      <c r="A967" s="2">
        <v>755935</v>
      </c>
      <c r="B967" s="2">
        <v>755935</v>
      </c>
      <c r="C967" s="2">
        <v>1375631</v>
      </c>
      <c r="D967" t="s">
        <v>982</v>
      </c>
      <c r="G967" s="15">
        <v>3.2750000000000001E-2</v>
      </c>
      <c r="J967" s="15"/>
      <c r="M967" s="14">
        <v>3.2750000000000001E-2</v>
      </c>
      <c r="Q967" s="22">
        <v>6.3888888888888884E-2</v>
      </c>
    </row>
    <row r="968" spans="1:17" x14ac:dyDescent="0.2">
      <c r="A968" s="2">
        <v>778659</v>
      </c>
      <c r="B968" s="2">
        <v>778659</v>
      </c>
      <c r="C968" s="2">
        <v>658375</v>
      </c>
      <c r="D968" t="s">
        <v>983</v>
      </c>
      <c r="G968" s="15">
        <v>6.5905000000000005E-2</v>
      </c>
      <c r="J968" s="15"/>
      <c r="M968" s="14">
        <v>6.5905000000000005E-2</v>
      </c>
      <c r="Q968" s="22">
        <v>7.0833333333333331E-2</v>
      </c>
    </row>
    <row r="969" spans="1:17" x14ac:dyDescent="0.2">
      <c r="A969" s="2">
        <v>794421</v>
      </c>
      <c r="B969" s="2">
        <v>794421</v>
      </c>
      <c r="C969" s="2">
        <v>3223195</v>
      </c>
      <c r="D969" t="s">
        <v>883</v>
      </c>
      <c r="G969" s="15">
        <v>9.9749999999999995E-3</v>
      </c>
      <c r="J969" s="15"/>
      <c r="M969" s="14">
        <v>9.9749999999999995E-3</v>
      </c>
      <c r="Q969" s="22">
        <v>2.4305555555555556E-2</v>
      </c>
    </row>
    <row r="970" spans="1:17" x14ac:dyDescent="0.2">
      <c r="A970" s="2">
        <v>812422</v>
      </c>
      <c r="B970" s="2">
        <v>812422</v>
      </c>
      <c r="C970" s="2">
        <v>2346784</v>
      </c>
      <c r="D970" t="s">
        <v>951</v>
      </c>
      <c r="G970" s="15">
        <v>1.2711999999999999E-2</v>
      </c>
      <c r="J970" s="15"/>
      <c r="M970" s="14">
        <v>1.2711999999999999E-2</v>
      </c>
      <c r="Q970" s="22">
        <v>2.013888888888889E-2</v>
      </c>
    </row>
    <row r="971" spans="1:17" x14ac:dyDescent="0.2">
      <c r="A971" s="2">
        <v>816618</v>
      </c>
      <c r="B971" s="2">
        <v>816618</v>
      </c>
      <c r="C971" s="2">
        <v>613488</v>
      </c>
      <c r="D971" t="s">
        <v>890</v>
      </c>
      <c r="G971" s="15">
        <v>8.3259E-2</v>
      </c>
      <c r="J971" s="15"/>
      <c r="M971" s="14">
        <v>8.3259E-2</v>
      </c>
      <c r="Q971" s="22">
        <v>1.4583333333333332E-2</v>
      </c>
    </row>
    <row r="972" spans="1:17" x14ac:dyDescent="0.2">
      <c r="A972" s="2">
        <v>819733</v>
      </c>
      <c r="B972" s="2">
        <v>819733</v>
      </c>
      <c r="C972" s="2">
        <v>3107652</v>
      </c>
      <c r="D972" t="s">
        <v>917</v>
      </c>
      <c r="G972" s="15">
        <v>9.1590000000000005E-3</v>
      </c>
      <c r="J972" s="15"/>
      <c r="M972" s="14">
        <v>9.1590000000000005E-3</v>
      </c>
      <c r="Q972" s="22">
        <v>8.819444444444445E-2</v>
      </c>
    </row>
    <row r="973" spans="1:17" x14ac:dyDescent="0.2">
      <c r="A973" s="2">
        <v>856281</v>
      </c>
      <c r="B973" s="2">
        <v>856281</v>
      </c>
      <c r="C973" s="2">
        <v>1743104</v>
      </c>
      <c r="D973" t="s">
        <v>803</v>
      </c>
      <c r="G973" s="15">
        <v>1.9585000000000002E-2</v>
      </c>
      <c r="J973" s="15"/>
      <c r="M973" s="14">
        <v>1.9585000000000002E-2</v>
      </c>
      <c r="Q973" s="22">
        <v>9.375E-2</v>
      </c>
    </row>
    <row r="974" spans="1:17" x14ac:dyDescent="0.2">
      <c r="A974" s="2">
        <v>869773</v>
      </c>
      <c r="B974" s="2">
        <v>869773</v>
      </c>
      <c r="C974" s="2">
        <v>1788424</v>
      </c>
      <c r="D974" t="s">
        <v>952</v>
      </c>
      <c r="G974" s="15">
        <v>2.2461999999999999E-2</v>
      </c>
      <c r="J974" s="15"/>
      <c r="M974" s="14">
        <v>2.2461999999999999E-2</v>
      </c>
      <c r="Q974" s="22">
        <v>3.0555555555555555E-2</v>
      </c>
    </row>
    <row r="975" spans="1:17" x14ac:dyDescent="0.2">
      <c r="A975" s="2">
        <v>893077</v>
      </c>
      <c r="B975" s="2">
        <v>893077</v>
      </c>
      <c r="C975" s="2">
        <v>2480040</v>
      </c>
      <c r="D975" t="s">
        <v>913</v>
      </c>
      <c r="G975" s="15">
        <v>1.3032E-2</v>
      </c>
      <c r="J975" s="15"/>
      <c r="M975" s="14">
        <v>1.3032E-2</v>
      </c>
      <c r="Q975" s="22">
        <v>6.458333333333334E-2</v>
      </c>
    </row>
    <row r="976" spans="1:17" x14ac:dyDescent="0.2">
      <c r="A976" s="2">
        <v>903551</v>
      </c>
      <c r="B976" s="2">
        <v>903551</v>
      </c>
      <c r="C976" s="2">
        <v>3048194</v>
      </c>
      <c r="D976" t="s">
        <v>946</v>
      </c>
      <c r="G976" s="15">
        <v>8.2150000000000001E-3</v>
      </c>
      <c r="J976" s="15"/>
      <c r="M976" s="14">
        <v>8.2150000000000001E-3</v>
      </c>
      <c r="Q976" s="22">
        <v>9.2361111111111116E-2</v>
      </c>
    </row>
    <row r="977" spans="1:17" x14ac:dyDescent="0.2">
      <c r="A977" s="2">
        <v>948640</v>
      </c>
      <c r="B977" s="2">
        <v>948640</v>
      </c>
      <c r="C977" s="2">
        <v>2661615</v>
      </c>
      <c r="D977" t="s">
        <v>959</v>
      </c>
      <c r="G977" s="15">
        <v>1.4638E-2</v>
      </c>
      <c r="J977" s="15"/>
      <c r="M977" s="14">
        <v>1.4638E-2</v>
      </c>
      <c r="Q977" s="22">
        <v>5.1388888888888894E-2</v>
      </c>
    </row>
    <row r="978" spans="1:17" x14ac:dyDescent="0.2">
      <c r="A978" s="2">
        <v>986988</v>
      </c>
      <c r="B978" s="2">
        <v>986988</v>
      </c>
      <c r="C978" s="2">
        <v>568921</v>
      </c>
      <c r="D978" t="s">
        <v>1204</v>
      </c>
      <c r="G978" s="15">
        <v>5.6669999999999998E-2</v>
      </c>
      <c r="J978" s="15"/>
      <c r="M978" s="14">
        <v>5.6669999999999998E-2</v>
      </c>
      <c r="Q978" s="22">
        <v>0.22013888888888888</v>
      </c>
    </row>
    <row r="979" spans="1:17" x14ac:dyDescent="0.2">
      <c r="A979" s="2">
        <v>1032019</v>
      </c>
      <c r="B979" s="2">
        <v>1032019</v>
      </c>
      <c r="C979" s="2">
        <v>1120508</v>
      </c>
      <c r="D979" t="s">
        <v>903</v>
      </c>
      <c r="G979" s="15">
        <v>3.5885E-2</v>
      </c>
      <c r="J979" s="15"/>
      <c r="M979" s="14">
        <v>3.5885E-2</v>
      </c>
      <c r="Q979" s="22">
        <v>0.12430555555555556</v>
      </c>
    </row>
    <row r="980" spans="1:17" x14ac:dyDescent="0.2">
      <c r="A980" s="2">
        <v>1041795</v>
      </c>
      <c r="B980" s="2">
        <v>1041795</v>
      </c>
      <c r="C980" s="2">
        <v>2946132</v>
      </c>
      <c r="D980" t="s">
        <v>881</v>
      </c>
      <c r="G980" s="15">
        <v>9.9089999999999994E-3</v>
      </c>
      <c r="J980" s="15"/>
      <c r="M980" s="14">
        <v>9.9089999999999994E-3</v>
      </c>
      <c r="Q980" s="22">
        <v>0.11319444444444444</v>
      </c>
    </row>
    <row r="981" spans="1:17" x14ac:dyDescent="0.2">
      <c r="A981" s="2">
        <v>1084352</v>
      </c>
      <c r="B981" s="2">
        <v>1084352</v>
      </c>
      <c r="C981" s="2">
        <v>3228032</v>
      </c>
      <c r="D981" t="s">
        <v>889</v>
      </c>
      <c r="G981" s="15">
        <v>8.0569999999999999E-3</v>
      </c>
      <c r="J981" s="15"/>
      <c r="M981" s="14">
        <v>8.0569999999999999E-3</v>
      </c>
      <c r="Q981" s="22">
        <v>3.4722222222222224E-2</v>
      </c>
    </row>
    <row r="982" spans="1:17" x14ac:dyDescent="0.2">
      <c r="A982" s="2">
        <v>1276052</v>
      </c>
      <c r="B982" s="2">
        <v>1276052</v>
      </c>
      <c r="C982" s="2">
        <v>2753378</v>
      </c>
      <c r="D982" t="s">
        <v>936</v>
      </c>
      <c r="G982" s="15">
        <v>1.0409E-2</v>
      </c>
      <c r="J982" s="15"/>
      <c r="M982" s="14">
        <v>1.0409E-2</v>
      </c>
      <c r="Q982" s="22">
        <v>7.2916666666666671E-2</v>
      </c>
    </row>
    <row r="983" spans="1:17" x14ac:dyDescent="0.2">
      <c r="A983" s="2">
        <v>1388000</v>
      </c>
      <c r="B983" s="2">
        <v>1388000</v>
      </c>
      <c r="C983" s="2">
        <v>3920854</v>
      </c>
      <c r="D983" t="s">
        <v>930</v>
      </c>
      <c r="G983" s="15">
        <v>0</v>
      </c>
      <c r="J983" s="15"/>
      <c r="M983" s="14">
        <v>0</v>
      </c>
      <c r="Q983" s="22">
        <v>0.17430555555555557</v>
      </c>
    </row>
    <row r="984" spans="1:17" x14ac:dyDescent="0.2">
      <c r="A984" s="2">
        <v>1453324</v>
      </c>
      <c r="B984" s="2">
        <v>1453324</v>
      </c>
      <c r="C984" s="2">
        <v>657994</v>
      </c>
      <c r="D984" t="s">
        <v>949</v>
      </c>
      <c r="G984" s="15">
        <v>4.9446999999999998E-2</v>
      </c>
      <c r="J984" s="15"/>
      <c r="M984" s="14">
        <v>4.9446999999999998E-2</v>
      </c>
      <c r="Q984" s="22">
        <v>0.21458333333333335</v>
      </c>
    </row>
    <row r="985" spans="1:17" x14ac:dyDescent="0.2">
      <c r="A985" s="2">
        <v>1469139</v>
      </c>
      <c r="B985" s="2">
        <v>1051876</v>
      </c>
      <c r="C985" s="2">
        <v>1051876</v>
      </c>
      <c r="D985" t="s">
        <v>811</v>
      </c>
      <c r="G985" s="15">
        <v>3.5132999999999998E-2</v>
      </c>
      <c r="J985" s="15"/>
      <c r="M985" s="14">
        <v>3.5132999999999998E-2</v>
      </c>
      <c r="Q985" s="22">
        <v>6.1805555555555558E-2</v>
      </c>
    </row>
    <row r="986" spans="1:17" x14ac:dyDescent="0.2">
      <c r="A986" s="2">
        <v>1470665</v>
      </c>
      <c r="B986" s="2">
        <v>1470665</v>
      </c>
      <c r="C986" s="2">
        <v>722383</v>
      </c>
      <c r="D986" t="s">
        <v>858</v>
      </c>
      <c r="G986" s="15">
        <v>5.6721000000000001E-2</v>
      </c>
      <c r="J986" s="15"/>
      <c r="M986" s="14">
        <v>5.6721000000000001E-2</v>
      </c>
      <c r="Q986" s="22">
        <v>0.14722222222222223</v>
      </c>
    </row>
    <row r="987" spans="1:17" x14ac:dyDescent="0.2">
      <c r="A987" s="2">
        <v>1483016</v>
      </c>
      <c r="B987" s="2">
        <v>1483016</v>
      </c>
      <c r="C987" s="2">
        <v>671115</v>
      </c>
      <c r="D987" t="s">
        <v>807</v>
      </c>
      <c r="G987" s="15">
        <v>4.1541000000000002E-2</v>
      </c>
      <c r="J987" s="15"/>
      <c r="M987" s="14">
        <v>4.1541000000000002E-2</v>
      </c>
      <c r="Q987" s="22">
        <v>0.21111111111111111</v>
      </c>
    </row>
    <row r="988" spans="1:17" x14ac:dyDescent="0.2">
      <c r="A988" s="2">
        <v>1485916</v>
      </c>
      <c r="B988" s="2">
        <v>1485916</v>
      </c>
      <c r="C988" s="2">
        <v>365458</v>
      </c>
      <c r="D988" t="s">
        <v>1144</v>
      </c>
      <c r="G988" s="15">
        <v>0.121352</v>
      </c>
      <c r="J988" s="15"/>
      <c r="M988" s="15">
        <v>0.121352</v>
      </c>
      <c r="Q988" s="22">
        <v>6.458333333333334E-2</v>
      </c>
    </row>
    <row r="989" spans="1:17" x14ac:dyDescent="0.2">
      <c r="A989" s="2">
        <v>1487860</v>
      </c>
      <c r="B989" s="2">
        <v>1487860</v>
      </c>
      <c r="C989" s="2">
        <v>648416</v>
      </c>
      <c r="D989" t="s">
        <v>916</v>
      </c>
      <c r="G989" s="15">
        <v>5.2790999999999998E-2</v>
      </c>
      <c r="J989" s="15"/>
      <c r="M989" s="14">
        <v>5.2790999999999998E-2</v>
      </c>
      <c r="Q989" s="22">
        <v>0.14861111111111111</v>
      </c>
    </row>
    <row r="990" spans="1:17" x14ac:dyDescent="0.2">
      <c r="A990" s="2">
        <v>1496049</v>
      </c>
      <c r="B990" s="2">
        <v>1496049</v>
      </c>
      <c r="C990" s="2">
        <v>2498079</v>
      </c>
      <c r="D990" t="s">
        <v>956</v>
      </c>
      <c r="G990" s="15">
        <v>1.2933E-2</v>
      </c>
      <c r="J990" s="15"/>
      <c r="M990" s="14">
        <v>1.2933E-2</v>
      </c>
      <c r="Q990" s="22">
        <v>5.1388888888888894E-2</v>
      </c>
    </row>
    <row r="991" spans="1:17" x14ac:dyDescent="0.2">
      <c r="A991" s="2">
        <v>1501755</v>
      </c>
      <c r="B991" s="2">
        <v>1501755</v>
      </c>
      <c r="C991" s="2">
        <v>781173</v>
      </c>
      <c r="D991" t="s">
        <v>958</v>
      </c>
      <c r="G991" s="15">
        <v>3.125E-2</v>
      </c>
      <c r="J991" s="15"/>
      <c r="M991" s="14">
        <v>3.125E-2</v>
      </c>
      <c r="Q991" s="22">
        <v>0.34583333333333338</v>
      </c>
    </row>
    <row r="992" spans="1:17" x14ac:dyDescent="0.2">
      <c r="A992" s="2">
        <v>1547901</v>
      </c>
      <c r="B992" s="2">
        <v>1547901</v>
      </c>
      <c r="C992" s="2">
        <v>626499</v>
      </c>
      <c r="D992" t="s">
        <v>804</v>
      </c>
      <c r="G992" s="15">
        <v>5.3029E-2</v>
      </c>
      <c r="J992" s="15"/>
      <c r="M992" s="14">
        <v>5.3029E-2</v>
      </c>
      <c r="Q992" s="22">
        <v>5.7638888888888885E-2</v>
      </c>
    </row>
    <row r="993" spans="1:17" x14ac:dyDescent="0.2">
      <c r="A993" s="2">
        <v>1566811</v>
      </c>
      <c r="B993" s="2">
        <v>1566811</v>
      </c>
      <c r="C993" s="2">
        <v>3598018</v>
      </c>
      <c r="D993" t="s">
        <v>880</v>
      </c>
      <c r="G993" s="15">
        <v>7.8969999999999995E-3</v>
      </c>
      <c r="J993" s="15"/>
      <c r="M993" s="14">
        <v>7.8969999999999995E-3</v>
      </c>
      <c r="Q993" s="22">
        <v>2.7777777777777776E-2</v>
      </c>
    </row>
    <row r="994" spans="1:17" x14ac:dyDescent="0.2">
      <c r="A994" s="2">
        <v>1574712</v>
      </c>
      <c r="B994" s="2">
        <v>1574712</v>
      </c>
      <c r="C994" s="2">
        <v>5454882</v>
      </c>
      <c r="D994" t="s">
        <v>885</v>
      </c>
      <c r="G994" s="15">
        <v>0</v>
      </c>
      <c r="J994" s="15"/>
      <c r="M994" s="14">
        <v>0</v>
      </c>
      <c r="Q994" s="22">
        <v>8.3333333333333332E-3</v>
      </c>
    </row>
    <row r="995" spans="1:17" x14ac:dyDescent="0.2">
      <c r="A995" s="2">
        <v>1709514</v>
      </c>
      <c r="B995" s="2">
        <v>1709514</v>
      </c>
      <c r="C995" s="2">
        <v>1453044</v>
      </c>
      <c r="D995" t="s">
        <v>847</v>
      </c>
      <c r="G995" s="15">
        <v>5.3029E-2</v>
      </c>
      <c r="J995" s="15"/>
      <c r="M995" s="14">
        <v>1.5021E-2</v>
      </c>
      <c r="Q995" s="22">
        <v>0.25694444444444448</v>
      </c>
    </row>
    <row r="996" spans="1:17" x14ac:dyDescent="0.2">
      <c r="A996" s="2">
        <v>1723265</v>
      </c>
      <c r="B996" s="2">
        <v>1723265</v>
      </c>
      <c r="C996" s="2">
        <v>585164</v>
      </c>
      <c r="D996" t="s">
        <v>846</v>
      </c>
      <c r="G996" s="15">
        <v>3.4018E-2</v>
      </c>
      <c r="J996" s="15"/>
      <c r="M996" s="14">
        <v>3.4018E-2</v>
      </c>
      <c r="Q996" s="22">
        <v>0.75416666666666676</v>
      </c>
    </row>
    <row r="997" spans="1:17" x14ac:dyDescent="0.2">
      <c r="A997" s="2">
        <v>1810259</v>
      </c>
      <c r="B997" s="2">
        <v>1810259</v>
      </c>
      <c r="C997" s="2">
        <v>5679012</v>
      </c>
      <c r="D997" t="s">
        <v>899</v>
      </c>
      <c r="G997" s="15">
        <v>0</v>
      </c>
      <c r="J997" s="15"/>
      <c r="M997" s="14">
        <v>0</v>
      </c>
      <c r="Q997" s="22">
        <v>0.10277777777777779</v>
      </c>
    </row>
    <row r="998" spans="1:17" x14ac:dyDescent="0.2">
      <c r="A998" s="2">
        <v>1892396</v>
      </c>
      <c r="B998" s="2">
        <v>1892396</v>
      </c>
      <c r="C998" s="2">
        <v>2413965</v>
      </c>
      <c r="D998" t="s">
        <v>834</v>
      </c>
      <c r="G998" s="15">
        <v>1.1807E-2</v>
      </c>
      <c r="J998" s="15"/>
      <c r="M998" s="14">
        <v>1.1807E-2</v>
      </c>
      <c r="Q998" s="22">
        <v>0.10486111111111111</v>
      </c>
    </row>
    <row r="999" spans="1:17" x14ac:dyDescent="0.2">
      <c r="A999" s="2">
        <v>1983716</v>
      </c>
      <c r="B999" s="2">
        <v>1983716</v>
      </c>
      <c r="C999" s="2">
        <v>1468883</v>
      </c>
      <c r="D999" t="s">
        <v>849</v>
      </c>
      <c r="G999" s="15">
        <v>3.1140999999999999E-2</v>
      </c>
      <c r="J999" s="15"/>
      <c r="M999" s="14">
        <v>3.1140999999999999E-2</v>
      </c>
      <c r="Q999" s="22">
        <v>7.6388888888888886E-3</v>
      </c>
    </row>
    <row r="1000" spans="1:17" x14ac:dyDescent="0.2">
      <c r="A1000" s="2">
        <v>1984390</v>
      </c>
      <c r="B1000" s="2">
        <v>1984390</v>
      </c>
      <c r="C1000" s="2">
        <v>1746633</v>
      </c>
      <c r="D1000" t="s">
        <v>947</v>
      </c>
      <c r="G1000" s="15">
        <v>2.2341E-2</v>
      </c>
      <c r="J1000" s="15"/>
      <c r="M1000" s="14">
        <v>2.2341E-2</v>
      </c>
      <c r="Q1000" s="22">
        <v>3.8194444444444441E-2</v>
      </c>
    </row>
    <row r="1001" spans="1:17" x14ac:dyDescent="0.2">
      <c r="A1001" s="2">
        <v>2008570</v>
      </c>
      <c r="B1001" s="2">
        <v>2008570</v>
      </c>
      <c r="C1001" s="2">
        <v>4612936</v>
      </c>
      <c r="D1001" t="s">
        <v>934</v>
      </c>
      <c r="G1001" s="15">
        <v>5.2030000000000002E-3</v>
      </c>
      <c r="J1001" s="15"/>
      <c r="M1001" s="14">
        <v>5.2030000000000002E-3</v>
      </c>
      <c r="Q1001" s="22">
        <v>1.7361111111111112E-2</v>
      </c>
    </row>
    <row r="1002" spans="1:17" x14ac:dyDescent="0.2">
      <c r="A1002" s="2">
        <v>2129417</v>
      </c>
      <c r="B1002" s="2">
        <v>2129417</v>
      </c>
      <c r="C1002" s="2">
        <v>6590937</v>
      </c>
      <c r="D1002" t="s">
        <v>877</v>
      </c>
      <c r="G1002" s="15">
        <v>0</v>
      </c>
      <c r="J1002" s="15"/>
      <c r="M1002" s="14">
        <v>0</v>
      </c>
      <c r="Q1002" s="22">
        <v>6.5277777777777782E-2</v>
      </c>
    </row>
    <row r="1003" spans="1:17" x14ac:dyDescent="0.2">
      <c r="A1003" s="2">
        <v>2225877</v>
      </c>
      <c r="B1003" s="2">
        <v>2225877</v>
      </c>
      <c r="C1003" s="2">
        <v>6241321</v>
      </c>
      <c r="D1003" t="s">
        <v>920</v>
      </c>
      <c r="G1003" s="15">
        <v>0</v>
      </c>
      <c r="J1003" s="15"/>
      <c r="M1003" s="14">
        <v>0</v>
      </c>
      <c r="Q1003" s="22">
        <v>0.1451388888888889</v>
      </c>
    </row>
    <row r="1004" spans="1:17" x14ac:dyDescent="0.2">
      <c r="A1004" s="2">
        <v>2266164</v>
      </c>
      <c r="B1004" s="2">
        <v>2266164</v>
      </c>
      <c r="C1004" s="2">
        <v>1422960</v>
      </c>
      <c r="D1004" t="s">
        <v>860</v>
      </c>
      <c r="G1004" s="15">
        <v>3.2729000000000001E-2</v>
      </c>
      <c r="J1004" s="15"/>
      <c r="M1004" s="14">
        <v>3.2729000000000001E-2</v>
      </c>
      <c r="Q1004" s="22">
        <v>2.5694444444444447E-2</v>
      </c>
    </row>
    <row r="1005" spans="1:17" x14ac:dyDescent="0.2">
      <c r="A1005" s="2">
        <v>2369899</v>
      </c>
      <c r="B1005" s="2">
        <v>2369899</v>
      </c>
      <c r="C1005" s="2">
        <v>7006353</v>
      </c>
      <c r="D1005" t="s">
        <v>929</v>
      </c>
      <c r="G1005" s="15">
        <v>0</v>
      </c>
      <c r="J1005" s="15"/>
      <c r="M1005" s="14">
        <v>0</v>
      </c>
      <c r="Q1005" s="22">
        <v>7.4999999999999997E-2</v>
      </c>
    </row>
    <row r="1006" spans="1:17" x14ac:dyDescent="0.2">
      <c r="A1006" s="2">
        <v>2422516</v>
      </c>
      <c r="B1006" s="2">
        <v>2422516</v>
      </c>
      <c r="C1006" s="2">
        <v>6175427</v>
      </c>
      <c r="D1006" t="s">
        <v>876</v>
      </c>
      <c r="G1006" s="15">
        <v>0</v>
      </c>
      <c r="J1006" s="15"/>
      <c r="M1006" s="14">
        <v>0</v>
      </c>
      <c r="Q1006" s="22">
        <v>1.3194444444444444E-2</v>
      </c>
    </row>
    <row r="1007" spans="1:17" x14ac:dyDescent="0.2">
      <c r="A1007" s="2">
        <v>2556474</v>
      </c>
      <c r="B1007" s="2">
        <v>2556474</v>
      </c>
      <c r="C1007" s="2">
        <v>5165388</v>
      </c>
      <c r="D1007" t="s">
        <v>848</v>
      </c>
      <c r="G1007" s="15">
        <v>0</v>
      </c>
      <c r="J1007" s="15"/>
      <c r="M1007" s="14">
        <v>0</v>
      </c>
      <c r="Q1007" s="22">
        <v>2.9861111111111113E-2</v>
      </c>
    </row>
    <row r="1008" spans="1:17" x14ac:dyDescent="0.2">
      <c r="A1008" s="2">
        <v>2777353</v>
      </c>
      <c r="B1008" s="2">
        <v>2777353</v>
      </c>
      <c r="C1008" s="2">
        <v>2267580</v>
      </c>
      <c r="D1008" t="s">
        <v>835</v>
      </c>
      <c r="G1008" s="15">
        <v>7.4970000000000002E-3</v>
      </c>
      <c r="J1008" s="15"/>
      <c r="M1008" s="14">
        <v>7.4969999999999995E-2</v>
      </c>
      <c r="Q1008" s="22">
        <v>0.2388888888888889</v>
      </c>
    </row>
    <row r="1009" spans="1:17" x14ac:dyDescent="0.2">
      <c r="A1009" s="2">
        <v>2898515</v>
      </c>
      <c r="B1009" s="2">
        <v>2898515</v>
      </c>
      <c r="C1009" s="2">
        <v>7553946</v>
      </c>
      <c r="D1009" t="s">
        <v>945</v>
      </c>
      <c r="G1009" s="15">
        <v>0</v>
      </c>
      <c r="J1009" s="15"/>
      <c r="M1009" s="14">
        <v>0</v>
      </c>
      <c r="Q1009" s="22">
        <v>0.26527777777777778</v>
      </c>
    </row>
    <row r="1010" spans="1:17" x14ac:dyDescent="0.2">
      <c r="A1010" s="2">
        <v>3093218</v>
      </c>
      <c r="B1010" s="2">
        <v>3093218</v>
      </c>
      <c r="C1010" s="2">
        <v>6302594</v>
      </c>
      <c r="D1010" t="s">
        <v>904</v>
      </c>
      <c r="G1010" s="15">
        <v>0</v>
      </c>
      <c r="J1010" s="15"/>
      <c r="M1010" s="14">
        <v>0</v>
      </c>
      <c r="Q1010" s="22">
        <v>4.5833333333333337E-2</v>
      </c>
    </row>
    <row r="1011" spans="1:17" x14ac:dyDescent="0.2">
      <c r="A1011" s="2">
        <v>3293815</v>
      </c>
      <c r="B1011" s="2">
        <v>3293815</v>
      </c>
      <c r="C1011" s="2">
        <v>7055081</v>
      </c>
      <c r="D1011" t="s">
        <v>836</v>
      </c>
      <c r="G1011" s="15">
        <v>0</v>
      </c>
      <c r="J1011" s="15"/>
      <c r="M1011" s="14">
        <v>0</v>
      </c>
      <c r="Q1011" s="22">
        <v>0.11805555555555557</v>
      </c>
    </row>
    <row r="1012" spans="1:17" x14ac:dyDescent="0.2">
      <c r="A1012" s="2">
        <v>3483419</v>
      </c>
      <c r="B1012" s="2">
        <v>3483419</v>
      </c>
      <c r="C1012" s="2">
        <v>6489411</v>
      </c>
      <c r="D1012" t="s">
        <v>911</v>
      </c>
      <c r="G1012" s="15">
        <v>0</v>
      </c>
      <c r="J1012" s="15"/>
      <c r="M1012" s="14">
        <v>0</v>
      </c>
      <c r="Q1012" s="22">
        <v>0.16597222222222222</v>
      </c>
    </row>
    <row r="1013" spans="1:17" x14ac:dyDescent="0.2">
      <c r="A1013" s="2">
        <v>3620708</v>
      </c>
      <c r="B1013" s="2">
        <v>3620708</v>
      </c>
      <c r="C1013" s="2">
        <v>2733023</v>
      </c>
      <c r="D1013" t="s">
        <v>961</v>
      </c>
      <c r="G1013" s="15">
        <v>7.8329999999999997E-3</v>
      </c>
      <c r="J1013" s="15"/>
      <c r="M1013" s="14">
        <v>7.8329999999999997E-3</v>
      </c>
      <c r="Q1013" s="22">
        <v>0.56111111111111112</v>
      </c>
    </row>
    <row r="1014" spans="1:17" x14ac:dyDescent="0.2">
      <c r="A1014" s="2">
        <v>3853078</v>
      </c>
      <c r="B1014" s="2">
        <v>3853078</v>
      </c>
      <c r="C1014" s="2">
        <v>6537201</v>
      </c>
      <c r="D1014" t="s">
        <v>957</v>
      </c>
      <c r="G1014" s="15">
        <v>0</v>
      </c>
      <c r="J1014" s="15"/>
      <c r="M1014" s="14">
        <v>0</v>
      </c>
      <c r="Q1014" s="22">
        <v>0.17569444444444446</v>
      </c>
    </row>
    <row r="1015" spans="1:17" x14ac:dyDescent="0.2">
      <c r="A1015" s="2">
        <v>4352528</v>
      </c>
      <c r="B1015" s="2">
        <v>4352528</v>
      </c>
      <c r="C1015" s="2">
        <v>8136748</v>
      </c>
      <c r="D1015" t="s">
        <v>928</v>
      </c>
      <c r="G1015" s="15">
        <v>0</v>
      </c>
      <c r="J1015" s="15"/>
      <c r="M1015" s="14">
        <v>0</v>
      </c>
      <c r="Q1015" s="22">
        <v>3.3333333333333333E-2</v>
      </c>
    </row>
    <row r="1016" spans="1:17" x14ac:dyDescent="0.2">
      <c r="A1016" s="2">
        <v>4427327</v>
      </c>
      <c r="B1016" s="2">
        <v>4427327</v>
      </c>
      <c r="C1016" s="2">
        <v>11944288</v>
      </c>
      <c r="D1016" t="s">
        <v>894</v>
      </c>
      <c r="G1016" s="15">
        <v>0</v>
      </c>
      <c r="J1016" s="15"/>
      <c r="M1016" s="14">
        <v>0</v>
      </c>
      <c r="Q1016" s="22">
        <v>2.7777777777777779E-3</v>
      </c>
    </row>
    <row r="1017" spans="1:17" x14ac:dyDescent="0.2">
      <c r="A1017" s="2">
        <v>6235496</v>
      </c>
      <c r="B1017" s="2">
        <v>6235496</v>
      </c>
      <c r="C1017" s="2">
        <v>3336286</v>
      </c>
      <c r="D1017" t="s">
        <v>902</v>
      </c>
      <c r="G1017" s="15">
        <v>0</v>
      </c>
      <c r="J1017" s="15"/>
      <c r="M1017" s="14">
        <v>0</v>
      </c>
      <c r="Q1017" s="22">
        <v>0.1013888888888889</v>
      </c>
    </row>
    <row r="1018" spans="1:17" x14ac:dyDescent="0.2">
      <c r="A1018" s="2" t="s">
        <v>775</v>
      </c>
      <c r="B1018" s="2" t="s">
        <v>775</v>
      </c>
      <c r="C1018" s="2">
        <v>18725087</v>
      </c>
      <c r="D1018" t="s">
        <v>1202</v>
      </c>
      <c r="G1018" s="15">
        <v>0</v>
      </c>
      <c r="J1018" s="15"/>
      <c r="M1018" s="14">
        <v>0</v>
      </c>
      <c r="Q1018" s="22">
        <v>0</v>
      </c>
    </row>
    <row r="1019" spans="1:17" x14ac:dyDescent="0.2">
      <c r="D1019" t="s">
        <v>570</v>
      </c>
      <c r="G1019" s="15"/>
      <c r="J1019" s="15"/>
    </row>
  </sheetData>
  <dataConsolidate/>
  <mergeCells count="1">
    <mergeCell ref="O1:P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2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2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2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2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2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2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2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2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2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2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2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2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2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2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2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2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2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2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2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2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2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2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2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2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2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2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2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2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2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2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2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2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2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2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2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2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2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2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2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2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2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2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2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2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2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2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2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2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2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2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2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2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2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2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2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2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2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2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2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2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2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2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2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2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2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2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2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2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2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2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2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2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2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2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2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2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2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2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2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2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2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2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2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2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2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2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2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2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2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2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2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2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2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2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2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2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2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2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2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2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2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2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2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2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2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2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2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2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2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2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2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2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2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2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2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2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2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2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2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2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2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2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2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2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2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2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2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2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2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2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2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2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2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2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2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2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2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2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2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2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2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2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2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2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2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2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2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2023-07-27T00:24:10Z</dcterms:modified>
</cp:coreProperties>
</file>