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showInkAnnotation="0" defaultThemeVersion="166925"/>
  <xr:revisionPtr revIDLastSave="0" documentId="13_ncr:1_{C0C8A4B9-CDF9-4327-B020-038C1745B237}" xr6:coauthVersionLast="47" xr6:coauthVersionMax="47" xr10:uidLastSave="{00000000-0000-0000-0000-000000000000}"/>
  <bookViews>
    <workbookView xWindow="23010" yWindow="2340" windowWidth="28005" windowHeight="15345" activeTab="3" xr2:uid="{00000000-000D-0000-FFFF-FFFF00000000}"/>
  </bookViews>
  <sheets>
    <sheet name="People" sheetId="14" r:id="rId1"/>
    <sheet name="Glossary" sheetId="13" r:id="rId2"/>
    <sheet name="Historical" sheetId="12" r:id="rId3"/>
    <sheet name="Main" sheetId="1" r:id="rId4"/>
    <sheet name="Enterprise-Cloud" sheetId="10" r:id="rId5"/>
    <sheet name="Social-Dating" sheetId="9" r:id="rId6"/>
    <sheet name="Simulation-Technical Design" sheetId="11" r:id="rId7"/>
    <sheet name="AI" sheetId="15" r:id="rId8"/>
    <sheet name="Media-Games-Design" sheetId="8" r:id="rId9"/>
    <sheet name="Fintech" sheetId="7" r:id="rId10"/>
    <sheet name="Ecommerce" sheetId="5" r:id="rId11"/>
    <sheet name="Security" sheetId="4" r:id="rId12"/>
    <sheet name="FX" sheetId="3" r:id="rId13"/>
    <sheet name="Private" sheetId="2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s="1"/>
  <c r="H3" i="5" l="1"/>
  <c r="E3" i="5" s="1"/>
  <c r="F24" i="5" l="1"/>
  <c r="H24" i="5"/>
  <c r="E24" i="5" s="1"/>
  <c r="G24" i="5" l="1"/>
  <c r="F8" i="9"/>
  <c r="H8" i="9"/>
  <c r="E8" i="9" s="1"/>
  <c r="G8" i="9" l="1"/>
  <c r="H5" i="10"/>
  <c r="N5" i="10"/>
  <c r="M5" i="10"/>
  <c r="K5" i="10"/>
  <c r="L5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19" i="8"/>
  <c r="E19" i="8"/>
  <c r="G3" i="10" l="1"/>
  <c r="S3" i="10" s="1"/>
  <c r="G7" i="7"/>
  <c r="G19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17" i="10"/>
  <c r="H17" i="10"/>
  <c r="E17" i="10" s="1"/>
  <c r="G17" i="10" l="1"/>
  <c r="G15" i="10"/>
  <c r="H12" i="10"/>
  <c r="F12" i="10"/>
  <c r="E12" i="10"/>
  <c r="H11" i="10"/>
  <c r="E11" i="10" s="1"/>
  <c r="H10" i="10"/>
  <c r="F10" i="10"/>
  <c r="E10" i="10"/>
  <c r="G12" i="10" l="1"/>
  <c r="G10" i="10"/>
  <c r="G11" i="10"/>
  <c r="F5" i="8" l="1"/>
  <c r="E5" i="8"/>
  <c r="H8" i="10"/>
  <c r="E8" i="10" s="1"/>
  <c r="F8" i="10"/>
  <c r="F7" i="10"/>
  <c r="E7" i="10"/>
  <c r="F6" i="10"/>
  <c r="E6" i="10"/>
  <c r="F5" i="10"/>
  <c r="E5" i="10"/>
  <c r="F4" i="10"/>
  <c r="E4" i="10"/>
  <c r="G5" i="10" l="1"/>
  <c r="G6" i="10"/>
  <c r="G7" i="10"/>
  <c r="G8" i="10"/>
  <c r="G5" i="8"/>
  <c r="G4" i="10"/>
  <c r="F13" i="8" l="1"/>
  <c r="H13" i="8"/>
  <c r="E13" i="8" s="1"/>
  <c r="G13" i="8" l="1"/>
  <c r="F4" i="9"/>
  <c r="E4" i="9"/>
  <c r="O3" i="9"/>
  <c r="N3" i="9"/>
  <c r="M3" i="9"/>
  <c r="K3" i="9"/>
  <c r="L3" i="9" s="1"/>
  <c r="H3" i="9"/>
  <c r="G3" i="9" l="1"/>
  <c r="G4" i="9"/>
  <c r="F4" i="5" l="1" a="1"/>
  <c r="F4" i="5" s="1"/>
  <c r="E4" i="5"/>
  <c r="F13" i="5"/>
  <c r="E13" i="5"/>
  <c r="F6" i="1"/>
  <c r="H6" i="1"/>
  <c r="E6" i="1" s="1"/>
  <c r="E10" i="8" a="1"/>
  <c r="E10" i="8" s="1"/>
  <c r="F4" i="8"/>
  <c r="E4" i="8"/>
  <c r="H3" i="8"/>
  <c r="F3" i="8"/>
  <c r="E3" i="8"/>
  <c r="G4" i="5" l="1"/>
  <c r="G13" i="5"/>
  <c r="G6" i="1"/>
  <c r="G4" i="8"/>
  <c r="G3" i="8"/>
  <c r="E8" i="1" a="1"/>
  <c r="E8" i="1" s="1"/>
  <c r="H7" i="1" l="1"/>
  <c r="F7" i="1"/>
  <c r="E7" i="1"/>
  <c r="O4" i="1"/>
  <c r="N4" i="1"/>
  <c r="M4" i="1"/>
  <c r="K4" i="1"/>
  <c r="L4" i="1" s="1"/>
  <c r="H4" i="1"/>
  <c r="G7" i="1" l="1"/>
  <c r="H5" i="1"/>
  <c r="O5" i="1"/>
  <c r="L2" i="1"/>
  <c r="F3" i="5" l="1"/>
  <c r="G3" i="5" s="1"/>
  <c r="F5" i="5" a="1"/>
  <c r="F5" i="5" s="1"/>
  <c r="E5" i="5"/>
  <c r="F13" i="1"/>
  <c r="E13" i="1"/>
  <c r="G5" i="5" l="1"/>
  <c r="G14" i="8"/>
  <c r="G13" i="1"/>
  <c r="F5" i="1"/>
  <c r="E5" i="1"/>
  <c r="G5" i="1" l="1"/>
  <c r="F4" i="1"/>
  <c r="E4" i="1"/>
  <c r="G4" i="1" l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<sst xmlns="http://schemas.openxmlformats.org/spreadsheetml/2006/main" count="765" uniqueCount="487">
  <si>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</si>
  <si>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</si>
  <si>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</si>
  <si>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</si>
  <si>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</si>
  <si>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</si>
  <si>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</si>
  <si>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</si>
  <si>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</si>
  <si>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</si>
  <si>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</si>
  <si>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</si>
  <si>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</si>
  <si>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</si>
  <si>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</si>
  <si>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</si>
  <si>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</si>
  <si>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</si>
  <si>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</si>
  <si>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</si>
  <si>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</si>
  <si>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</si>
  <si>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</si>
  <si>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</si>
  <si>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</si>
  <si>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</si>
  <si>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</si>
  <si>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</si>
  <si>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</si>
  <si>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</si>
  <si>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</si>
  <si>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</si>
  <si>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</si>
  <si>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</si>
  <si>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</si>
  <si>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</si>
  <si>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</si>
  <si>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</si>
  <si>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</si>
  <si>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</si>
  <si>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</si>
  <si>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</si>
  <si>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</si>
  <si>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</si>
  <si>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</si>
  <si>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</si>
  <si>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</si>
  <si>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</si>
  <si>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</si>
  <si>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</si>
  <si>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</si>
  <si>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</si>
  <si>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</si>
  <si>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</si>
  <si>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</si>
  <si>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</si>
  <si>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</si>
  <si>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</si>
  <si>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</si>
  <si>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</si>
  <si>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</si>
  <si>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</si>
  <si>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</si>
  <si>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</si>
  <si>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</si>
  <si>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</si>
  <si>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</si>
  <si>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</si>
  <si>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</si>
  <si>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</si>
  <si>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</si>
  <si>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</si>
  <si>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</si>
  <si>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</si>
  <si>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</si>
  <si>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</si>
  <si>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</si>
  <si>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</si>
  <si>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</si>
  <si>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</si>
  <si>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</si>
  <si>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</si>
  <si>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</si>
  <si>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</si>
  <si>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</si>
  <si>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</si>
  <si>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</si>
  <si>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</si>
  <si>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</si>
  <si>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</si>
  <si>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</si>
  <si>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</si>
  <si>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</si>
  <si>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</si>
  <si>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</si>
  <si>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</si>
  <si>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</si>
  <si>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</si>
  <si>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</si>
  <si>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</si>
  <si>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</si>
  <si>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</si>
  <si>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</si>
  <si>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</si>
  <si>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</si>
  <si>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</si>
  <si>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</si>
  <si>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</si>
  <si>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</si>
  <si>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</si>
  <si>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</si>
  <si>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</si>
  <si>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</si>
  <si>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</si>
  <si>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</si>
  <si>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</si>
  <si>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</si>
  <si>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</si>
  <si>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</si>
  <si>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</si>
  <si>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</si>
  <si>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</si>
  <si>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</si>
  <si>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</si>
  <si>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</si>
  <si>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</si>
  <si>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</si>
  <si>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</si>
  <si>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</si>
  <si>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</si>
  <si>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</si>
  <si>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</si>
  <si>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</si>
  <si>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</si>
  <si>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</si>
  <si>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</si>
  <si>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</si>
  <si>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</si>
  <si>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</si>
  <si>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</si>
  <si>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</si>
  <si>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</si>
  <si>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</si>
  <si>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</si>
  <si>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</si>
  <si>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</si>
  <si>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</si>
  <si>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</si>
  <si>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</si>
  <si>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</si>
  <si>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</si>
  <si>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</si>
  <si>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</si>
  <si>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</si>
  <si>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</si>
  <si>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</si>
  <si>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</si>
  <si>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</si>
  <si>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</si>
  <si>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</si>
  <si>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</si>
  <si>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</si>
  <si>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</si>
  <si>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</si>
  <si>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</si>
  <si>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</si>
  <si>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</si>
  <si>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</si>
  <si>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</si>
  <si>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</si>
  <si>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</si>
  <si>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</si>
  <si>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</si>
  <si>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</si>
  <si>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</si>
  <si>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</si>
  <si>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</si>
  <si>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</si>
  <si>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</si>
  <si>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</si>
  <si>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</si>
  <si>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</si>
  <si>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</si>
  <si>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</si>
  <si>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</si>
  <si>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</si>
  <si>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</si>
  <si>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</si>
  <si>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</si>
  <si>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</si>
  <si>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</si>
  <si>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</si>
  <si>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</si>
  <si>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</si>
  <si>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</si>
  <si>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</si>
  <si>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</si>
  <si>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</si>
  <si>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</si>
  <si>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</si>
  <si>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</si>
  <si>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</si>
  <si>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</si>
  <si>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</si>
  <si>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</si>
  <si>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</si>
  <si>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</si>
  <si>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</si>
  <si>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</si>
  <si>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</si>
  <si>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</si>
  <si>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</si>
  <si>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</si>
  <si>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</si>
  <si>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</si>
  <si>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</si>
  <si>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</si>
  <si>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</si>
  <si>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</si>
  <si>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</si>
  <si>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</si>
  <si>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</si>
  <si>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</si>
  <si>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</si>
  <si>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</si>
  <si>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</si>
  <si>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</si>
  <si>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</si>
  <si>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</si>
  <si>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</si>
  <si>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</si>
  <si>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</si>
  <si>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</si>
  <si>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</si>
  <si>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</si>
  <si>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</si>
  <si>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</si>
  <si>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</si>
  <si>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</si>
  <si>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</si>
  <si>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</si>
  <si>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</si>
  <si>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</si>
  <si>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</si>
  <si>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</si>
  <si>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</si>
  <si>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</si>
  <si>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</si>
  <si>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</si>
  <si>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</si>
  <si>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</si>
  <si>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</si>
  <si>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</si>
  <si>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</si>
  <si>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</si>
  <si>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</si>
  <si>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</si>
  <si>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</si>
  <si>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</si>
  <si>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</si>
  <si>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</si>
  <si>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</si>
  <si>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</si>
  <si>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</si>
  <si>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</si>
  <si>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</si>
  <si>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</si>
  <si>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</si>
  <si>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</si>
  <si>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</si>
  <si>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</si>
  <si>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</si>
  <si>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</si>
  <si>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</si>
  <si>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</si>
  <si>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</si>
  <si>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</si>
  <si>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</si>
  <si>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</si>
  <si>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</si>
  <si>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</si>
  <si>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</si>
  <si>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</si>
  <si>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</si>
  <si>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</si>
  <si>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</si>
  <si>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</si>
  <si>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</si>
  <si>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</si>
  <si>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</si>
  <si>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</si>
  <si>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</si>
  <si>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</si>
  <si>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</si>
  <si>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</si>
  <si>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</si>
  <si>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</si>
  <si>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</si>
  <si>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</si>
  <si>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</si>
  <si>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</si>
  <si>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</si>
  <si>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</si>
  <si>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</si>
  <si>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</si>
  <si>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</si>
  <si>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</si>
  <si>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</si>
  <si>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</si>
  <si>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</si>
  <si>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</si>
  <si>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</si>
  <si>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</si>
  <si>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</si>
  <si>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</si>
  <si>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</si>
  <si>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</si>
  <si>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</si>
  <si>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</si>
  <si>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</si>
  <si>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</si>
  <si>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</si>
  <si>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</si>
  <si>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</si>
  <si>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</si>
  <si>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</si>
  <si>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</si>
  <si>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</si>
  <si>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</si>
  <si>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</si>
  <si>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</si>
  <si>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</si>
  <si>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</si>
  <si>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</si>
  <si>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</si>
  <si>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</si>
  <si>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</si>
  <si>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</si>
  <si>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</si>
  <si>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</si>
  <si>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</si>
  <si>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</si>
  <si>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</si>
  <si>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</si>
  <si>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</si>
  <si>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</si>
  <si>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</si>
  <si>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</si>
  <si>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</si>
  <si>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</si>
  <si>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</si>
  <si>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</si>
  <si>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</si>
  <si>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</si>
  <si>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</si>
  <si>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</si>
  <si>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</si>
  <si>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</si>
  <si>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</si>
  <si>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</si>
  <si>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</si>
  <si>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</si>
  <si>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</si>
  <si>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</si>
  <si>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</si>
  <si>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</si>
  <si>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</si>
  <si>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</si>
  <si>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</si>
  <si>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</si>
  <si>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</si>
  <si>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</si>
  <si>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</si>
  <si>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</si>
  <si>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</si>
  <si>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</si>
  <si>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</si>
  <si>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</si>
  <si>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</si>
  <si>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</si>
  <si>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</si>
  <si>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</si>
  <si>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</si>
  <si>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</si>
  <si>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</si>
  <si>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</si>
  <si>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</si>
  <si>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</si>
  <si>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</si>
  <si>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</si>
  <si>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</si>
  <si>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</si>
  <si>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</si>
  <si>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</si>
  <si>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Gas (Discord)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</si>
  <si>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</si>
  <si>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</si>
  <si>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</si>
  <si>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</si>
  <si>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</si>
  <si>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</si>
  <si>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</si>
  <si>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</si>
  <si>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</si>
  <si>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</si>
  <si>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Series B</t>
  </si>
  <si>
    <t>Claude</t>
  </si>
  <si>
    <t>Dario Amodei</t>
  </si>
  <si>
    <t>Cohere</t>
  </si>
  <si>
    <t>AI21 Labs</t>
  </si>
  <si>
    <t>580m</t>
  </si>
  <si>
    <t>Doximity</t>
  </si>
  <si>
    <t>Nextracker</t>
  </si>
  <si>
    <t>Confluent</t>
  </si>
  <si>
    <t>Pinecone</t>
  </si>
  <si>
    <t>Langchain</t>
  </si>
  <si>
    <t>Last Round</t>
  </si>
  <si>
    <t>Size</t>
  </si>
  <si>
    <t>Product</t>
  </si>
  <si>
    <t>ChatGPT</t>
  </si>
  <si>
    <t>Bard</t>
  </si>
  <si>
    <t>People</t>
  </si>
  <si>
    <t>Stability AI</t>
  </si>
  <si>
    <t>C3</t>
  </si>
  <si>
    <t>Perplexity AI</t>
  </si>
  <si>
    <t>Character AI</t>
  </si>
  <si>
    <t>Hugging Face</t>
  </si>
  <si>
    <t>Jasper</t>
  </si>
  <si>
    <t>Fetch.ai</t>
  </si>
  <si>
    <t>Weights and Biases</t>
  </si>
  <si>
    <t>Glean</t>
  </si>
  <si>
    <t>Typeface</t>
  </si>
  <si>
    <t>Cruise</t>
  </si>
  <si>
    <t>Databricks</t>
  </si>
  <si>
    <t>2100m</t>
  </si>
  <si>
    <t>Tesla</t>
  </si>
  <si>
    <t>1600m</t>
  </si>
  <si>
    <t>10000m</t>
  </si>
  <si>
    <t>Olive</t>
  </si>
  <si>
    <t>Notes</t>
  </si>
  <si>
    <t>Healthcare</t>
  </si>
  <si>
    <t>Adept AI</t>
  </si>
  <si>
    <t>350m</t>
  </si>
  <si>
    <t>Inflection AI</t>
  </si>
  <si>
    <t>Moveworks</t>
  </si>
  <si>
    <t>Zoovu</t>
  </si>
  <si>
    <t>Nauto</t>
  </si>
  <si>
    <t>Element AI</t>
  </si>
  <si>
    <t>150m</t>
  </si>
  <si>
    <t>Concert AI</t>
  </si>
  <si>
    <t>Clarify Health</t>
  </si>
  <si>
    <t>Innovaccer</t>
  </si>
  <si>
    <t>Jumio</t>
  </si>
  <si>
    <t>Verbit</t>
  </si>
  <si>
    <t>Yi+</t>
  </si>
  <si>
    <t>Xiaoice</t>
  </si>
  <si>
    <t>K Health</t>
  </si>
  <si>
    <t>Observe.AI</t>
  </si>
  <si>
    <t>Climavision</t>
  </si>
  <si>
    <t>Parametrix AI</t>
  </si>
  <si>
    <t>People.ai</t>
  </si>
  <si>
    <t>Game, NPC world</t>
  </si>
  <si>
    <t>Ascertain</t>
  </si>
  <si>
    <t>Noam Shazeer</t>
  </si>
  <si>
    <t>Seekr</t>
  </si>
  <si>
    <t>Inworld</t>
  </si>
  <si>
    <t>Wizard</t>
  </si>
  <si>
    <t>Ecommerce</t>
  </si>
  <si>
    <t>The Applied AI Company</t>
  </si>
  <si>
    <t>Irreverant Labs</t>
  </si>
  <si>
    <t>Modular</t>
  </si>
  <si>
    <t>Infrastructure</t>
  </si>
  <si>
    <t>Neo Cybernetica</t>
  </si>
  <si>
    <t>Stealth</t>
  </si>
  <si>
    <t>AXON Networks</t>
  </si>
  <si>
    <t>Orchestration</t>
  </si>
  <si>
    <t>Search</t>
  </si>
  <si>
    <t>Magic</t>
  </si>
  <si>
    <t>Programming</t>
  </si>
  <si>
    <t>Exafunction</t>
  </si>
  <si>
    <t>EnCharge AI</t>
  </si>
  <si>
    <t>Generally Intelligent</t>
  </si>
  <si>
    <t>Two Platforms</t>
  </si>
  <si>
    <t>Fixie.ai</t>
  </si>
  <si>
    <t>Enchanted Tools</t>
  </si>
  <si>
    <t>Tenyx</t>
  </si>
  <si>
    <t>Haiper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</si>
</sst>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7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9" fillId="0" borderId="0" applyNumberFormat="0" applyFill="0" applyBorder="0" applyAlignment="0" applyProtection="0"/>
  </cellStyleXfs>
  <cellXfs count="171">
    <xf numFmtId="0" fontId="0" fillId="0" borderId="0" xfId="0"/>
    <xf numFmtId="0" fontId="68" fillId="0" borderId="0" xfId="0" applyFont="1"/>
    <xf numFmtId="2" fontId="68" fillId="0" borderId="0" xfId="0" applyNumberFormat="1" applyFont="1" applyAlignment="1">
      <alignment horizontal="right"/>
    </xf>
    <xf numFmtId="3" fontId="68" fillId="0" borderId="0" xfId="0" applyNumberFormat="1" applyFont="1" applyAlignment="1">
      <alignment horizontal="right"/>
    </xf>
    <xf numFmtId="0" fontId="68" fillId="0" borderId="0" xfId="0" applyFont="1" applyAlignment="1">
      <alignment horizontal="right"/>
    </xf>
    <xf numFmtId="0" fontId="70" fillId="0" borderId="0" xfId="1" applyFont="1"/>
    <xf numFmtId="0" fontId="67" fillId="0" borderId="0" xfId="0" applyFont="1"/>
    <xf numFmtId="3" fontId="67" fillId="0" borderId="0" xfId="0" applyNumberFormat="1" applyFont="1" applyAlignment="1">
      <alignment horizontal="right"/>
    </xf>
    <xf numFmtId="0" fontId="66" fillId="0" borderId="0" xfId="0" applyFont="1"/>
    <xf numFmtId="3" fontId="71" fillId="0" borderId="0" xfId="0" applyNumberFormat="1" applyFont="1" applyAlignment="1">
      <alignment horizontal="right"/>
    </xf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3" xfId="0" applyFont="1" applyBorder="1"/>
    <xf numFmtId="0" fontId="62" fillId="0" borderId="4" xfId="0" applyFont="1" applyBorder="1"/>
    <xf numFmtId="2" fontId="62" fillId="0" borderId="4" xfId="0" applyNumberFormat="1" applyFont="1" applyBorder="1" applyAlignment="1">
      <alignment horizontal="right"/>
    </xf>
    <xf numFmtId="3" fontId="62" fillId="0" borderId="4" xfId="0" applyNumberFormat="1" applyFont="1" applyBorder="1" applyAlignment="1">
      <alignment horizontal="right"/>
    </xf>
    <xf numFmtId="0" fontId="62" fillId="0" borderId="4" xfId="0" applyFont="1" applyBorder="1" applyAlignment="1">
      <alignment horizontal="right"/>
    </xf>
    <xf numFmtId="0" fontId="62" fillId="0" borderId="4" xfId="0" applyFont="1" applyBorder="1" applyAlignment="1">
      <alignment horizontal="center"/>
    </xf>
    <xf numFmtId="0" fontId="62" fillId="0" borderId="5" xfId="0" applyFont="1" applyBorder="1" applyAlignment="1">
      <alignment horizontal="center"/>
    </xf>
    <xf numFmtId="0" fontId="62" fillId="0" borderId="0" xfId="0" applyFont="1"/>
    <xf numFmtId="2" fontId="62" fillId="0" borderId="0" xfId="0" applyNumberFormat="1" applyFont="1" applyAlignment="1">
      <alignment horizontal="right"/>
    </xf>
    <xf numFmtId="3" fontId="62" fillId="0" borderId="0" xfId="0" applyNumberFormat="1" applyFont="1" applyAlignment="1">
      <alignment horizontal="right"/>
    </xf>
    <xf numFmtId="0" fontId="62" fillId="0" borderId="0" xfId="0" applyFont="1" applyAlignment="1">
      <alignment horizontal="right"/>
    </xf>
    <xf numFmtId="0" fontId="62" fillId="0" borderId="0" xfId="0" applyFont="1" applyAlignment="1">
      <alignment horizontal="center"/>
    </xf>
    <xf numFmtId="0" fontId="62" fillId="0" borderId="1" xfId="0" applyFont="1" applyBorder="1" applyAlignment="1">
      <alignment horizontal="center"/>
    </xf>
    <xf numFmtId="0" fontId="62" fillId="0" borderId="2" xfId="0" applyFont="1" applyBorder="1" applyAlignment="1">
      <alignment horizontal="center"/>
    </xf>
    <xf numFmtId="4" fontId="62" fillId="0" borderId="0" xfId="0" applyNumberFormat="1" applyFont="1" applyAlignment="1">
      <alignment horizontal="center"/>
    </xf>
    <xf numFmtId="9" fontId="62" fillId="0" borderId="0" xfId="0" applyNumberFormat="1" applyFont="1" applyAlignment="1">
      <alignment horizontal="center"/>
    </xf>
    <xf numFmtId="164" fontId="62" fillId="0" borderId="1" xfId="0" applyNumberFormat="1" applyFont="1" applyBorder="1" applyAlignment="1">
      <alignment horizontal="center"/>
    </xf>
    <xf numFmtId="164" fontId="62" fillId="0" borderId="0" xfId="0" applyNumberFormat="1" applyFont="1" applyAlignment="1">
      <alignment horizontal="center"/>
    </xf>
    <xf numFmtId="164" fontId="62" fillId="0" borderId="2" xfId="0" applyNumberFormat="1" applyFont="1" applyBorder="1" applyAlignment="1">
      <alignment horizontal="center"/>
    </xf>
    <xf numFmtId="4" fontId="62" fillId="0" borderId="1" xfId="0" applyNumberFormat="1" applyFont="1" applyBorder="1" applyAlignment="1">
      <alignment horizontal="center"/>
    </xf>
    <xf numFmtId="4" fontId="62" fillId="0" borderId="2" xfId="0" applyNumberFormat="1" applyFont="1" applyBorder="1" applyAlignment="1">
      <alignment horizontal="center"/>
    </xf>
    <xf numFmtId="0" fontId="61" fillId="0" borderId="0" xfId="0" applyFont="1" applyAlignment="1">
      <alignment horizontal="right"/>
    </xf>
    <xf numFmtId="0" fontId="60" fillId="0" borderId="0" xfId="0" applyFont="1" applyAlignment="1">
      <alignment horizontal="right"/>
    </xf>
    <xf numFmtId="9" fontId="60" fillId="0" borderId="0" xfId="0" applyNumberFormat="1" applyFont="1" applyAlignment="1">
      <alignment horizontal="center"/>
    </xf>
    <xf numFmtId="164" fontId="62" fillId="0" borderId="6" xfId="0" applyNumberFormat="1" applyFont="1" applyBorder="1" applyAlignment="1">
      <alignment horizontal="center"/>
    </xf>
    <xf numFmtId="0" fontId="59" fillId="0" borderId="0" xfId="0" applyFont="1" applyAlignment="1">
      <alignment horizontal="right"/>
    </xf>
    <xf numFmtId="0" fontId="58" fillId="0" borderId="0" xfId="0" applyFont="1" applyAlignment="1">
      <alignment horizontal="right"/>
    </xf>
    <xf numFmtId="0" fontId="57" fillId="0" borderId="0" xfId="0" applyFont="1"/>
    <xf numFmtId="4" fontId="62" fillId="0" borderId="0" xfId="0" applyNumberFormat="1" applyFont="1" applyAlignment="1">
      <alignment horizontal="right"/>
    </xf>
    <xf numFmtId="0" fontId="56" fillId="0" borderId="4" xfId="0" applyFont="1" applyBorder="1" applyAlignment="1">
      <alignment horizontal="right"/>
    </xf>
    <xf numFmtId="14" fontId="62" fillId="0" borderId="0" xfId="0" applyNumberFormat="1" applyFont="1" applyAlignment="1">
      <alignment horizontal="right"/>
    </xf>
    <xf numFmtId="0" fontId="56" fillId="0" borderId="0" xfId="0" applyFont="1" applyAlignment="1">
      <alignment horizontal="right"/>
    </xf>
    <xf numFmtId="0" fontId="56" fillId="0" borderId="0" xfId="0" applyFont="1"/>
    <xf numFmtId="0" fontId="55" fillId="0" borderId="0" xfId="0" applyFont="1"/>
    <xf numFmtId="0" fontId="55" fillId="0" borderId="0" xfId="0" applyFont="1" applyAlignment="1">
      <alignment horizontal="right"/>
    </xf>
    <xf numFmtId="0" fontId="55" fillId="0" borderId="3" xfId="0" applyFont="1" applyBorder="1" applyAlignment="1">
      <alignment horizontal="center"/>
    </xf>
    <xf numFmtId="0" fontId="55" fillId="0" borderId="6" xfId="0" applyFont="1" applyBorder="1" applyAlignment="1">
      <alignment horizontal="center"/>
    </xf>
    <xf numFmtId="0" fontId="55" fillId="0" borderId="4" xfId="0" applyFont="1" applyBorder="1" applyAlignment="1">
      <alignment horizontal="center"/>
    </xf>
    <xf numFmtId="0" fontId="62" fillId="0" borderId="5" xfId="0" applyFont="1" applyBorder="1"/>
    <xf numFmtId="3" fontId="65" fillId="0" borderId="0" xfId="0" applyNumberFormat="1" applyFont="1"/>
    <xf numFmtId="0" fontId="54" fillId="0" borderId="0" xfId="0" applyFont="1"/>
    <xf numFmtId="0" fontId="53" fillId="0" borderId="0" xfId="0" applyFont="1" applyAlignment="1">
      <alignment horizontal="right"/>
    </xf>
    <xf numFmtId="0" fontId="52" fillId="0" borderId="0" xfId="0" applyFont="1" applyAlignment="1">
      <alignment horizontal="right"/>
    </xf>
    <xf numFmtId="0" fontId="52" fillId="0" borderId="0" xfId="0" applyFont="1"/>
    <xf numFmtId="3" fontId="68" fillId="0" borderId="0" xfId="0" applyNumberFormat="1" applyFont="1"/>
    <xf numFmtId="3" fontId="71" fillId="0" borderId="0" xfId="0" applyNumberFormat="1" applyFont="1"/>
    <xf numFmtId="3" fontId="52" fillId="0" borderId="0" xfId="0" applyNumberFormat="1" applyFont="1"/>
    <xf numFmtId="4" fontId="68" fillId="0" borderId="0" xfId="0" applyNumberFormat="1" applyFont="1" applyAlignment="1">
      <alignment horizontal="right"/>
    </xf>
    <xf numFmtId="4" fontId="71" fillId="0" borderId="0" xfId="0" applyNumberFormat="1" applyFont="1" applyAlignment="1">
      <alignment horizontal="right"/>
    </xf>
    <xf numFmtId="0" fontId="51" fillId="0" borderId="0" xfId="0" applyFont="1"/>
    <xf numFmtId="0" fontId="50" fillId="0" borderId="0" xfId="0" applyFont="1"/>
    <xf numFmtId="0" fontId="72" fillId="0" borderId="0" xfId="0" applyFont="1"/>
    <xf numFmtId="0" fontId="49" fillId="0" borderId="0" xfId="0" applyFont="1"/>
    <xf numFmtId="0" fontId="49" fillId="0" borderId="0" xfId="0" applyFont="1" applyAlignment="1">
      <alignment horizontal="right"/>
    </xf>
    <xf numFmtId="14" fontId="65" fillId="0" borderId="0" xfId="0" applyNumberFormat="1" applyFont="1"/>
    <xf numFmtId="0" fontId="65" fillId="0" borderId="0" xfId="0" applyFont="1" applyAlignment="1">
      <alignment horizontal="right"/>
    </xf>
    <xf numFmtId="4" fontId="65" fillId="0" borderId="0" xfId="0" applyNumberFormat="1" applyFont="1" applyAlignment="1">
      <alignment horizontal="right"/>
    </xf>
    <xf numFmtId="3" fontId="65" fillId="0" borderId="0" xfId="0" applyNumberFormat="1" applyFont="1" applyAlignment="1">
      <alignment horizontal="right"/>
    </xf>
    <xf numFmtId="3" fontId="48" fillId="0" borderId="0" xfId="0" applyNumberFormat="1" applyFont="1"/>
    <xf numFmtId="0" fontId="48" fillId="0" borderId="0" xfId="0" applyFont="1"/>
    <xf numFmtId="0" fontId="48" fillId="0" borderId="3" xfId="0" applyFont="1" applyBorder="1"/>
    <xf numFmtId="0" fontId="48" fillId="0" borderId="4" xfId="0" applyFont="1" applyBorder="1"/>
    <xf numFmtId="2" fontId="48" fillId="0" borderId="4" xfId="0" applyNumberFormat="1" applyFont="1" applyBorder="1" applyAlignment="1">
      <alignment horizontal="right"/>
    </xf>
    <xf numFmtId="3" fontId="48" fillId="0" borderId="4" xfId="0" applyNumberFormat="1" applyFont="1" applyBorder="1" applyAlignment="1">
      <alignment horizontal="right"/>
    </xf>
    <xf numFmtId="0" fontId="48" fillId="0" borderId="4" xfId="0" applyFont="1" applyBorder="1" applyAlignment="1">
      <alignment horizontal="right"/>
    </xf>
    <xf numFmtId="0" fontId="48" fillId="0" borderId="4" xfId="0" applyFont="1" applyBorder="1" applyAlignment="1">
      <alignment horizontal="center"/>
    </xf>
    <xf numFmtId="0" fontId="48" fillId="0" borderId="5" xfId="0" applyFont="1" applyBorder="1" applyAlignment="1">
      <alignment horizontal="center"/>
    </xf>
    <xf numFmtId="0" fontId="48" fillId="0" borderId="3" xfId="0" applyFont="1" applyBorder="1" applyAlignment="1">
      <alignment horizontal="center"/>
    </xf>
    <xf numFmtId="0" fontId="48" fillId="0" borderId="6" xfId="0" applyFont="1" applyBorder="1" applyAlignment="1">
      <alignment horizontal="center"/>
    </xf>
    <xf numFmtId="0" fontId="47" fillId="0" borderId="0" xfId="0" applyFont="1"/>
    <xf numFmtId="3" fontId="47" fillId="0" borderId="0" xfId="0" applyNumberFormat="1" applyFont="1"/>
    <xf numFmtId="3" fontId="46" fillId="0" borderId="0" xfId="0" applyNumberFormat="1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3" fontId="39" fillId="0" borderId="0" xfId="0" applyNumberFormat="1" applyFont="1"/>
    <xf numFmtId="0" fontId="39" fillId="0" borderId="0" xfId="0" applyFont="1"/>
    <xf numFmtId="3" fontId="38" fillId="0" borderId="0" xfId="0" applyNumberFormat="1" applyFont="1"/>
    <xf numFmtId="0" fontId="37" fillId="0" borderId="0" xfId="0" applyFont="1"/>
    <xf numFmtId="0" fontId="73" fillId="0" borderId="0" xfId="0" applyFont="1"/>
    <xf numFmtId="0" fontId="36" fillId="0" borderId="0" xfId="0" applyFont="1"/>
    <xf numFmtId="0" fontId="74" fillId="0" borderId="0" xfId="1" applyFont="1"/>
    <xf numFmtId="0" fontId="35" fillId="0" borderId="0" xfId="0" applyFont="1"/>
    <xf numFmtId="3" fontId="35" fillId="0" borderId="0" xfId="0" applyNumberFormat="1" applyFont="1"/>
    <xf numFmtId="0" fontId="34" fillId="0" borderId="0" xfId="0" applyFont="1" applyAlignment="1">
      <alignment horizontal="right"/>
    </xf>
    <xf numFmtId="0" fontId="33" fillId="0" borderId="0" xfId="0" applyFont="1"/>
    <xf numFmtId="0" fontId="33" fillId="0" borderId="0" xfId="0" applyFont="1" applyAlignment="1">
      <alignment horizontal="right"/>
    </xf>
    <xf numFmtId="14" fontId="48" fillId="0" borderId="0" xfId="0" applyNumberFormat="1" applyFont="1"/>
    <xf numFmtId="3" fontId="32" fillId="0" borderId="0" xfId="0" applyNumberFormat="1" applyFont="1"/>
    <xf numFmtId="0" fontId="31" fillId="0" borderId="0" xfId="0" applyFont="1"/>
    <xf numFmtId="3" fontId="31" fillId="0" borderId="0" xfId="0" applyNumberFormat="1" applyFont="1"/>
    <xf numFmtId="0" fontId="30" fillId="0" borderId="0" xfId="0" applyFont="1"/>
    <xf numFmtId="0" fontId="29" fillId="0" borderId="0" xfId="0" applyFont="1"/>
    <xf numFmtId="3" fontId="28" fillId="0" borderId="0" xfId="0" applyNumberFormat="1" applyFont="1"/>
    <xf numFmtId="0" fontId="27" fillId="0" borderId="0" xfId="0" applyFont="1"/>
    <xf numFmtId="0" fontId="26" fillId="0" borderId="0" xfId="0" applyFont="1"/>
    <xf numFmtId="3" fontId="25" fillId="0" borderId="0" xfId="0" applyNumberFormat="1" applyFont="1"/>
    <xf numFmtId="0" fontId="24" fillId="0" borderId="0" xfId="0" applyFont="1"/>
    <xf numFmtId="0" fontId="70" fillId="0" borderId="1" xfId="1" applyFont="1" applyBorder="1"/>
    <xf numFmtId="9" fontId="62" fillId="0" borderId="2" xfId="0" applyNumberFormat="1" applyFont="1" applyBorder="1" applyAlignment="1">
      <alignment horizontal="center"/>
    </xf>
    <xf numFmtId="0" fontId="37" fillId="0" borderId="0" xfId="0" applyFont="1" applyAlignment="1">
      <alignment horizontal="right"/>
    </xf>
    <xf numFmtId="0" fontId="29" fillId="0" borderId="1" xfId="0" applyFont="1" applyBorder="1"/>
    <xf numFmtId="0" fontId="59" fillId="0" borderId="1" xfId="0" applyFont="1" applyBorder="1"/>
    <xf numFmtId="0" fontId="59" fillId="0" borderId="0" xfId="0" applyFont="1"/>
    <xf numFmtId="0" fontId="26" fillId="0" borderId="1" xfId="0" applyFont="1" applyBorder="1"/>
    <xf numFmtId="0" fontId="62" fillId="0" borderId="1" xfId="0" applyFont="1" applyBorder="1"/>
    <xf numFmtId="0" fontId="60" fillId="0" borderId="1" xfId="0" applyFont="1" applyBorder="1"/>
    <xf numFmtId="0" fontId="60" fillId="0" borderId="0" xfId="0" applyFont="1"/>
    <xf numFmtId="0" fontId="55" fillId="0" borderId="1" xfId="0" applyFont="1" applyBorder="1"/>
    <xf numFmtId="0" fontId="62" fillId="0" borderId="7" xfId="0" applyFont="1" applyBorder="1"/>
    <xf numFmtId="0" fontId="62" fillId="0" borderId="6" xfId="0" applyFont="1" applyBorder="1"/>
    <xf numFmtId="2" fontId="62" fillId="0" borderId="6" xfId="0" applyNumberFormat="1" applyFont="1" applyBorder="1" applyAlignment="1">
      <alignment horizontal="right"/>
    </xf>
    <xf numFmtId="3" fontId="62" fillId="0" borderId="6" xfId="0" applyNumberFormat="1" applyFont="1" applyBorder="1" applyAlignment="1">
      <alignment horizontal="right"/>
    </xf>
    <xf numFmtId="0" fontId="62" fillId="0" borderId="6" xfId="0" applyFont="1" applyBorder="1" applyAlignment="1">
      <alignment horizontal="right"/>
    </xf>
    <xf numFmtId="0" fontId="62" fillId="0" borderId="6" xfId="0" applyFont="1" applyBorder="1" applyAlignment="1">
      <alignment horizontal="center"/>
    </xf>
    <xf numFmtId="0" fontId="62" fillId="0" borderId="8" xfId="0" applyFont="1" applyBorder="1" applyAlignment="1">
      <alignment horizontal="center"/>
    </xf>
    <xf numFmtId="0" fontId="24" fillId="0" borderId="0" xfId="0" applyFont="1" applyAlignment="1">
      <alignment horizontal="right"/>
    </xf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 applyAlignment="1">
      <alignment horizontal="right"/>
    </xf>
    <xf numFmtId="0" fontId="17" fillId="0" borderId="0" xfId="0" applyFont="1"/>
    <xf numFmtId="0" fontId="16" fillId="0" borderId="0" xfId="0" applyFont="1" applyAlignment="1">
      <alignment horizontal="right"/>
    </xf>
    <xf numFmtId="0" fontId="15" fillId="0" borderId="0" xfId="0" applyFont="1"/>
    <xf numFmtId="0" fontId="70" fillId="0" borderId="0" xfId="1" applyFont="1" applyBorder="1"/>
    <xf numFmtId="0" fontId="14" fillId="0" borderId="0" xfId="0" applyFont="1"/>
    <xf numFmtId="0" fontId="13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9" fillId="0" borderId="0" xfId="0" applyFont="1"/>
    <xf numFmtId="14" fontId="9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4" fontId="68" fillId="0" borderId="0" xfId="0" applyNumberFormat="1" applyFont="1"/>
    <xf numFmtId="0" fontId="7" fillId="0" borderId="0" xfId="0" applyFont="1"/>
    <xf numFmtId="165" fontId="62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3" fillId="0" borderId="0" xfId="0" applyFont="1"/>
    <xf numFmtId="4" fontId="48" fillId="0" borderId="0" xfId="0" applyNumberFormat="1" applyFont="1"/>
    <xf numFmtId="0" fontId="2" fillId="0" borderId="0" xfId="0" applyFont="1"/>
    <xf numFmtId="0" fontId="1" fillId="0" borderId="1" xfId="0" applyFont="1" applyBorder="1"/>
    <xf numFmtId="0" fontId="1" fillId="0" borderId="0" xfId="0" applyFont="1"/>
    <xf numFmtId="0" fontId="75" fillId="0" borderId="0" xfId="0" applyFont="1"/>
    <xf numFmtId="0" fontId="75" fillId="0" borderId="0" xfId="0" applyFont="1" applyAlignment="1">
      <alignment horizontal="right"/>
    </xf>
    <xf numFmtId="17" fontId="7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28.xml"/><Relationship Id="rId47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36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26.xml"/><Relationship Id="rId45" Type="http://schemas.openxmlformats.org/officeDocument/2006/relationships/externalLink" Target="externalLinks/externalLink31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externalLink" Target="externalLinks/externalLink30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externalLink" Target="externalLinks/externalLink29.xml"/><Relationship Id="rId48" Type="http://schemas.openxmlformats.org/officeDocument/2006/relationships/externalLink" Target="externalLinks/externalLink34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externalLink" Target="externalLinks/externalLink24.xml"/><Relationship Id="rId46" Type="http://schemas.openxmlformats.org/officeDocument/2006/relationships/externalLink" Target="externalLinks/externalLink32.xml"/><Relationship Id="rId20" Type="http://schemas.openxmlformats.org/officeDocument/2006/relationships/externalLink" Target="externalLinks/externalLink6.xml"/><Relationship Id="rId41" Type="http://schemas.openxmlformats.org/officeDocument/2006/relationships/externalLink" Target="externalLinks/externalLink27.xml"/><Relationship Id="rId54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49" Type="http://schemas.openxmlformats.org/officeDocument/2006/relationships/externalLink" Target="externalLinks/externalLink3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114101</v>
          </cell>
        </row>
        <row r="6">
          <cell r="L6">
            <v>48622</v>
          </cell>
        </row>
      </sheetData>
      <sheetData sheetId="1">
        <row r="26">
          <cell r="Y26">
            <v>9.6463099263974534</v>
          </cell>
          <cell r="Z26">
            <v>10.566483671729284</v>
          </cell>
          <cell r="AA26">
            <v>11.887286441105783</v>
          </cell>
          <cell r="AB26">
            <v>12.759216407385425</v>
          </cell>
        </row>
        <row r="28">
          <cell r="AJ28">
            <v>0</v>
          </cell>
        </row>
        <row r="29">
          <cell r="AJ29">
            <v>7.0000000000000007E-2</v>
          </cell>
        </row>
        <row r="30">
          <cell r="AJ30">
            <v>0.01</v>
          </cell>
        </row>
        <row r="32">
          <cell r="AJ32">
            <v>240.86292434566818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12807</v>
          </cell>
        </row>
        <row r="5">
          <cell r="L5">
            <v>146678</v>
          </cell>
        </row>
        <row r="6">
          <cell r="L6">
            <v>14653</v>
          </cell>
        </row>
      </sheetData>
      <sheetData sheetId="1">
        <row r="29">
          <cell r="AQ29">
            <v>0.10000000000000009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676</v>
          </cell>
        </row>
        <row r="6">
          <cell r="O6">
            <v>1882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4">
          <cell r="BA34">
            <v>0.15491793611792834</v>
          </cell>
          <cell r="BB34">
            <v>2.206367139333532</v>
          </cell>
          <cell r="BC34">
            <v>2.4325852213221908</v>
          </cell>
          <cell r="BD34">
            <v>3.9987287268800702</v>
          </cell>
        </row>
        <row r="45">
          <cell r="BL45">
            <v>0.08</v>
          </cell>
        </row>
        <row r="46">
          <cell r="BL46">
            <v>0.01</v>
          </cell>
        </row>
        <row r="47">
          <cell r="BL47">
            <v>0</v>
          </cell>
        </row>
        <row r="49">
          <cell r="BL49">
            <v>139.08156491053268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2746</v>
          </cell>
        </row>
        <row r="5">
          <cell r="G5">
            <v>7350</v>
          </cell>
        </row>
        <row r="6">
          <cell r="G6">
            <v>90919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BIDU.xlsx" TargetMode="External"/><Relationship Id="rId2" Type="http://schemas.openxmlformats.org/officeDocument/2006/relationships/hyperlink" Target="PLTR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SFT.xlsx" TargetMode="External"/><Relationship Id="rId4" Type="http://schemas.openxmlformats.org/officeDocument/2006/relationships/hyperlink" Target="CSU%20CN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FB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INTU.xlsx" TargetMode="External"/><Relationship Id="rId4" Type="http://schemas.microsoft.com/office/2017/10/relationships/threadedComment" Target="../threadedComments/threadedComment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RowHeight="12.75" x14ac:dyDescent="0.2"/>
  <cols>
    <col min="1" max="1" width="5" style="138" bestFit="1" customWidth="1"/>
    <col min="2" max="16384" width="9.140625" style="138"/>
  </cols>
  <sheetData>
    <row r="1" spans="1:3" x14ac:dyDescent="0.2">
      <c r="A1" s="5" t="s">
        <v>148</v>
      </c>
    </row>
    <row r="2" spans="1:3" x14ac:dyDescent="0.2">
      <c r="A2" s="5"/>
      <c r="B2" s="138" t="s">
        <v>19</v>
      </c>
    </row>
    <row r="3" spans="1:3" x14ac:dyDescent="0.2">
      <c r="B3" s="138" t="s">
        <v>349</v>
      </c>
      <c r="C3" s="138" t="s">
        <v>350</v>
      </c>
    </row>
    <row r="4" spans="1:3" x14ac:dyDescent="0.2">
      <c r="B4" s="138" t="s">
        <v>351</v>
      </c>
      <c r="C4" s="138" t="s">
        <v>352</v>
      </c>
    </row>
    <row r="5" spans="1:3" x14ac:dyDescent="0.2">
      <c r="B5" s="138" t="s">
        <v>353</v>
      </c>
    </row>
    <row r="6" spans="1:3" x14ac:dyDescent="0.2">
      <c r="B6" s="138" t="s">
        <v>346</v>
      </c>
    </row>
    <row r="7" spans="1:3" x14ac:dyDescent="0.2">
      <c r="B7" s="138" t="s">
        <v>344</v>
      </c>
    </row>
    <row r="8" spans="1:3" x14ac:dyDescent="0.2">
      <c r="B8" s="138" t="s">
        <v>348</v>
      </c>
    </row>
    <row r="9" spans="1:3" x14ac:dyDescent="0.2">
      <c r="B9" s="138" t="s">
        <v>345</v>
      </c>
    </row>
    <row r="10" spans="1:3" x14ac:dyDescent="0.2">
      <c r="B10" s="138" t="s">
        <v>354</v>
      </c>
    </row>
    <row r="11" spans="1:3" x14ac:dyDescent="0.2">
      <c r="B11" s="138" t="s">
        <v>355</v>
      </c>
    </row>
    <row r="12" spans="1:3" x14ac:dyDescent="0.2">
      <c r="B12" s="138" t="s">
        <v>347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5"/>
  <sheetViews>
    <sheetView workbookViewId="0">
      <selection activeCell="B2" sqref="B2"/>
    </sheetView>
  </sheetViews>
  <sheetFormatPr defaultRowHeight="12.75" x14ac:dyDescent="0.2"/>
  <cols>
    <col min="1" max="1" width="5" style="138" bestFit="1" customWidth="1"/>
    <col min="2" max="16384" width="9.140625" style="138"/>
  </cols>
  <sheetData>
    <row r="1" spans="1:3" x14ac:dyDescent="0.2">
      <c r="A1" s="5" t="s">
        <v>148</v>
      </c>
    </row>
    <row r="2" spans="1:3" x14ac:dyDescent="0.2">
      <c r="A2" s="5"/>
      <c r="B2" s="138" t="s">
        <v>360</v>
      </c>
    </row>
    <row r="3" spans="1:3" x14ac:dyDescent="0.2">
      <c r="B3" s="138" t="s">
        <v>356</v>
      </c>
    </row>
    <row r="4" spans="1:3" x14ac:dyDescent="0.2">
      <c r="B4" s="138" t="s">
        <v>357</v>
      </c>
      <c r="C4" s="138" t="s">
        <v>358</v>
      </c>
    </row>
    <row r="5" spans="1:3" x14ac:dyDescent="0.2">
      <c r="B5" s="138" t="s">
        <v>359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59"/>
  <sheetViews>
    <sheetView tabSelected="1" zoomScale="145" zoomScaleNormal="14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L9" sqref="L9"/>
    </sheetView>
  </sheetViews>
  <sheetFormatPr defaultColWidth="8.5703125" defaultRowHeight="12.75" x14ac:dyDescent="0.2"/>
  <cols>
    <col min="1" max="1" width="1.570312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4"/>
    <col min="19" max="19" width="8.5703125" style="26"/>
    <col min="20" max="20" width="8.5703125" style="25"/>
    <col min="21" max="22" width="8.5703125" style="24"/>
    <col min="23" max="23" width="8.5703125" style="26"/>
    <col min="24" max="16384" width="8.5703125" style="20"/>
  </cols>
  <sheetData>
    <row r="2" spans="1:24" x14ac:dyDescent="0.2">
      <c r="L2" s="28">
        <f>AVERAGE(L4:L5)</f>
        <v>-4.4194744660046914E-2</v>
      </c>
      <c r="P2" s="29">
        <f>AVERAGE(P4:P5)</f>
        <v>25.22299908757552</v>
      </c>
      <c r="Q2" s="37">
        <f>AVERAGE(Q4:Q5)</f>
        <v>23.026474466900336</v>
      </c>
      <c r="R2" s="37">
        <f>AVERAGE(R4:R5)</f>
        <v>20.46799054413637</v>
      </c>
      <c r="S2" s="30">
        <f>AVERAGE(S4:S5)</f>
        <v>19.069264028718802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2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48" t="s">
        <v>239</v>
      </c>
      <c r="Q3" s="49" t="s">
        <v>240</v>
      </c>
      <c r="R3" s="49" t="s">
        <v>241</v>
      </c>
      <c r="S3" s="19">
        <v>2025</v>
      </c>
      <c r="T3" s="48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1:24" x14ac:dyDescent="0.2">
      <c r="A4" s="72" t="s">
        <v>263</v>
      </c>
      <c r="B4" s="114" t="s">
        <v>7</v>
      </c>
      <c r="C4" s="20" t="s">
        <v>8</v>
      </c>
      <c r="D4" s="21">
        <v>252</v>
      </c>
      <c r="E4" s="22">
        <f>D4*[1]Main!$L$3</f>
        <v>1898568</v>
      </c>
      <c r="F4" s="22">
        <f>[1]Main!$L$5-[1]Main!$L$6</f>
        <v>65479</v>
      </c>
      <c r="G4" s="22">
        <f>+E4-F4</f>
        <v>1833089</v>
      </c>
      <c r="H4" s="22">
        <f>+[1]Main!$L$3</f>
        <v>7534</v>
      </c>
      <c r="I4" s="145" t="s">
        <v>361</v>
      </c>
      <c r="J4" s="43">
        <v>44938</v>
      </c>
      <c r="K4" s="27">
        <f>+[1]Model!$AJ$32</f>
        <v>240.86292434566818</v>
      </c>
      <c r="L4" s="28">
        <f>K4/D4-1</f>
        <v>-4.4194744660046914E-2</v>
      </c>
      <c r="M4" s="28">
        <f>+[1]Model!$AJ$29</f>
        <v>7.0000000000000007E-2</v>
      </c>
      <c r="N4" s="28">
        <f>+[1]Model!$AJ$28</f>
        <v>0</v>
      </c>
      <c r="O4" s="115">
        <f>+[1]Model!$AJ$30</f>
        <v>0.01</v>
      </c>
      <c r="P4" s="29">
        <f>+$G$4/$H$4/T4</f>
        <v>25.22299908757552</v>
      </c>
      <c r="Q4" s="30">
        <f t="shared" ref="Q4:S4" si="0">+$G$4/$H$4/U4</f>
        <v>23.026474466900336</v>
      </c>
      <c r="R4" s="30">
        <f t="shared" si="0"/>
        <v>20.46799054413637</v>
      </c>
      <c r="S4" s="31">
        <f t="shared" si="0"/>
        <v>19.069264028718802</v>
      </c>
      <c r="T4" s="32">
        <f>+[1]Model!$Y$26</f>
        <v>9.6463099263974534</v>
      </c>
      <c r="U4" s="27">
        <f>+[1]Model!$Z$26</f>
        <v>10.566483671729284</v>
      </c>
      <c r="V4" s="27">
        <f>+[1]Model!$AA$26</f>
        <v>11.887286441105783</v>
      </c>
      <c r="W4" s="33">
        <f>+[1]Model!$AB$26</f>
        <v>12.759216407385425</v>
      </c>
      <c r="X4" s="20">
        <v>1975</v>
      </c>
    </row>
    <row r="5" spans="1:24" x14ac:dyDescent="0.2">
      <c r="A5" s="72" t="s">
        <v>263</v>
      </c>
      <c r="B5" s="114" t="s">
        <v>9</v>
      </c>
      <c r="C5" s="20" t="s">
        <v>10</v>
      </c>
      <c r="D5" s="21">
        <v>99.6</v>
      </c>
      <c r="E5" s="22">
        <f>D5*[2]Main!$L$3</f>
        <v>1275577.2</v>
      </c>
      <c r="F5" s="22">
        <f>[2]Main!$L$5-[2]Main!$L$6</f>
        <v>132025</v>
      </c>
      <c r="G5" s="22">
        <f>+E5-F5</f>
        <v>1143552.2</v>
      </c>
      <c r="H5" s="22">
        <f>[2]Main!$L$3</f>
        <v>12807</v>
      </c>
      <c r="I5" s="145" t="s">
        <v>361</v>
      </c>
      <c r="J5" s="43">
        <v>44938</v>
      </c>
      <c r="K5" s="27"/>
      <c r="L5" s="28"/>
      <c r="M5" s="28"/>
      <c r="N5" s="28"/>
      <c r="O5" s="115">
        <f>+[2]Model!$AQ$29</f>
        <v>0.10000000000000009</v>
      </c>
      <c r="P5" s="29"/>
      <c r="Q5" s="30"/>
      <c r="R5" s="30"/>
      <c r="S5" s="31"/>
      <c r="T5" s="32"/>
      <c r="U5" s="27"/>
      <c r="V5" s="27"/>
      <c r="W5" s="33"/>
      <c r="X5" s="20">
        <v>1998</v>
      </c>
    </row>
    <row r="6" spans="1:24" x14ac:dyDescent="0.2">
      <c r="A6" s="107" t="s">
        <v>263</v>
      </c>
      <c r="B6" s="114" t="s">
        <v>182</v>
      </c>
      <c r="C6" s="20" t="s">
        <v>183</v>
      </c>
      <c r="D6" s="21">
        <v>2189.48</v>
      </c>
      <c r="E6" s="22">
        <f>D6*H6/CAD</f>
        <v>35713.078128386704</v>
      </c>
      <c r="F6" s="22">
        <f>[3]Main!$O$5-[3]Main!$O$6</f>
        <v>-1206</v>
      </c>
      <c r="G6" s="22">
        <f>E6-F6</f>
        <v>36919.078128386704</v>
      </c>
      <c r="H6" s="22">
        <f>+[3]Main!$O$3</f>
        <v>21.19153</v>
      </c>
      <c r="I6" s="47" t="s">
        <v>210</v>
      </c>
      <c r="J6" s="43">
        <v>44792</v>
      </c>
      <c r="O6" s="26"/>
      <c r="X6" s="20">
        <v>1995</v>
      </c>
    </row>
    <row r="7" spans="1:24" x14ac:dyDescent="0.2">
      <c r="A7" s="90" t="s">
        <v>263</v>
      </c>
      <c r="B7" s="114" t="s">
        <v>38</v>
      </c>
      <c r="C7" s="20" t="s">
        <v>39</v>
      </c>
      <c r="D7" s="21">
        <v>152.88</v>
      </c>
      <c r="E7" s="22">
        <f>+D7*[4]Main!$L$3</f>
        <v>52877.369999999995</v>
      </c>
      <c r="F7" s="22">
        <f>([4]Main!$L$5-[4]Main!$L$6)/RMB</f>
        <v>25459.792284866468</v>
      </c>
      <c r="G7" s="22">
        <f>E7-F7</f>
        <v>27417.577715133528</v>
      </c>
      <c r="H7" s="22">
        <f>+[4]Main!$L$3</f>
        <v>345.875</v>
      </c>
      <c r="I7" s="23" t="s">
        <v>14</v>
      </c>
      <c r="O7" s="26"/>
      <c r="X7" s="20">
        <v>2000</v>
      </c>
    </row>
    <row r="8" spans="1:24" x14ac:dyDescent="0.2">
      <c r="A8" s="108" t="s">
        <v>263</v>
      </c>
      <c r="B8" s="118" t="s">
        <v>229</v>
      </c>
      <c r="C8" s="119" t="s">
        <v>230</v>
      </c>
      <c r="D8" s="21">
        <v>121.2</v>
      </c>
      <c r="E8" s="22" cm="1">
        <f t="array" ref="E8">327904/SEK</f>
        <v>31700.842058451039</v>
      </c>
      <c r="O8" s="26"/>
      <c r="X8" s="20">
        <v>1992</v>
      </c>
    </row>
    <row r="9" spans="1:24" x14ac:dyDescent="0.2">
      <c r="A9" s="111" t="s">
        <v>263</v>
      </c>
      <c r="B9" s="120" t="s">
        <v>323</v>
      </c>
      <c r="C9" s="111" t="s">
        <v>324</v>
      </c>
      <c r="D9" s="21">
        <v>46.37</v>
      </c>
      <c r="E9" s="22">
        <v>20860</v>
      </c>
      <c r="O9" s="26"/>
      <c r="X9" s="20">
        <v>1987</v>
      </c>
    </row>
    <row r="10" spans="1:24" x14ac:dyDescent="0.2">
      <c r="B10" s="121" t="s">
        <v>79</v>
      </c>
      <c r="C10" s="20" t="s">
        <v>184</v>
      </c>
      <c r="D10" s="21">
        <v>113.23</v>
      </c>
      <c r="E10" s="22">
        <v>33330</v>
      </c>
      <c r="O10" s="26"/>
      <c r="X10" s="20">
        <v>2007</v>
      </c>
    </row>
    <row r="11" spans="1:24" x14ac:dyDescent="0.2">
      <c r="B11" s="121" t="s">
        <v>56</v>
      </c>
      <c r="C11" s="20" t="s">
        <v>57</v>
      </c>
      <c r="D11" s="21">
        <v>54.71</v>
      </c>
      <c r="E11" s="22">
        <v>28410</v>
      </c>
      <c r="O11" s="26"/>
      <c r="X11" s="20">
        <v>2009</v>
      </c>
    </row>
    <row r="12" spans="1:24" x14ac:dyDescent="0.2">
      <c r="B12" s="121" t="s">
        <v>191</v>
      </c>
      <c r="C12" s="20" t="s">
        <v>192</v>
      </c>
      <c r="D12" s="21">
        <v>181.71</v>
      </c>
      <c r="E12" s="22">
        <v>25220</v>
      </c>
      <c r="O12" s="26"/>
      <c r="X12" s="20">
        <v>2007</v>
      </c>
    </row>
    <row r="13" spans="1:24" x14ac:dyDescent="0.2">
      <c r="B13" s="114" t="s">
        <v>154</v>
      </c>
      <c r="C13" s="20" t="s">
        <v>155</v>
      </c>
      <c r="D13" s="21">
        <v>9.35</v>
      </c>
      <c r="E13" s="22">
        <f>D13*[5]Main!$L$3</f>
        <v>19036.599999999999</v>
      </c>
      <c r="F13" s="22">
        <f>[5]Main!$L$5-[5]Main!$L$6</f>
        <v>2585</v>
      </c>
      <c r="G13" s="22">
        <f>E13-F13</f>
        <v>16451.599999999999</v>
      </c>
      <c r="H13" s="22"/>
      <c r="I13" s="23" t="s">
        <v>14</v>
      </c>
      <c r="O13" s="26"/>
      <c r="X13" s="20">
        <v>2003</v>
      </c>
    </row>
    <row r="14" spans="1:24" x14ac:dyDescent="0.2">
      <c r="B14" s="121" t="s">
        <v>65</v>
      </c>
      <c r="C14" s="20" t="s">
        <v>66</v>
      </c>
      <c r="D14" s="21">
        <v>312</v>
      </c>
      <c r="E14" s="22">
        <v>19090</v>
      </c>
      <c r="O14" s="26"/>
      <c r="X14" s="20">
        <v>1998</v>
      </c>
    </row>
    <row r="15" spans="1:24" x14ac:dyDescent="0.2">
      <c r="B15" s="121" t="s">
        <v>69</v>
      </c>
      <c r="C15" s="20" t="s">
        <v>70</v>
      </c>
      <c r="D15" s="21">
        <v>360.34</v>
      </c>
      <c r="E15" s="22">
        <v>18140</v>
      </c>
      <c r="O15" s="26"/>
      <c r="X15" s="20">
        <v>2006</v>
      </c>
    </row>
    <row r="16" spans="1:24" x14ac:dyDescent="0.2">
      <c r="B16" s="121" t="s">
        <v>195</v>
      </c>
      <c r="C16" s="20" t="s">
        <v>196</v>
      </c>
      <c r="D16" s="21">
        <v>114.84</v>
      </c>
      <c r="E16" s="22">
        <v>17930</v>
      </c>
      <c r="O16" s="26"/>
      <c r="X16" s="20">
        <v>2003</v>
      </c>
    </row>
    <row r="17" spans="2:24" x14ac:dyDescent="0.2">
      <c r="B17" s="121" t="s">
        <v>73</v>
      </c>
      <c r="C17" s="20" t="s">
        <v>74</v>
      </c>
      <c r="D17" s="21">
        <v>43.75</v>
      </c>
      <c r="E17" s="22">
        <v>17180</v>
      </c>
      <c r="O17" s="26"/>
      <c r="X17" s="20">
        <v>2012</v>
      </c>
    </row>
    <row r="18" spans="2:24" x14ac:dyDescent="0.2">
      <c r="B18" s="121" t="s">
        <v>79</v>
      </c>
      <c r="C18" s="20" t="s">
        <v>80</v>
      </c>
      <c r="D18" s="21">
        <v>40.44</v>
      </c>
      <c r="E18" s="22">
        <v>16810</v>
      </c>
      <c r="O18" s="26"/>
      <c r="X18" s="20">
        <v>2007</v>
      </c>
    </row>
    <row r="19" spans="2:24" x14ac:dyDescent="0.2">
      <c r="B19" s="121" t="s">
        <v>85</v>
      </c>
      <c r="C19" s="20" t="s">
        <v>86</v>
      </c>
      <c r="D19" s="21">
        <v>363.45</v>
      </c>
      <c r="E19" s="22">
        <v>15250</v>
      </c>
      <c r="O19" s="26"/>
      <c r="X19" s="20">
        <v>1966</v>
      </c>
    </row>
    <row r="20" spans="2:24" x14ac:dyDescent="0.2">
      <c r="B20" s="121" t="s">
        <v>197</v>
      </c>
      <c r="C20" s="20" t="s">
        <v>198</v>
      </c>
      <c r="D20" s="21">
        <v>87.46</v>
      </c>
      <c r="E20" s="22">
        <v>16020</v>
      </c>
      <c r="O20" s="26"/>
      <c r="X20" s="20">
        <v>2008</v>
      </c>
    </row>
    <row r="21" spans="2:24" x14ac:dyDescent="0.2">
      <c r="B21" s="121" t="s">
        <v>203</v>
      </c>
      <c r="C21" s="20" t="s">
        <v>204</v>
      </c>
      <c r="D21" s="21">
        <v>97.08</v>
      </c>
      <c r="E21" s="22">
        <v>15070</v>
      </c>
      <c r="O21" s="26"/>
      <c r="X21" s="20">
        <v>1998</v>
      </c>
    </row>
    <row r="22" spans="2:24" x14ac:dyDescent="0.2">
      <c r="B22" s="121" t="s">
        <v>90</v>
      </c>
      <c r="C22" s="20" t="s">
        <v>91</v>
      </c>
      <c r="D22" s="21">
        <v>135.02000000000001</v>
      </c>
      <c r="E22" s="22">
        <v>14050</v>
      </c>
      <c r="O22" s="26"/>
      <c r="X22" s="20">
        <v>2006</v>
      </c>
    </row>
    <row r="23" spans="2:24" x14ac:dyDescent="0.2">
      <c r="B23" s="121" t="s">
        <v>92</v>
      </c>
      <c r="C23" s="20" t="s">
        <v>93</v>
      </c>
      <c r="D23" s="21">
        <v>206.61</v>
      </c>
      <c r="E23" s="22">
        <v>13880</v>
      </c>
      <c r="O23" s="26"/>
    </row>
    <row r="24" spans="2:24" x14ac:dyDescent="0.2">
      <c r="B24" s="121" t="s">
        <v>94</v>
      </c>
      <c r="C24" s="20" t="s">
        <v>94</v>
      </c>
      <c r="D24" s="21">
        <v>115.52</v>
      </c>
      <c r="E24" s="22">
        <v>13640</v>
      </c>
      <c r="O24" s="26"/>
    </row>
    <row r="25" spans="2:24" x14ac:dyDescent="0.2">
      <c r="B25" s="121" t="s">
        <v>95</v>
      </c>
      <c r="C25" s="20" t="s">
        <v>95</v>
      </c>
      <c r="D25" s="21">
        <v>206.68</v>
      </c>
      <c r="E25" s="22">
        <v>12990</v>
      </c>
      <c r="O25" s="26"/>
      <c r="X25" s="20">
        <v>1986</v>
      </c>
    </row>
    <row r="26" spans="2:24" x14ac:dyDescent="0.2">
      <c r="B26" s="121" t="s">
        <v>96</v>
      </c>
      <c r="C26" s="20" t="s">
        <v>97</v>
      </c>
      <c r="D26" s="21">
        <v>43.77</v>
      </c>
      <c r="E26" s="22">
        <v>12660</v>
      </c>
      <c r="O26" s="26"/>
      <c r="X26" s="20">
        <v>2005</v>
      </c>
    </row>
    <row r="27" spans="2:24" x14ac:dyDescent="0.2">
      <c r="B27" s="121" t="s">
        <v>100</v>
      </c>
      <c r="C27" s="20" t="s">
        <v>101</v>
      </c>
      <c r="D27" s="21">
        <v>98.74</v>
      </c>
      <c r="E27" s="22">
        <v>12490</v>
      </c>
      <c r="O27" s="26"/>
    </row>
    <row r="28" spans="2:24" x14ac:dyDescent="0.2">
      <c r="B28" s="121" t="s">
        <v>102</v>
      </c>
      <c r="C28" s="20" t="s">
        <v>103</v>
      </c>
      <c r="D28" s="21">
        <v>40.369999999999997</v>
      </c>
      <c r="E28" s="22">
        <v>11000</v>
      </c>
      <c r="O28" s="26"/>
      <c r="X28" s="20">
        <v>1991</v>
      </c>
    </row>
    <row r="29" spans="2:24" x14ac:dyDescent="0.2">
      <c r="B29" s="121" t="s">
        <v>104</v>
      </c>
      <c r="C29" s="20" t="s">
        <v>105</v>
      </c>
      <c r="D29" s="21">
        <v>408.48</v>
      </c>
      <c r="E29" s="22">
        <v>10570</v>
      </c>
      <c r="O29" s="26"/>
    </row>
    <row r="30" spans="2:24" x14ac:dyDescent="0.2">
      <c r="B30" s="121" t="s">
        <v>108</v>
      </c>
      <c r="C30" s="20" t="s">
        <v>109</v>
      </c>
      <c r="D30" s="21">
        <v>80.52</v>
      </c>
      <c r="E30" s="22">
        <v>10310</v>
      </c>
      <c r="O30" s="26"/>
      <c r="X30" s="20">
        <v>2007</v>
      </c>
    </row>
    <row r="31" spans="2:24" x14ac:dyDescent="0.2">
      <c r="B31" s="121" t="s">
        <v>110</v>
      </c>
      <c r="C31" s="20" t="s">
        <v>111</v>
      </c>
      <c r="D31" s="21">
        <v>35.200000000000003</v>
      </c>
      <c r="E31" s="22">
        <v>10210</v>
      </c>
      <c r="O31" s="26"/>
    </row>
    <row r="32" spans="2:24" x14ac:dyDescent="0.2">
      <c r="B32" s="121" t="s">
        <v>113</v>
      </c>
      <c r="C32" s="20" t="s">
        <v>114</v>
      </c>
      <c r="D32" s="21">
        <v>8.17</v>
      </c>
      <c r="E32" s="22">
        <v>9320</v>
      </c>
      <c r="O32" s="26"/>
    </row>
    <row r="33" spans="2:24" x14ac:dyDescent="0.2">
      <c r="B33" s="121" t="s">
        <v>115</v>
      </c>
      <c r="C33" s="20" t="s">
        <v>116</v>
      </c>
      <c r="D33" s="21">
        <v>14.73</v>
      </c>
      <c r="E33" s="22">
        <v>9140</v>
      </c>
      <c r="O33" s="26"/>
      <c r="X33" s="20">
        <v>2002</v>
      </c>
    </row>
    <row r="34" spans="2:24" x14ac:dyDescent="0.2">
      <c r="B34" s="121" t="s">
        <v>117</v>
      </c>
      <c r="C34" s="20" t="s">
        <v>118</v>
      </c>
      <c r="D34" s="21">
        <v>56.9</v>
      </c>
      <c r="E34" s="22">
        <v>9000</v>
      </c>
      <c r="O34" s="26"/>
    </row>
    <row r="35" spans="2:24" x14ac:dyDescent="0.2">
      <c r="B35" s="121" t="s">
        <v>119</v>
      </c>
      <c r="C35" s="20" t="s">
        <v>120</v>
      </c>
      <c r="D35" s="21">
        <v>203.42</v>
      </c>
      <c r="E35" s="22">
        <v>8580</v>
      </c>
      <c r="O35" s="26"/>
      <c r="X35" s="20">
        <v>2003</v>
      </c>
    </row>
    <row r="36" spans="2:24" x14ac:dyDescent="0.2">
      <c r="B36" s="121" t="s">
        <v>122</v>
      </c>
      <c r="C36" s="20" t="s">
        <v>123</v>
      </c>
      <c r="D36" s="21">
        <v>126.81</v>
      </c>
      <c r="E36" s="22">
        <v>8200</v>
      </c>
      <c r="O36" s="26"/>
    </row>
    <row r="37" spans="2:24" x14ac:dyDescent="0.2">
      <c r="B37" s="121" t="s">
        <v>124</v>
      </c>
      <c r="C37" s="20" t="s">
        <v>125</v>
      </c>
      <c r="D37" s="21">
        <v>50.35</v>
      </c>
      <c r="E37" s="22">
        <v>8150</v>
      </c>
      <c r="O37" s="26"/>
    </row>
    <row r="38" spans="2:24" x14ac:dyDescent="0.2">
      <c r="B38" s="121" t="s">
        <v>127</v>
      </c>
      <c r="C38" s="20" t="s">
        <v>128</v>
      </c>
      <c r="D38" s="21">
        <v>88.7</v>
      </c>
      <c r="E38" s="22">
        <v>7910</v>
      </c>
      <c r="O38" s="26"/>
    </row>
    <row r="39" spans="2:24" x14ac:dyDescent="0.2">
      <c r="B39" s="121" t="s">
        <v>129</v>
      </c>
      <c r="C39" s="20" t="s">
        <v>130</v>
      </c>
      <c r="D39" s="21">
        <v>78.3</v>
      </c>
      <c r="E39" s="22">
        <v>7580</v>
      </c>
      <c r="O39" s="26"/>
      <c r="X39" s="20">
        <v>2012</v>
      </c>
    </row>
    <row r="40" spans="2:24" x14ac:dyDescent="0.2">
      <c r="B40" s="121" t="s">
        <v>131</v>
      </c>
      <c r="C40" s="20" t="s">
        <v>132</v>
      </c>
      <c r="D40" s="21">
        <v>50.36</v>
      </c>
      <c r="E40" s="22">
        <v>7140</v>
      </c>
      <c r="O40" s="26"/>
    </row>
    <row r="41" spans="2:24" x14ac:dyDescent="0.2">
      <c r="B41" s="121" t="s">
        <v>133</v>
      </c>
      <c r="C41" s="20" t="s">
        <v>134</v>
      </c>
      <c r="D41" s="21">
        <v>80.58</v>
      </c>
      <c r="E41" s="22">
        <v>6930</v>
      </c>
      <c r="O41" s="26"/>
    </row>
    <row r="42" spans="2:24" x14ac:dyDescent="0.2">
      <c r="B42" s="121" t="s">
        <v>135</v>
      </c>
      <c r="C42" s="20" t="s">
        <v>136</v>
      </c>
      <c r="D42" s="21">
        <v>32.869999999999997</v>
      </c>
      <c r="E42" s="22">
        <v>6880</v>
      </c>
      <c r="O42" s="26"/>
    </row>
    <row r="43" spans="2:24" x14ac:dyDescent="0.2">
      <c r="B43" s="121" t="s">
        <v>139</v>
      </c>
      <c r="C43" s="20" t="s">
        <v>140</v>
      </c>
      <c r="D43" s="21">
        <v>54.6</v>
      </c>
      <c r="E43" s="22">
        <v>6370</v>
      </c>
      <c r="O43" s="26"/>
    </row>
    <row r="44" spans="2:24" x14ac:dyDescent="0.2">
      <c r="B44" s="121" t="s">
        <v>141</v>
      </c>
      <c r="C44" s="20" t="s">
        <v>142</v>
      </c>
      <c r="D44" s="21">
        <v>62.59</v>
      </c>
      <c r="E44" s="22">
        <v>6350</v>
      </c>
      <c r="O44" s="26"/>
    </row>
    <row r="45" spans="2:24" x14ac:dyDescent="0.2">
      <c r="B45" s="121" t="s">
        <v>143</v>
      </c>
      <c r="C45" s="20" t="s">
        <v>143</v>
      </c>
      <c r="D45" s="21">
        <v>62.71</v>
      </c>
      <c r="E45" s="22">
        <v>3603</v>
      </c>
      <c r="O45" s="26"/>
    </row>
    <row r="46" spans="2:24" x14ac:dyDescent="0.2">
      <c r="B46" s="121" t="s">
        <v>144</v>
      </c>
      <c r="C46" s="20" t="s">
        <v>145</v>
      </c>
      <c r="D46" s="21">
        <v>21.19</v>
      </c>
      <c r="E46" s="22">
        <v>2965</v>
      </c>
      <c r="O46" s="26"/>
    </row>
    <row r="47" spans="2:24" x14ac:dyDescent="0.2">
      <c r="B47" s="121" t="s">
        <v>149</v>
      </c>
      <c r="C47" s="20" t="s">
        <v>150</v>
      </c>
      <c r="D47" s="21">
        <v>26.99</v>
      </c>
      <c r="E47" s="22">
        <v>1400</v>
      </c>
      <c r="O47" s="26"/>
    </row>
    <row r="48" spans="2:24" x14ac:dyDescent="0.2">
      <c r="B48" s="122" t="s">
        <v>225</v>
      </c>
      <c r="C48" s="123" t="s">
        <v>226</v>
      </c>
      <c r="D48" s="21">
        <v>13.95</v>
      </c>
      <c r="E48" s="22">
        <v>2030</v>
      </c>
      <c r="O48" s="26"/>
    </row>
    <row r="49" spans="2:15" x14ac:dyDescent="0.2">
      <c r="B49" s="122" t="s">
        <v>227</v>
      </c>
      <c r="C49" s="123" t="s">
        <v>228</v>
      </c>
      <c r="D49" s="21">
        <v>19.95</v>
      </c>
      <c r="E49" s="22">
        <v>2560</v>
      </c>
      <c r="O49" s="26"/>
    </row>
    <row r="50" spans="2:15" x14ac:dyDescent="0.2">
      <c r="B50" s="124" t="s">
        <v>236</v>
      </c>
      <c r="C50" s="46" t="s">
        <v>237</v>
      </c>
      <c r="O50" s="26"/>
    </row>
    <row r="51" spans="2:15" x14ac:dyDescent="0.2">
      <c r="B51" s="166" t="s">
        <v>411</v>
      </c>
      <c r="O51" s="26"/>
    </row>
    <row r="52" spans="2:15" x14ac:dyDescent="0.2">
      <c r="B52" s="166" t="s">
        <v>412</v>
      </c>
      <c r="O52" s="26"/>
    </row>
    <row r="53" spans="2:15" x14ac:dyDescent="0.2">
      <c r="B53" s="121"/>
      <c r="O53" s="26"/>
    </row>
    <row r="54" spans="2:15" x14ac:dyDescent="0.2">
      <c r="B54" s="121"/>
      <c r="O54" s="26"/>
    </row>
    <row r="55" spans="2:15" x14ac:dyDescent="0.2">
      <c r="B55" s="121"/>
      <c r="O55" s="26"/>
    </row>
    <row r="56" spans="2:15" x14ac:dyDescent="0.2">
      <c r="B56" s="121"/>
      <c r="O56" s="26"/>
    </row>
    <row r="57" spans="2:15" x14ac:dyDescent="0.2">
      <c r="B57" s="121"/>
      <c r="O57" s="26"/>
    </row>
    <row r="58" spans="2:15" x14ac:dyDescent="0.2">
      <c r="B58" s="121"/>
      <c r="O58" s="26"/>
    </row>
    <row r="59" spans="2:15" x14ac:dyDescent="0.2">
      <c r="B59" s="125"/>
      <c r="C59" s="126"/>
      <c r="D59" s="127"/>
      <c r="E59" s="128"/>
      <c r="F59" s="129"/>
      <c r="G59" s="129"/>
      <c r="H59" s="129"/>
      <c r="I59" s="129"/>
      <c r="J59" s="129"/>
      <c r="K59" s="130"/>
      <c r="L59" s="130"/>
      <c r="M59" s="130"/>
      <c r="N59" s="130"/>
      <c r="O59" s="131"/>
    </row>
  </sheetData>
  <hyperlinks>
    <hyperlink ref="B5" r:id="rId1" xr:uid="{3019DEB6-D8CA-4815-8BF6-407E9419A3F9}"/>
    <hyperlink ref="B13" r:id="rId2" xr:uid="{5A1A0BF1-1F9D-453A-8615-32812BE41A68}"/>
    <hyperlink ref="B7" r:id="rId3" xr:uid="{831B52E7-EF7A-4831-8425-59EAD7D0F934}"/>
    <hyperlink ref="B6" r:id="rId4" xr:uid="{BF4E9546-147A-4F10-92B1-A91E9292F4F6}"/>
    <hyperlink ref="B4" r:id="rId5" xr:uid="{8FE2D0E7-8B55-451A-A95B-7A06B5C1BDA4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28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2.75" x14ac:dyDescent="0.2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 x14ac:dyDescent="0.2">
      <c r="A1" s="5" t="s">
        <v>148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s="20" customFormat="1" x14ac:dyDescent="0.2">
      <c r="A3" s="72" t="s">
        <v>263</v>
      </c>
      <c r="B3" s="114" t="s">
        <v>11</v>
      </c>
      <c r="C3" s="20" t="s">
        <v>12</v>
      </c>
      <c r="D3" s="21">
        <v>88</v>
      </c>
      <c r="E3" s="22">
        <f>+D3*[6]Main!$K$3</f>
        <v>909128</v>
      </c>
      <c r="F3" s="22">
        <f>[6]Main!$K$5-[6]Main!$K$6</f>
        <v>-257</v>
      </c>
      <c r="G3" s="22">
        <f>+E3-F3</f>
        <v>909385</v>
      </c>
      <c r="H3" s="22">
        <f>+[6]Main!$K$3</f>
        <v>10331</v>
      </c>
      <c r="I3" s="141" t="s">
        <v>361</v>
      </c>
      <c r="J3" s="43">
        <v>44913</v>
      </c>
      <c r="K3" s="27">
        <f>+[6]Model!$BL$49</f>
        <v>139.08156491053268</v>
      </c>
      <c r="L3" s="28">
        <f>K3/D3-1</f>
        <v>0.5804723285287805</v>
      </c>
      <c r="M3" s="36">
        <f>+[6]Model!$BL$45</f>
        <v>0.08</v>
      </c>
      <c r="N3" s="28">
        <f>+[6]Model!$BL$47</f>
        <v>0</v>
      </c>
      <c r="O3" s="115">
        <f>+[6]Model!$BL$46</f>
        <v>0.01</v>
      </c>
      <c r="P3" s="29">
        <f>+($G3/$H3)/T3</f>
        <v>568.2032616160601</v>
      </c>
      <c r="Q3" s="30">
        <f>+($G3/$H3)/U3</f>
        <v>39.895842815908068</v>
      </c>
      <c r="R3" s="30">
        <f>+($G3/$H3)/V3</f>
        <v>36.185731876308488</v>
      </c>
      <c r="S3" s="31">
        <f>+($G3/$H3)/W3</f>
        <v>22.013215348497774</v>
      </c>
      <c r="T3" s="32">
        <f>+[6]Model!$BA$34</f>
        <v>0.15491793611792834</v>
      </c>
      <c r="U3" s="27">
        <f>+[6]Model!$BB$34</f>
        <v>2.206367139333532</v>
      </c>
      <c r="V3" s="27">
        <f>+[6]Model!$BC$34</f>
        <v>2.4325852213221908</v>
      </c>
      <c r="W3" s="33">
        <f>+[6]Model!$BD$34</f>
        <v>3.9987287268800702</v>
      </c>
      <c r="X3" s="20">
        <v>1994</v>
      </c>
    </row>
    <row r="4" spans="1:24" s="20" customFormat="1" x14ac:dyDescent="0.2">
      <c r="A4" s="72" t="s">
        <v>263</v>
      </c>
      <c r="B4" s="5" t="s">
        <v>23</v>
      </c>
      <c r="C4" s="20" t="s">
        <v>24</v>
      </c>
      <c r="D4" s="21">
        <v>79.58</v>
      </c>
      <c r="E4" s="22">
        <f>+D4*[7]Main!$G$3</f>
        <v>218526.68</v>
      </c>
      <c r="F4" s="22">
        <f>+[7]Main!$G$5-[7]Main!$G$6</f>
        <v>-83569</v>
      </c>
      <c r="G4" s="22">
        <f>+E4-F4</f>
        <v>302095.68</v>
      </c>
      <c r="H4" s="22">
        <f>+[7]Main!$G$3</f>
        <v>2746</v>
      </c>
      <c r="I4" s="141" t="s">
        <v>361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82" t="s">
        <v>263</v>
      </c>
      <c r="B5" s="5" t="s">
        <v>21</v>
      </c>
      <c r="C5" s="20" t="s">
        <v>22</v>
      </c>
      <c r="D5" s="21">
        <v>146.88</v>
      </c>
      <c r="E5" s="22">
        <f>+D5*[8]Main!$M$3</f>
        <v>146880</v>
      </c>
      <c r="F5" s="22">
        <f>+[8]Main!$M$5-[8]Main!$M$6</f>
        <v>6442</v>
      </c>
      <c r="G5" s="22">
        <f t="shared" ref="G5:G8" si="0">E5-F5</f>
        <v>140438</v>
      </c>
      <c r="H5" s="22">
        <f>+[8]Main!$M$3</f>
        <v>1000</v>
      </c>
      <c r="I5" s="147" t="s">
        <v>361</v>
      </c>
      <c r="J5" s="43">
        <v>44946</v>
      </c>
      <c r="K5" s="27">
        <f>+[8]Model!$Z$38</f>
        <v>159.2157215866865</v>
      </c>
      <c r="L5" s="28">
        <f>+K5/D5-1</f>
        <v>8.3985032589096509E-2</v>
      </c>
      <c r="M5" s="28">
        <f>+[8]Model!$Z$36</f>
        <v>0.08</v>
      </c>
      <c r="N5" s="28">
        <f>+[8]Model!$Z$35</f>
        <v>0.01</v>
      </c>
      <c r="O5" s="28">
        <v>0</v>
      </c>
      <c r="P5" s="25"/>
      <c r="Q5" s="24"/>
      <c r="R5" s="24"/>
      <c r="S5" s="26"/>
      <c r="T5" s="25"/>
      <c r="U5" s="24"/>
      <c r="V5" s="24"/>
      <c r="W5" s="26"/>
      <c r="X5" s="20">
        <v>1999</v>
      </c>
    </row>
    <row r="6" spans="1:24" s="20" customFormat="1" x14ac:dyDescent="0.2">
      <c r="A6" s="82" t="s">
        <v>263</v>
      </c>
      <c r="B6" s="5" t="s">
        <v>25</v>
      </c>
      <c r="C6" s="20" t="s">
        <v>25</v>
      </c>
      <c r="D6" s="21">
        <v>99.86</v>
      </c>
      <c r="E6" s="22">
        <f>+D6*[9]Main!$L$3</f>
        <v>117834.8</v>
      </c>
      <c r="F6" s="22">
        <f>+[9]Main!$L$5-[9]Main!$L$6</f>
        <v>870</v>
      </c>
      <c r="G6" s="22">
        <f t="shared" si="0"/>
        <v>116964.8</v>
      </c>
      <c r="H6" s="22"/>
      <c r="I6" s="23" t="s">
        <v>14</v>
      </c>
      <c r="J6" s="23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1972</v>
      </c>
    </row>
    <row r="7" spans="1:24" s="20" customFormat="1" x14ac:dyDescent="0.2">
      <c r="A7" s="82" t="s">
        <v>263</v>
      </c>
      <c r="B7" s="5" t="s">
        <v>29</v>
      </c>
      <c r="C7" s="20" t="s">
        <v>30</v>
      </c>
      <c r="D7" s="21">
        <v>440</v>
      </c>
      <c r="E7" s="22">
        <f>+D7*[10]Main!$L$3</f>
        <v>88000</v>
      </c>
      <c r="F7" s="22">
        <f>+[10]Main!$L$5-[10]Main!$L$6</f>
        <v>3926</v>
      </c>
      <c r="G7" s="22">
        <f t="shared" si="0"/>
        <v>84074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2004</v>
      </c>
    </row>
    <row r="8" spans="1:24" s="20" customFormat="1" x14ac:dyDescent="0.2">
      <c r="A8" s="94" t="s">
        <v>263</v>
      </c>
      <c r="B8" s="5" t="s">
        <v>187</v>
      </c>
      <c r="C8" s="20" t="s">
        <v>188</v>
      </c>
      <c r="D8" s="21">
        <v>122.42</v>
      </c>
      <c r="E8" s="22">
        <f>+D8*H8</f>
        <v>51593.343664439999</v>
      </c>
      <c r="F8" s="22">
        <f>+[11]Main!$M$5-[11]Main!$M$6</f>
        <v>-8207</v>
      </c>
      <c r="G8" s="22">
        <f t="shared" si="0"/>
        <v>59800.343664439999</v>
      </c>
      <c r="H8" s="22">
        <f>+[11]Main!$M$3</f>
        <v>421.445382</v>
      </c>
      <c r="I8" s="47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1998</v>
      </c>
    </row>
    <row r="9" spans="1:24" x14ac:dyDescent="0.2">
      <c r="A9" s="82" t="s">
        <v>263</v>
      </c>
      <c r="B9" s="82" t="s">
        <v>266</v>
      </c>
      <c r="C9" s="82" t="s">
        <v>266</v>
      </c>
      <c r="D9" s="164">
        <v>129.71</v>
      </c>
      <c r="E9" s="71">
        <v>118000</v>
      </c>
      <c r="X9" s="72">
        <v>1911</v>
      </c>
    </row>
    <row r="10" spans="1:24" x14ac:dyDescent="0.2">
      <c r="A10" s="89" t="s">
        <v>263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5" si="1">E10-F10</f>
        <v>50515.179400000008</v>
      </c>
      <c r="H10" s="22">
        <f>+[12]Main!$L$3</f>
        <v>253.72300000000001</v>
      </c>
      <c r="I10" s="34" t="s">
        <v>14</v>
      </c>
      <c r="J10" s="103">
        <v>45003</v>
      </c>
      <c r="X10" s="72">
        <v>2002</v>
      </c>
    </row>
    <row r="11" spans="1:24" x14ac:dyDescent="0.2">
      <c r="A11" s="98" t="s">
        <v>263</v>
      </c>
      <c r="B11" s="5" t="s">
        <v>50</v>
      </c>
      <c r="C11" s="20" t="s">
        <v>51</v>
      </c>
      <c r="D11" s="21">
        <v>190</v>
      </c>
      <c r="E11" s="22">
        <f>+D11*H11</f>
        <v>47880</v>
      </c>
      <c r="F11" s="22">
        <f>+[13]Main!$P$5-[13]Main!$P$6</f>
        <v>2134</v>
      </c>
      <c r="G11" s="22">
        <f t="shared" si="1"/>
        <v>45746</v>
      </c>
      <c r="H11" s="23">
        <f>+[13]Main!$P$3</f>
        <v>252</v>
      </c>
      <c r="I11" s="159" t="s">
        <v>392</v>
      </c>
      <c r="J11" s="43">
        <v>45006</v>
      </c>
      <c r="X11" s="72">
        <v>2005</v>
      </c>
    </row>
    <row r="12" spans="1:24" x14ac:dyDescent="0.2">
      <c r="A12" s="89" t="s">
        <v>263</v>
      </c>
      <c r="B12" s="5" t="s">
        <v>44</v>
      </c>
      <c r="C12" s="20" t="s">
        <v>45</v>
      </c>
      <c r="D12" s="21">
        <v>135.57</v>
      </c>
      <c r="E12" s="22">
        <f>+D12*[14]Main!$M$3</f>
        <v>42617.920769999997</v>
      </c>
      <c r="F12" s="22">
        <f>+[14]Main!$M$5-[14]Main!$M$6</f>
        <v>5027.4579999999996</v>
      </c>
      <c r="G12" s="22">
        <f t="shared" si="1"/>
        <v>37590.462769999998</v>
      </c>
      <c r="H12" s="22">
        <f>+[14]Main!$M$3</f>
        <v>314.36099999999999</v>
      </c>
      <c r="I12" s="35" t="s">
        <v>14</v>
      </c>
      <c r="X12" s="72">
        <v>2012</v>
      </c>
    </row>
    <row r="13" spans="1:24" x14ac:dyDescent="0.2">
      <c r="A13" s="101" t="s">
        <v>263</v>
      </c>
      <c r="B13" s="5" t="s">
        <v>180</v>
      </c>
      <c r="C13" s="20" t="s">
        <v>181</v>
      </c>
      <c r="D13" s="21">
        <v>228.96</v>
      </c>
      <c r="E13" s="22">
        <f>+D13*H13</f>
        <v>35453.770264799998</v>
      </c>
      <c r="F13" s="22">
        <f>+[15]Main!$M$5-[15]Main!$M$6</f>
        <v>2838.5529999999999</v>
      </c>
      <c r="G13" s="22">
        <f t="shared" si="1"/>
        <v>32615.217264799998</v>
      </c>
      <c r="H13" s="22">
        <f>+[15]Main!$M$3</f>
        <v>154.847005</v>
      </c>
      <c r="I13" s="54" t="s">
        <v>14</v>
      </c>
      <c r="J13" s="43">
        <v>44794</v>
      </c>
      <c r="X13" s="72">
        <v>2007</v>
      </c>
    </row>
    <row r="14" spans="1:24" x14ac:dyDescent="0.2">
      <c r="A14" s="105" t="s">
        <v>263</v>
      </c>
      <c r="B14" s="97" t="s">
        <v>306</v>
      </c>
      <c r="C14" s="105" t="s">
        <v>184</v>
      </c>
      <c r="D14" s="21">
        <v>70.599999999999994</v>
      </c>
      <c r="E14" s="22">
        <v>20740</v>
      </c>
      <c r="F14" s="22"/>
      <c r="G14" s="22"/>
      <c r="H14" s="22"/>
      <c r="I14" s="54"/>
      <c r="J14" s="43"/>
      <c r="X14" s="72">
        <v>2011</v>
      </c>
    </row>
    <row r="15" spans="1:24" x14ac:dyDescent="0.2">
      <c r="A15" s="105" t="s">
        <v>263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+[16]Main!$O$5-[16]Main!$O$6</f>
        <v>970</v>
      </c>
      <c r="G15" s="22">
        <f t="shared" si="1"/>
        <v>29585</v>
      </c>
      <c r="H15" s="71">
        <f>+[16]Main!$O$3</f>
        <v>315</v>
      </c>
      <c r="I15" s="102" t="s">
        <v>210</v>
      </c>
      <c r="J15" s="103">
        <v>44805</v>
      </c>
      <c r="X15" s="72">
        <v>2010</v>
      </c>
    </row>
    <row r="16" spans="1:24" s="20" customFormat="1" x14ac:dyDescent="0.2">
      <c r="B16" s="20" t="s">
        <v>67</v>
      </c>
      <c r="C16" s="20" t="s">
        <v>68</v>
      </c>
      <c r="D16" s="21">
        <v>90.1</v>
      </c>
      <c r="E16" s="22">
        <v>18840</v>
      </c>
      <c r="F16" s="23"/>
      <c r="G16" s="23"/>
      <c r="H16" s="23"/>
      <c r="I16" s="23"/>
      <c r="J16" s="23"/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2003</v>
      </c>
    </row>
    <row r="17" spans="2:24" s="20" customFormat="1" x14ac:dyDescent="0.2">
      <c r="B17" s="143" t="s">
        <v>201</v>
      </c>
      <c r="C17" s="20" t="s">
        <v>202</v>
      </c>
      <c r="D17" s="21">
        <v>84</v>
      </c>
      <c r="E17" s="22">
        <f>+D17*H17</f>
        <v>13188</v>
      </c>
      <c r="F17" s="22">
        <f>+[17]Main!$P$5-[17]Main!$P$6</f>
        <v>282</v>
      </c>
      <c r="G17" s="22">
        <f>+E17-F17</f>
        <v>12906</v>
      </c>
      <c r="H17" s="22">
        <f>+[17]Main!$P$3</f>
        <v>157</v>
      </c>
      <c r="I17" s="100" t="s">
        <v>210</v>
      </c>
      <c r="J17" s="43">
        <v>44805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2:24" s="20" customFormat="1" x14ac:dyDescent="0.2">
      <c r="B18" s="20" t="s">
        <v>83</v>
      </c>
      <c r="C18" s="20" t="s">
        <v>84</v>
      </c>
      <c r="D18" s="21">
        <v>63.5</v>
      </c>
      <c r="E18" s="22">
        <v>16440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</row>
    <row r="19" spans="2:24" s="20" customFormat="1" x14ac:dyDescent="0.2">
      <c r="B19" s="20" t="s">
        <v>193</v>
      </c>
      <c r="C19" s="20" t="s">
        <v>194</v>
      </c>
      <c r="D19" s="21">
        <v>375.92</v>
      </c>
      <c r="E19" s="22">
        <v>25610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2007</v>
      </c>
    </row>
    <row r="20" spans="2:24" s="20" customFormat="1" x14ac:dyDescent="0.2">
      <c r="B20" s="167" t="s">
        <v>413</v>
      </c>
      <c r="D20" s="21"/>
      <c r="E20" s="22">
        <v>7120</v>
      </c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4" x14ac:dyDescent="0.2">
      <c r="B21" s="134" t="s">
        <v>339</v>
      </c>
      <c r="C21" s="142" t="s">
        <v>386</v>
      </c>
      <c r="D21" s="72">
        <v>25.54</v>
      </c>
      <c r="E21" s="71">
        <v>4800</v>
      </c>
      <c r="X21" s="72">
        <v>2012</v>
      </c>
    </row>
    <row r="22" spans="2:24" x14ac:dyDescent="0.2">
      <c r="B22" s="163" t="s">
        <v>400</v>
      </c>
      <c r="C22" s="163" t="s">
        <v>401</v>
      </c>
      <c r="D22" s="72">
        <v>10.88</v>
      </c>
      <c r="E22" s="71">
        <v>3000</v>
      </c>
    </row>
    <row r="27" spans="2:24" x14ac:dyDescent="0.2">
      <c r="B27" s="95" t="s">
        <v>258</v>
      </c>
    </row>
    <row r="28" spans="2:24" x14ac:dyDescent="0.2">
      <c r="B28" s="94" t="s">
        <v>286</v>
      </c>
      <c r="E28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5" r:id="rId2" xr:uid="{82160796-EF8E-4F69-8090-C97619BD3BC8}"/>
    <hyperlink ref="B6" r:id="rId3" xr:uid="{2964D309-6110-46D1-A6FF-CEF55CE8C8F6}"/>
    <hyperlink ref="B7" r:id="rId4" xr:uid="{BEBE7C2C-69F7-4F68-A1A3-433A555515CF}"/>
    <hyperlink ref="B8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17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</hyperlinks>
  <pageMargins left="0.7" right="0.7" top="0.75" bottom="0.75" header="0.3" footer="0.3"/>
  <pageSetup orientation="portrait" horizontalDpi="1200" verticalDpi="120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X51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3" sqref="F13"/>
    </sheetView>
  </sheetViews>
  <sheetFormatPr defaultRowHeight="12.75" x14ac:dyDescent="0.2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49" t="s">
        <v>240</v>
      </c>
      <c r="R2" s="49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20" t="s">
        <v>224</v>
      </c>
    </row>
    <row r="3" spans="1:24" s="20" customFormat="1" x14ac:dyDescent="0.2">
      <c r="A3" s="72" t="s">
        <v>263</v>
      </c>
      <c r="B3" s="5" t="s">
        <v>13</v>
      </c>
      <c r="C3" s="20" t="s">
        <v>205</v>
      </c>
      <c r="D3" s="21">
        <v>109.86</v>
      </c>
      <c r="E3" s="22">
        <f>+D3*[18]Main!$M$3</f>
        <v>291299.13732564001</v>
      </c>
      <c r="F3" s="22">
        <f>+[18]Main!$M$5-[18]Main!$M$6</f>
        <v>38382</v>
      </c>
      <c r="G3" s="22">
        <f t="shared" ref="G3:G4" si="0">+E3-F3</f>
        <v>252917.13732564001</v>
      </c>
      <c r="H3" s="22">
        <f>+[18]Main!$M$3</f>
        <v>2651.5486740000001</v>
      </c>
      <c r="I3" s="139" t="s">
        <v>361</v>
      </c>
      <c r="J3" s="43">
        <v>44959</v>
      </c>
      <c r="K3" s="27">
        <f>+[18]Model!$AX$53</f>
        <v>215.87667010339968</v>
      </c>
      <c r="L3" s="28">
        <f>K3/D3-1</f>
        <v>0.9650161123557226</v>
      </c>
      <c r="M3" s="28">
        <f>+[18]Model!$AX$50</f>
        <v>0.08</v>
      </c>
      <c r="N3" s="28">
        <f>+[18]Model!$AX$51</f>
        <v>-0.05</v>
      </c>
      <c r="O3" s="28">
        <f>+[18]Model!$AX$52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</row>
    <row r="4" spans="1:24" s="20" customFormat="1" x14ac:dyDescent="0.2">
      <c r="A4" s="72" t="s">
        <v>263</v>
      </c>
      <c r="B4" s="5" t="s">
        <v>15</v>
      </c>
      <c r="C4" s="20" t="s">
        <v>16</v>
      </c>
      <c r="D4" s="21">
        <v>277.39999999999998</v>
      </c>
      <c r="E4" s="22">
        <f>+D4*[19]Main!$L$3*1000/HKD</f>
        <v>341793.77818543144</v>
      </c>
      <c r="F4" s="22">
        <f>([19]Main!$L$5-[19]Main!$L$6)/HKD*1000</f>
        <v>81912.914978725574</v>
      </c>
      <c r="G4" s="22">
        <f t="shared" si="0"/>
        <v>259880.86320670586</v>
      </c>
      <c r="H4" s="22">
        <f>+[19]Main!$L$3*1000</f>
        <v>9672</v>
      </c>
      <c r="I4" s="116" t="s">
        <v>210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4" s="20" customFormat="1" x14ac:dyDescent="0.2">
      <c r="A5" s="96" t="s">
        <v>263</v>
      </c>
      <c r="B5" s="97" t="s">
        <v>291</v>
      </c>
      <c r="C5" s="96" t="s">
        <v>292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4" s="20" customFormat="1" x14ac:dyDescent="0.2">
      <c r="A6" s="136" t="s">
        <v>263</v>
      </c>
      <c r="B6" s="136" t="s">
        <v>340</v>
      </c>
      <c r="C6" s="136" t="s">
        <v>341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4" s="20" customFormat="1" x14ac:dyDescent="0.2">
      <c r="A7" s="107" t="s">
        <v>263</v>
      </c>
      <c r="B7" s="143" t="s">
        <v>309</v>
      </c>
      <c r="C7" s="107" t="s">
        <v>310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s="20" customFormat="1" x14ac:dyDescent="0.2">
      <c r="A8" s="144" t="s">
        <v>263</v>
      </c>
      <c r="B8" s="143" t="s">
        <v>387</v>
      </c>
      <c r="C8" s="144" t="s">
        <v>388</v>
      </c>
      <c r="D8" s="21">
        <v>12</v>
      </c>
      <c r="E8" s="22">
        <f>+D8*H8</f>
        <v>19357.212852000001</v>
      </c>
      <c r="F8" s="150">
        <f>+[20]Main!$L$5-[20]Main!$L$6</f>
        <v>688.14800000000014</v>
      </c>
      <c r="G8" s="22">
        <f>E8-F8</f>
        <v>18669.064852</v>
      </c>
      <c r="H8" s="22">
        <f>+[20]Main!$L$3</f>
        <v>1613.101071</v>
      </c>
      <c r="I8" s="149" t="s">
        <v>210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s="20" customFormat="1" x14ac:dyDescent="0.2">
      <c r="B9" s="96" t="s">
        <v>289</v>
      </c>
      <c r="C9" s="96" t="s">
        <v>290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4" s="20" customFormat="1" x14ac:dyDescent="0.2">
      <c r="B10" s="96" t="s">
        <v>293</v>
      </c>
      <c r="C10" s="96" t="s">
        <v>294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4" s="20" customFormat="1" x14ac:dyDescent="0.2">
      <c r="B11" s="133" t="s">
        <v>329</v>
      </c>
      <c r="C11" s="133" t="s">
        <v>330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4" s="20" customFormat="1" x14ac:dyDescent="0.2">
      <c r="B12" s="133" t="s">
        <v>135</v>
      </c>
      <c r="C12" s="133" t="s">
        <v>136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4" s="20" customFormat="1" x14ac:dyDescent="0.2">
      <c r="B13" s="140" t="s">
        <v>370</v>
      </c>
      <c r="C13" s="133"/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 x14ac:dyDescent="0.2">
      <c r="B14" s="133" t="s">
        <v>334</v>
      </c>
      <c r="C14" s="133" t="s">
        <v>335</v>
      </c>
    </row>
    <row r="15" spans="1:24" s="20" customFormat="1" x14ac:dyDescent="0.2">
      <c r="B15" s="5"/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">
      <c r="B16" s="64" t="s">
        <v>258</v>
      </c>
    </row>
    <row r="17" spans="1:23" x14ac:dyDescent="0.2">
      <c r="B17" s="96" t="s">
        <v>288</v>
      </c>
    </row>
    <row r="18" spans="1:23" x14ac:dyDescent="0.2">
      <c r="B18" s="63" t="s">
        <v>257</v>
      </c>
    </row>
    <row r="19" spans="1:23" x14ac:dyDescent="0.2">
      <c r="B19" s="133" t="s">
        <v>328</v>
      </c>
    </row>
    <row r="20" spans="1:23" x14ac:dyDescent="0.2">
      <c r="B20" s="63" t="s">
        <v>256</v>
      </c>
    </row>
    <row r="21" spans="1:23" x14ac:dyDescent="0.2">
      <c r="B21" s="133" t="s">
        <v>331</v>
      </c>
    </row>
    <row r="22" spans="1:23" x14ac:dyDescent="0.2">
      <c r="B22" s="64" t="s">
        <v>332</v>
      </c>
    </row>
    <row r="23" spans="1:23" x14ac:dyDescent="0.2">
      <c r="B23" s="133" t="s">
        <v>333</v>
      </c>
    </row>
    <row r="24" spans="1:23" x14ac:dyDescent="0.2">
      <c r="B24" s="133" t="s">
        <v>336</v>
      </c>
    </row>
    <row r="25" spans="1:23" x14ac:dyDescent="0.2">
      <c r="B25" s="133" t="s">
        <v>337</v>
      </c>
    </row>
    <row r="26" spans="1:23" x14ac:dyDescent="0.2">
      <c r="B26" s="133" t="s">
        <v>338</v>
      </c>
    </row>
    <row r="27" spans="1:23" x14ac:dyDescent="0.2">
      <c r="B27" s="20" t="s">
        <v>171</v>
      </c>
      <c r="C27" s="20" t="s">
        <v>172</v>
      </c>
      <c r="D27" s="21">
        <v>44.5</v>
      </c>
      <c r="E27" s="22">
        <v>34050</v>
      </c>
    </row>
    <row r="28" spans="1:23" s="20" customFormat="1" x14ac:dyDescent="0.2">
      <c r="A28" s="107"/>
      <c r="B28" s="158" t="s">
        <v>394</v>
      </c>
      <c r="C28" s="63"/>
      <c r="D28" s="63"/>
      <c r="E28" s="63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5"/>
      <c r="Q28" s="24"/>
      <c r="R28" s="24"/>
      <c r="S28" s="26"/>
      <c r="T28" s="25"/>
      <c r="U28" s="24"/>
      <c r="V28" s="24"/>
      <c r="W28" s="26"/>
    </row>
    <row r="29" spans="1:23" x14ac:dyDescent="0.2">
      <c r="B29" s="140" t="s">
        <v>362</v>
      </c>
    </row>
    <row r="30" spans="1:23" x14ac:dyDescent="0.2">
      <c r="B30" s="63" t="s">
        <v>255</v>
      </c>
    </row>
    <row r="31" spans="1:23" x14ac:dyDescent="0.2">
      <c r="B31" s="140" t="s">
        <v>363</v>
      </c>
    </row>
    <row r="32" spans="1:23" x14ac:dyDescent="0.2">
      <c r="B32" s="140" t="s">
        <v>364</v>
      </c>
    </row>
    <row r="33" spans="2:2" x14ac:dyDescent="0.2">
      <c r="B33" s="140" t="s">
        <v>365</v>
      </c>
    </row>
    <row r="34" spans="2:2" x14ac:dyDescent="0.2">
      <c r="B34" s="140" t="s">
        <v>306</v>
      </c>
    </row>
    <row r="35" spans="2:2" x14ac:dyDescent="0.2">
      <c r="B35" s="140" t="s">
        <v>366</v>
      </c>
    </row>
    <row r="36" spans="2:2" x14ac:dyDescent="0.2">
      <c r="B36" s="140" t="s">
        <v>367</v>
      </c>
    </row>
    <row r="37" spans="2:2" x14ac:dyDescent="0.2">
      <c r="B37" s="140" t="s">
        <v>368</v>
      </c>
    </row>
    <row r="38" spans="2:2" x14ac:dyDescent="0.2">
      <c r="B38" s="140" t="s">
        <v>369</v>
      </c>
    </row>
    <row r="39" spans="2:2" x14ac:dyDescent="0.2">
      <c r="B39" s="140" t="s">
        <v>371</v>
      </c>
    </row>
    <row r="40" spans="2:2" x14ac:dyDescent="0.2">
      <c r="B40" s="140" t="s">
        <v>372</v>
      </c>
    </row>
    <row r="41" spans="2:2" x14ac:dyDescent="0.2">
      <c r="B41" s="140" t="s">
        <v>373</v>
      </c>
    </row>
    <row r="42" spans="2:2" x14ac:dyDescent="0.2">
      <c r="B42" s="140" t="s">
        <v>374</v>
      </c>
    </row>
    <row r="43" spans="2:2" x14ac:dyDescent="0.2">
      <c r="B43" s="140" t="s">
        <v>375</v>
      </c>
    </row>
    <row r="44" spans="2:2" x14ac:dyDescent="0.2">
      <c r="B44" s="140" t="s">
        <v>376</v>
      </c>
    </row>
    <row r="45" spans="2:2" x14ac:dyDescent="0.2">
      <c r="B45" s="140" t="s">
        <v>377</v>
      </c>
    </row>
    <row r="46" spans="2:2" x14ac:dyDescent="0.2">
      <c r="B46" s="140" t="s">
        <v>378</v>
      </c>
    </row>
    <row r="47" spans="2:2" x14ac:dyDescent="0.2">
      <c r="B47" s="140" t="s">
        <v>379</v>
      </c>
    </row>
    <row r="48" spans="2:2" x14ac:dyDescent="0.2">
      <c r="B48" s="140" t="s">
        <v>380</v>
      </c>
    </row>
    <row r="49" spans="2:2" x14ac:dyDescent="0.2">
      <c r="B49" s="140" t="s">
        <v>381</v>
      </c>
    </row>
    <row r="50" spans="2:2" x14ac:dyDescent="0.2">
      <c r="B50" s="140" t="s">
        <v>382</v>
      </c>
    </row>
    <row r="51" spans="2:2" x14ac:dyDescent="0.2">
      <c r="B51" s="140" t="s">
        <v>383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1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0" sqref="C20"/>
    </sheetView>
  </sheetViews>
  <sheetFormatPr defaultRowHeight="12.75" x14ac:dyDescent="0.2"/>
  <cols>
    <col min="1" max="1" width="5" style="113" bestFit="1" customWidth="1"/>
    <col min="2" max="2" width="15" style="113" customWidth="1"/>
    <col min="3" max="16384" width="9.140625" style="113"/>
  </cols>
  <sheetData>
    <row r="1" spans="1:24" x14ac:dyDescent="0.2">
      <c r="A1" s="5" t="s">
        <v>148</v>
      </c>
    </row>
    <row r="2" spans="1:24" x14ac:dyDescent="0.2">
      <c r="A2" s="5"/>
      <c r="B2" s="160" t="s">
        <v>0</v>
      </c>
      <c r="C2" s="160" t="s">
        <v>1</v>
      </c>
      <c r="D2" s="161" t="s">
        <v>2</v>
      </c>
      <c r="E2" s="162" t="s">
        <v>3</v>
      </c>
      <c r="F2" s="161" t="s">
        <v>398</v>
      </c>
      <c r="G2" s="161" t="s">
        <v>5</v>
      </c>
      <c r="H2" s="161" t="s">
        <v>223</v>
      </c>
      <c r="I2" s="161" t="s">
        <v>399</v>
      </c>
      <c r="J2" s="161" t="s">
        <v>234</v>
      </c>
    </row>
    <row r="3" spans="1:24" s="20" customFormat="1" x14ac:dyDescent="0.2">
      <c r="A3" s="89" t="s">
        <v>263</v>
      </c>
      <c r="B3" s="5" t="s">
        <v>189</v>
      </c>
      <c r="C3" s="20" t="s">
        <v>190</v>
      </c>
      <c r="D3" s="21">
        <v>375.71</v>
      </c>
      <c r="E3" s="22">
        <f>+D3*H3</f>
        <v>57472.452251789997</v>
      </c>
      <c r="F3" s="22">
        <f>+[21]Main!$N$5-[21]Main!$N$6</f>
        <v>1696.7459999999999</v>
      </c>
      <c r="G3" s="22">
        <f>E3-F3</f>
        <v>55775.706251789998</v>
      </c>
      <c r="H3" s="22">
        <f>+[21]Main!$N$3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89" t="s">
        <v>263</v>
      </c>
      <c r="B4" s="5" t="s">
        <v>185</v>
      </c>
      <c r="C4" s="20" t="s">
        <v>186</v>
      </c>
      <c r="D4" s="21">
        <v>39.74</v>
      </c>
      <c r="E4" s="22">
        <f>+D4*[22]Main!$L$3*EUR</f>
        <v>53089.738980000009</v>
      </c>
      <c r="F4" s="22">
        <f>+([22]Main!$L$5-[22]Main!$L$6)*EUR</f>
        <v>-490.25400000000008</v>
      </c>
      <c r="G4" s="22">
        <f>E4-F4</f>
        <v>53579.99298000001</v>
      </c>
      <c r="H4" s="22"/>
      <c r="I4" s="23" t="s">
        <v>210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9" t="s">
        <v>263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+[23]Main!$K$5-[23]Main!$K$6</f>
        <v>741.35200000000009</v>
      </c>
      <c r="G5" s="22">
        <f>E5-F5</f>
        <v>50843.144</v>
      </c>
      <c r="H5" s="22">
        <f>+[23]Main!$K$3</f>
        <v>277.33600000000001</v>
      </c>
      <c r="I5" s="39" t="s">
        <v>231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92" t="s">
        <v>263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+[24]Main!$L$5-[24]Main!$L$6</f>
        <v>-1005</v>
      </c>
      <c r="G6" s="22">
        <f>E6-F6</f>
        <v>45269.86632465</v>
      </c>
      <c r="H6" s="22">
        <f>+[24]Main!$L$3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+[25]Main!$M$5-[25]Main!$M$6</f>
        <v>-235.76700000000005</v>
      </c>
      <c r="G7" s="22">
        <f>E7-F7</f>
        <v>20837.083825649999</v>
      </c>
      <c r="H7" s="22">
        <f>+[25]Main!$M$3</f>
        <v>87.068664999999996</v>
      </c>
      <c r="I7" s="55" t="s">
        <v>210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B8" s="40" t="s">
        <v>232</v>
      </c>
      <c r="C8" s="40" t="s">
        <v>233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B9" s="113" t="s">
        <v>326</v>
      </c>
      <c r="C9" s="142" t="s">
        <v>384</v>
      </c>
      <c r="D9" s="132"/>
      <c r="E9" s="132"/>
      <c r="F9" s="132"/>
      <c r="G9" s="132"/>
      <c r="H9" s="132"/>
      <c r="I9" s="132"/>
      <c r="J9" s="132"/>
    </row>
    <row r="10" spans="1:24" x14ac:dyDescent="0.2">
      <c r="B10" s="113" t="s">
        <v>327</v>
      </c>
      <c r="D10" s="132"/>
      <c r="E10" s="132"/>
      <c r="F10" s="132"/>
      <c r="G10" s="132"/>
      <c r="H10" s="132"/>
      <c r="I10" s="132"/>
      <c r="J10" s="132"/>
    </row>
    <row r="17" spans="2:5" x14ac:dyDescent="0.2">
      <c r="B17" s="95" t="s">
        <v>258</v>
      </c>
    </row>
    <row r="18" spans="2:5" x14ac:dyDescent="0.2">
      <c r="B18" s="142" t="s">
        <v>385</v>
      </c>
    </row>
    <row r="19" spans="2:5" x14ac:dyDescent="0.2">
      <c r="B19" s="160" t="s">
        <v>395</v>
      </c>
      <c r="E19" s="113">
        <v>1500</v>
      </c>
    </row>
    <row r="20" spans="2:5" x14ac:dyDescent="0.2">
      <c r="B20" s="160" t="s">
        <v>396</v>
      </c>
    </row>
    <row r="21" spans="2:5" x14ac:dyDescent="0.2">
      <c r="B21" s="160" t="s">
        <v>397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89C9-C58C-431A-80D5-5C7D568EC13B}">
  <dimension ref="A1:J60"/>
  <sheetViews>
    <sheetView zoomScale="160" zoomScaleNormal="16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G16" sqref="G16"/>
    </sheetView>
  </sheetViews>
  <sheetFormatPr defaultRowHeight="14.25" x14ac:dyDescent="0.2"/>
  <cols>
    <col min="1" max="1" width="5.42578125" style="168" bestFit="1" customWidth="1"/>
    <col min="2" max="2" width="14.85546875" style="168" customWidth="1"/>
    <col min="3" max="3" width="9.140625" style="168"/>
    <col min="4" max="4" width="9.140625" style="169"/>
    <col min="5" max="5" width="19" style="168" bestFit="1" customWidth="1"/>
    <col min="6" max="6" width="9.140625" style="168"/>
    <col min="7" max="7" width="13.28515625" style="168" customWidth="1"/>
    <col min="8" max="8" width="16" style="168" customWidth="1"/>
    <col min="9" max="16384" width="9.140625" style="168"/>
  </cols>
  <sheetData>
    <row r="1" spans="1:10" x14ac:dyDescent="0.2">
      <c r="A1" s="168" t="s">
        <v>148</v>
      </c>
    </row>
    <row r="2" spans="1:10" x14ac:dyDescent="0.2">
      <c r="B2" s="168" t="s">
        <v>0</v>
      </c>
      <c r="D2" s="169" t="s">
        <v>3</v>
      </c>
      <c r="E2" s="168" t="s">
        <v>416</v>
      </c>
      <c r="F2" s="168" t="s">
        <v>417</v>
      </c>
      <c r="G2" s="168" t="s">
        <v>418</v>
      </c>
      <c r="H2" s="168" t="s">
        <v>421</v>
      </c>
      <c r="I2" s="168" t="s">
        <v>439</v>
      </c>
      <c r="J2" s="168" t="s">
        <v>224</v>
      </c>
    </row>
    <row r="3" spans="1:10" x14ac:dyDescent="0.2">
      <c r="B3" s="168" t="s">
        <v>7</v>
      </c>
      <c r="G3" s="168" t="s">
        <v>419</v>
      </c>
    </row>
    <row r="4" spans="1:10" x14ac:dyDescent="0.2">
      <c r="B4" s="168" t="s">
        <v>9</v>
      </c>
      <c r="G4" s="168" t="s">
        <v>420</v>
      </c>
    </row>
    <row r="5" spans="1:10" x14ac:dyDescent="0.2">
      <c r="B5" s="168" t="s">
        <v>435</v>
      </c>
    </row>
    <row r="6" spans="1:10" x14ac:dyDescent="0.2">
      <c r="B6" s="168" t="s">
        <v>404</v>
      </c>
      <c r="D6" s="169">
        <v>35000</v>
      </c>
      <c r="F6" s="168" t="s">
        <v>437</v>
      </c>
      <c r="G6" s="168" t="s">
        <v>419</v>
      </c>
    </row>
    <row r="7" spans="1:10" x14ac:dyDescent="0.2">
      <c r="B7" s="168" t="s">
        <v>433</v>
      </c>
      <c r="D7" s="169">
        <v>25000</v>
      </c>
      <c r="F7" s="168" t="s">
        <v>436</v>
      </c>
    </row>
    <row r="8" spans="1:10" x14ac:dyDescent="0.2">
      <c r="B8" s="168" t="s">
        <v>432</v>
      </c>
      <c r="D8" s="169">
        <v>21000</v>
      </c>
      <c r="F8" s="168" t="s">
        <v>434</v>
      </c>
    </row>
    <row r="9" spans="1:10" x14ac:dyDescent="0.2">
      <c r="B9" s="168" t="s">
        <v>146</v>
      </c>
      <c r="D9" s="169">
        <v>4100</v>
      </c>
      <c r="E9" s="168" t="s">
        <v>405</v>
      </c>
      <c r="F9" s="168" t="s">
        <v>410</v>
      </c>
      <c r="G9" s="168" t="s">
        <v>406</v>
      </c>
      <c r="H9" s="168" t="s">
        <v>407</v>
      </c>
      <c r="J9" s="168">
        <v>2021</v>
      </c>
    </row>
    <row r="10" spans="1:10" x14ac:dyDescent="0.2">
      <c r="B10" s="168" t="s">
        <v>425</v>
      </c>
      <c r="D10" s="169">
        <v>1000</v>
      </c>
      <c r="F10" s="168" t="s">
        <v>448</v>
      </c>
      <c r="H10" s="168" t="s">
        <v>463</v>
      </c>
      <c r="J10" s="168">
        <v>2021</v>
      </c>
    </row>
    <row r="11" spans="1:10" x14ac:dyDescent="0.2">
      <c r="B11" s="168" t="s">
        <v>441</v>
      </c>
      <c r="D11" s="169">
        <v>1000</v>
      </c>
      <c r="F11" s="168" t="s">
        <v>442</v>
      </c>
      <c r="J11" s="170">
        <v>44562</v>
      </c>
    </row>
    <row r="12" spans="1:10" x14ac:dyDescent="0.2">
      <c r="B12" s="168" t="s">
        <v>408</v>
      </c>
    </row>
    <row r="13" spans="1:10" x14ac:dyDescent="0.2">
      <c r="B13" s="168" t="s">
        <v>409</v>
      </c>
    </row>
    <row r="14" spans="1:10" x14ac:dyDescent="0.2">
      <c r="B14" s="168" t="s">
        <v>414</v>
      </c>
    </row>
    <row r="15" spans="1:10" x14ac:dyDescent="0.2">
      <c r="B15" s="168" t="s">
        <v>415</v>
      </c>
    </row>
    <row r="16" spans="1:10" x14ac:dyDescent="0.2">
      <c r="B16" s="168" t="s">
        <v>422</v>
      </c>
      <c r="F16" s="168">
        <v>100</v>
      </c>
    </row>
    <row r="17" spans="2:10" x14ac:dyDescent="0.2">
      <c r="B17" s="168" t="s">
        <v>423</v>
      </c>
    </row>
    <row r="18" spans="2:10" x14ac:dyDescent="0.2">
      <c r="B18" s="168" t="s">
        <v>424</v>
      </c>
      <c r="F18" s="168">
        <v>26</v>
      </c>
      <c r="I18" s="168" t="s">
        <v>476</v>
      </c>
      <c r="J18" s="168">
        <v>2022</v>
      </c>
    </row>
    <row r="19" spans="2:10" x14ac:dyDescent="0.2">
      <c r="B19" s="168" t="s">
        <v>426</v>
      </c>
    </row>
    <row r="20" spans="2:10" x14ac:dyDescent="0.2">
      <c r="B20" s="168" t="s">
        <v>427</v>
      </c>
      <c r="F20" s="168">
        <v>125</v>
      </c>
      <c r="J20" s="170">
        <v>44197</v>
      </c>
    </row>
    <row r="21" spans="2:10" x14ac:dyDescent="0.2">
      <c r="B21" s="168" t="s">
        <v>428</v>
      </c>
    </row>
    <row r="22" spans="2:10" x14ac:dyDescent="0.2">
      <c r="B22" s="168" t="s">
        <v>429</v>
      </c>
    </row>
    <row r="23" spans="2:10" x14ac:dyDescent="0.2">
      <c r="B23" s="168" t="s">
        <v>430</v>
      </c>
    </row>
    <row r="24" spans="2:10" x14ac:dyDescent="0.2">
      <c r="B24" s="168" t="s">
        <v>431</v>
      </c>
      <c r="F24" s="168">
        <v>65</v>
      </c>
      <c r="J24" s="168">
        <v>2022</v>
      </c>
    </row>
    <row r="25" spans="2:10" x14ac:dyDescent="0.2">
      <c r="B25" s="168" t="s">
        <v>464</v>
      </c>
      <c r="F25" s="168">
        <v>65</v>
      </c>
      <c r="J25" s="170">
        <v>44228</v>
      </c>
    </row>
    <row r="26" spans="2:10" x14ac:dyDescent="0.2">
      <c r="B26" s="168" t="s">
        <v>465</v>
      </c>
      <c r="F26" s="168">
        <v>50</v>
      </c>
      <c r="I26" s="168" t="s">
        <v>249</v>
      </c>
      <c r="J26" s="170">
        <v>44378</v>
      </c>
    </row>
    <row r="27" spans="2:10" x14ac:dyDescent="0.2">
      <c r="B27" s="168" t="s">
        <v>466</v>
      </c>
      <c r="F27" s="168">
        <v>50</v>
      </c>
      <c r="I27" s="168" t="s">
        <v>467</v>
      </c>
      <c r="J27" s="170">
        <v>44440</v>
      </c>
    </row>
    <row r="28" spans="2:10" x14ac:dyDescent="0.2">
      <c r="B28" s="168" t="s">
        <v>468</v>
      </c>
      <c r="F28" s="168">
        <v>42</v>
      </c>
      <c r="J28" s="170">
        <v>44440</v>
      </c>
    </row>
    <row r="29" spans="2:10" x14ac:dyDescent="0.2">
      <c r="B29" s="168" t="s">
        <v>469</v>
      </c>
      <c r="F29" s="168">
        <v>40</v>
      </c>
      <c r="J29" s="170">
        <v>44501</v>
      </c>
    </row>
    <row r="30" spans="2:10" x14ac:dyDescent="0.2">
      <c r="B30" s="168" t="s">
        <v>470</v>
      </c>
      <c r="F30" s="168">
        <v>30</v>
      </c>
      <c r="I30" s="168" t="s">
        <v>471</v>
      </c>
      <c r="J30" s="170">
        <v>44562</v>
      </c>
    </row>
    <row r="31" spans="2:10" x14ac:dyDescent="0.2">
      <c r="B31" s="168" t="s">
        <v>472</v>
      </c>
      <c r="F31" s="168">
        <v>30</v>
      </c>
      <c r="I31" s="168" t="s">
        <v>473</v>
      </c>
      <c r="J31" s="168">
        <v>2021</v>
      </c>
    </row>
    <row r="32" spans="2:10" x14ac:dyDescent="0.2">
      <c r="B32" s="168" t="s">
        <v>474</v>
      </c>
      <c r="F32" s="168">
        <v>27</v>
      </c>
      <c r="I32" s="168" t="s">
        <v>475</v>
      </c>
      <c r="J32" s="168">
        <v>2021</v>
      </c>
    </row>
    <row r="33" spans="2:10" x14ac:dyDescent="0.2">
      <c r="B33" s="168" t="s">
        <v>477</v>
      </c>
      <c r="F33" s="168">
        <v>23</v>
      </c>
      <c r="I33" s="168" t="s">
        <v>478</v>
      </c>
      <c r="J33" s="170">
        <v>44621</v>
      </c>
    </row>
    <row r="34" spans="2:10" x14ac:dyDescent="0.2">
      <c r="B34" s="168" t="s">
        <v>479</v>
      </c>
      <c r="F34" s="168">
        <v>25</v>
      </c>
      <c r="I34" s="168" t="s">
        <v>471</v>
      </c>
      <c r="J34" s="168">
        <v>2021</v>
      </c>
    </row>
    <row r="35" spans="2:10" x14ac:dyDescent="0.2">
      <c r="B35" s="168" t="s">
        <v>438</v>
      </c>
      <c r="I35" s="168" t="s">
        <v>440</v>
      </c>
    </row>
    <row r="36" spans="2:10" x14ac:dyDescent="0.2">
      <c r="B36" s="168" t="s">
        <v>443</v>
      </c>
      <c r="F36" s="168">
        <v>225</v>
      </c>
      <c r="J36" s="168">
        <v>2022</v>
      </c>
    </row>
    <row r="37" spans="2:10" x14ac:dyDescent="0.2">
      <c r="B37" s="168" t="s">
        <v>444</v>
      </c>
    </row>
    <row r="38" spans="2:10" x14ac:dyDescent="0.2">
      <c r="B38" s="168" t="s">
        <v>445</v>
      </c>
    </row>
    <row r="39" spans="2:10" x14ac:dyDescent="0.2">
      <c r="B39" s="168" t="s">
        <v>446</v>
      </c>
      <c r="F39" s="168">
        <v>159</v>
      </c>
    </row>
    <row r="40" spans="2:10" x14ac:dyDescent="0.2">
      <c r="B40" s="168" t="s">
        <v>447</v>
      </c>
      <c r="F40" s="168">
        <v>150</v>
      </c>
    </row>
    <row r="41" spans="2:10" x14ac:dyDescent="0.2">
      <c r="B41" s="168" t="s">
        <v>449</v>
      </c>
      <c r="F41" s="168">
        <v>150</v>
      </c>
    </row>
    <row r="42" spans="2:10" x14ac:dyDescent="0.2">
      <c r="B42" s="168" t="s">
        <v>450</v>
      </c>
      <c r="F42" s="168">
        <v>150</v>
      </c>
    </row>
    <row r="43" spans="2:10" x14ac:dyDescent="0.2">
      <c r="B43" s="168" t="s">
        <v>451</v>
      </c>
      <c r="F43" s="168">
        <v>150</v>
      </c>
    </row>
    <row r="44" spans="2:10" x14ac:dyDescent="0.2">
      <c r="B44" s="168" t="s">
        <v>452</v>
      </c>
      <c r="F44" s="168">
        <v>150</v>
      </c>
    </row>
    <row r="45" spans="2:10" x14ac:dyDescent="0.2">
      <c r="B45" s="168" t="s">
        <v>453</v>
      </c>
      <c r="F45" s="168">
        <v>150</v>
      </c>
    </row>
    <row r="46" spans="2:10" x14ac:dyDescent="0.2">
      <c r="B46" s="168" t="s">
        <v>454</v>
      </c>
      <c r="F46" s="168">
        <v>140</v>
      </c>
    </row>
    <row r="47" spans="2:10" x14ac:dyDescent="0.2">
      <c r="B47" s="168" t="s">
        <v>455</v>
      </c>
      <c r="F47" s="168">
        <v>138</v>
      </c>
    </row>
    <row r="48" spans="2:10" x14ac:dyDescent="0.2">
      <c r="B48" s="168" t="s">
        <v>456</v>
      </c>
      <c r="F48" s="168">
        <v>132</v>
      </c>
    </row>
    <row r="49" spans="2:10" x14ac:dyDescent="0.2">
      <c r="B49" s="168" t="s">
        <v>457</v>
      </c>
      <c r="F49" s="168">
        <v>125</v>
      </c>
    </row>
    <row r="50" spans="2:10" x14ac:dyDescent="0.2">
      <c r="B50" s="168" t="s">
        <v>458</v>
      </c>
      <c r="F50" s="168">
        <v>100</v>
      </c>
    </row>
    <row r="51" spans="2:10" x14ac:dyDescent="0.2">
      <c r="B51" s="168" t="s">
        <v>459</v>
      </c>
      <c r="F51" s="168">
        <v>100</v>
      </c>
      <c r="I51" s="168" t="s">
        <v>461</v>
      </c>
    </row>
    <row r="52" spans="2:10" x14ac:dyDescent="0.2">
      <c r="B52" s="168" t="s">
        <v>460</v>
      </c>
      <c r="F52" s="168">
        <v>100</v>
      </c>
    </row>
    <row r="53" spans="2:10" x14ac:dyDescent="0.2">
      <c r="B53" s="168" t="s">
        <v>462</v>
      </c>
      <c r="F53" s="168">
        <v>100</v>
      </c>
      <c r="J53" s="168">
        <v>2022</v>
      </c>
    </row>
    <row r="54" spans="2:10" x14ac:dyDescent="0.2">
      <c r="B54" s="168" t="s">
        <v>480</v>
      </c>
    </row>
    <row r="55" spans="2:10" x14ac:dyDescent="0.2">
      <c r="B55" s="168" t="s">
        <v>481</v>
      </c>
    </row>
    <row r="56" spans="2:10" x14ac:dyDescent="0.2">
      <c r="B56" s="168" t="s">
        <v>482</v>
      </c>
    </row>
    <row r="57" spans="2:10" x14ac:dyDescent="0.2">
      <c r="B57" s="168" t="s">
        <v>483</v>
      </c>
    </row>
    <row r="58" spans="2:10" x14ac:dyDescent="0.2">
      <c r="B58" s="168" t="s">
        <v>484</v>
      </c>
    </row>
    <row r="59" spans="2:10" x14ac:dyDescent="0.2">
      <c r="B59" s="168" t="s">
        <v>485</v>
      </c>
    </row>
    <row r="60" spans="2:10" x14ac:dyDescent="0.2">
      <c r="B60" s="168" t="s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27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7" sqref="F7"/>
    </sheetView>
  </sheetViews>
  <sheetFormatPr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x14ac:dyDescent="0.2">
      <c r="A3" s="72" t="s">
        <v>263</v>
      </c>
      <c r="B3" s="5" t="s">
        <v>7</v>
      </c>
      <c r="C3" s="20" t="s">
        <v>8</v>
      </c>
      <c r="D3" s="21">
        <v>252</v>
      </c>
      <c r="E3" s="22">
        <f>D3*[1]Main!$L$3</f>
        <v>1898568</v>
      </c>
      <c r="F3" s="22">
        <f>[1]Main!$L$5-[1]Main!$L$6</f>
        <v>65479</v>
      </c>
      <c r="G3" s="22">
        <f>+E3-F3</f>
        <v>1833089</v>
      </c>
      <c r="H3" s="22">
        <f>+[1]Main!$L$3</f>
        <v>7534</v>
      </c>
      <c r="I3" s="23" t="s">
        <v>14</v>
      </c>
    </row>
    <row r="4" spans="1:24" x14ac:dyDescent="0.2">
      <c r="A4" s="72" t="s">
        <v>263</v>
      </c>
      <c r="B4" s="5" t="s">
        <v>15</v>
      </c>
      <c r="C4" s="20" t="s">
        <v>16</v>
      </c>
      <c r="D4" s="21">
        <v>391.4</v>
      </c>
      <c r="E4" s="22">
        <f>+D4*[19]Main!$L$3*1000/HKD</f>
        <v>482256.9746999924</v>
      </c>
      <c r="F4" s="22">
        <f>([19]Main!$L$5-[19]Main!$L$6)/HKD*1000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4" s="20" customFormat="1" x14ac:dyDescent="0.2">
      <c r="A5" s="82" t="s">
        <v>263</v>
      </c>
      <c r="B5" s="5" t="s">
        <v>19</v>
      </c>
      <c r="C5" s="20" t="s">
        <v>20</v>
      </c>
      <c r="D5" s="21">
        <v>309.18</v>
      </c>
      <c r="E5" s="22">
        <f>+D5*[26]Main!$N$3</f>
        <v>146087.55000000002</v>
      </c>
      <c r="F5" s="22">
        <f>+[26]Main!$N$5-[26]Main!$N$6</f>
        <v>1173</v>
      </c>
      <c r="G5" s="22">
        <f t="shared" ref="G5:G7" si="0">+E5-F5</f>
        <v>144914.55000000002</v>
      </c>
      <c r="H5" s="22">
        <f>+[26]Main!$N$3</f>
        <v>472.5</v>
      </c>
      <c r="I5" s="23" t="s">
        <v>210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4" s="20" customFormat="1" x14ac:dyDescent="0.2">
      <c r="A6" s="82" t="s">
        <v>263</v>
      </c>
      <c r="B6" s="5" t="s">
        <v>269</v>
      </c>
      <c r="C6" s="82" t="s">
        <v>270</v>
      </c>
      <c r="D6" s="156">
        <v>12025</v>
      </c>
      <c r="E6" s="22">
        <f>D6*H6/JPY</f>
        <v>108755.68776016941</v>
      </c>
      <c r="F6" s="22">
        <f>([27]Main!$O$7-[27]Main!$O$8)/JPY</f>
        <v>3147.411085956328</v>
      </c>
      <c r="G6" s="22">
        <f t="shared" si="0"/>
        <v>105608.27667421309</v>
      </c>
      <c r="H6" s="22">
        <f>[27]Main!$O$4</f>
        <v>1238.413</v>
      </c>
      <c r="I6" s="157" t="s">
        <v>392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4" s="20" customFormat="1" x14ac:dyDescent="0.2">
      <c r="A7" s="155" t="s">
        <v>263</v>
      </c>
      <c r="B7" s="5" t="s">
        <v>269</v>
      </c>
      <c r="C7" s="155" t="s">
        <v>393</v>
      </c>
      <c r="D7" s="21">
        <v>87.8</v>
      </c>
      <c r="E7" s="22">
        <f>D7*H7</f>
        <v>108732.6614</v>
      </c>
      <c r="F7" s="22">
        <f>([27]Main!$O$7-[27]Main!$O$8)/JPY</f>
        <v>3147.411085956328</v>
      </c>
      <c r="G7" s="22">
        <f t="shared" si="0"/>
        <v>105585.25031404367</v>
      </c>
      <c r="H7" s="22">
        <f>[27]Main!$O$4</f>
        <v>1238.413</v>
      </c>
      <c r="I7" s="157" t="s">
        <v>392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s="20" customFormat="1" x14ac:dyDescent="0.2">
      <c r="A8" s="85" t="s">
        <v>263</v>
      </c>
      <c r="B8" s="85" t="s">
        <v>273</v>
      </c>
      <c r="C8" s="85" t="s">
        <v>274</v>
      </c>
      <c r="D8" s="21"/>
      <c r="E8" s="22"/>
      <c r="F8" s="22"/>
      <c r="G8" s="22"/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x14ac:dyDescent="0.2">
      <c r="A9" s="87" t="s">
        <v>263</v>
      </c>
      <c r="B9" s="5" t="s">
        <v>177</v>
      </c>
      <c r="C9" s="10" t="s">
        <v>178</v>
      </c>
      <c r="D9" s="10">
        <v>73.88</v>
      </c>
      <c r="E9" s="52">
        <f>+D9*H9</f>
        <v>57820.358567719995</v>
      </c>
      <c r="F9" s="52">
        <f>+[28]Main!$J$5-[28]Main!$J$6</f>
        <v>7078</v>
      </c>
      <c r="G9" s="22">
        <f t="shared" ref="G9" si="1">+E9-F9</f>
        <v>50742.358567719995</v>
      </c>
      <c r="H9" s="52">
        <f>+[28]Main!$J$3</f>
        <v>782.62531899999999</v>
      </c>
      <c r="I9" s="146" t="s">
        <v>361</v>
      </c>
      <c r="J9" s="67">
        <v>44946</v>
      </c>
    </row>
    <row r="10" spans="1:24" x14ac:dyDescent="0.2">
      <c r="A10" s="87" t="s">
        <v>263</v>
      </c>
      <c r="B10" s="10" t="s">
        <v>179</v>
      </c>
      <c r="C10" s="46" t="s">
        <v>242</v>
      </c>
      <c r="D10" s="52">
        <v>59910</v>
      </c>
      <c r="E10" s="52" cm="1">
        <f t="array" ref="E10">6975000/JPY</f>
        <v>50938.435697071494</v>
      </c>
    </row>
    <row r="11" spans="1:24" x14ac:dyDescent="0.2">
      <c r="A11" s="88" t="s">
        <v>263</v>
      </c>
      <c r="B11" s="88" t="s">
        <v>277</v>
      </c>
      <c r="C11" s="88" t="s">
        <v>278</v>
      </c>
      <c r="D11" s="52"/>
      <c r="E11" s="52"/>
    </row>
    <row r="12" spans="1:24" x14ac:dyDescent="0.2">
      <c r="A12" s="98" t="s">
        <v>263</v>
      </c>
      <c r="B12" s="98" t="s">
        <v>295</v>
      </c>
      <c r="C12" s="98" t="s">
        <v>296</v>
      </c>
      <c r="D12" s="52"/>
      <c r="E12" s="52"/>
    </row>
    <row r="13" spans="1:24" x14ac:dyDescent="0.2">
      <c r="A13" s="98" t="s">
        <v>263</v>
      </c>
      <c r="B13" s="5" t="s">
        <v>173</v>
      </c>
      <c r="C13" s="10" t="s">
        <v>174</v>
      </c>
      <c r="D13" s="10">
        <v>130.47999999999999</v>
      </c>
      <c r="E13" s="52">
        <f>+D13*H13</f>
        <v>36664.879999999997</v>
      </c>
      <c r="F13" s="52">
        <f>+[29]Main!$N$5-[29]Main!$N$6</f>
        <v>538</v>
      </c>
      <c r="G13" s="52">
        <f>+E13-F13</f>
        <v>36126.879999999997</v>
      </c>
      <c r="H13" s="10">
        <f>+[29]Main!$N$3</f>
        <v>281</v>
      </c>
      <c r="I13" s="66" t="s">
        <v>210</v>
      </c>
      <c r="J13" s="67">
        <v>44799</v>
      </c>
      <c r="X13" s="10">
        <v>1982</v>
      </c>
    </row>
    <row r="14" spans="1:24" s="1" customFormat="1" x14ac:dyDescent="0.2">
      <c r="A14" s="1" t="s">
        <v>263</v>
      </c>
      <c r="B14" s="5" t="s">
        <v>77</v>
      </c>
      <c r="C14" s="1" t="s">
        <v>78</v>
      </c>
      <c r="D14" s="2">
        <v>37.76</v>
      </c>
      <c r="E14" s="3">
        <f>D14*H14</f>
        <v>22849.913459200001</v>
      </c>
      <c r="F14" s="3">
        <f>[30]Main!$L$5-[30]Main!$L$6</f>
        <v>1988</v>
      </c>
      <c r="G14" s="3">
        <f>+E14-F14</f>
        <v>20861.913459200001</v>
      </c>
      <c r="H14" s="3">
        <f>[30]Main!$L$3</f>
        <v>605.13542000000007</v>
      </c>
      <c r="I14" s="4" t="s">
        <v>392</v>
      </c>
      <c r="J14" s="154">
        <v>44987</v>
      </c>
      <c r="X14" s="1">
        <v>2004</v>
      </c>
    </row>
    <row r="15" spans="1:24" s="1" customFormat="1" x14ac:dyDescent="0.2">
      <c r="A15" s="1" t="s">
        <v>263</v>
      </c>
      <c r="B15" s="137" t="s">
        <v>342</v>
      </c>
      <c r="C15" s="1" t="s">
        <v>343</v>
      </c>
      <c r="D15" s="2"/>
      <c r="E15" s="3"/>
      <c r="F15" s="3"/>
      <c r="G15" s="3"/>
      <c r="H15" s="4"/>
      <c r="I15" s="4"/>
    </row>
    <row r="16" spans="1:24" x14ac:dyDescent="0.2">
      <c r="B16" s="10" t="s">
        <v>175</v>
      </c>
      <c r="C16" s="10" t="s">
        <v>176</v>
      </c>
      <c r="D16" s="10">
        <v>127.74</v>
      </c>
      <c r="E16" s="52">
        <v>21290</v>
      </c>
    </row>
    <row r="17" spans="2:23" s="1" customFormat="1" x14ac:dyDescent="0.2">
      <c r="B17" s="1" t="s">
        <v>88</v>
      </c>
      <c r="C17" s="1" t="s">
        <v>89</v>
      </c>
      <c r="D17" s="2">
        <v>45.8</v>
      </c>
      <c r="E17" s="3">
        <v>14330</v>
      </c>
      <c r="F17" s="4"/>
      <c r="G17" s="4"/>
      <c r="H17" s="4"/>
    </row>
    <row r="18" spans="2:23" s="1" customFormat="1" x14ac:dyDescent="0.2">
      <c r="B18" s="1" t="s">
        <v>261</v>
      </c>
      <c r="C18" s="1" t="s">
        <v>262</v>
      </c>
      <c r="D18" s="2"/>
      <c r="E18" s="3"/>
      <c r="F18" s="4"/>
      <c r="G18" s="4"/>
      <c r="H18" s="4"/>
    </row>
    <row r="19" spans="2:23" s="20" customFormat="1" x14ac:dyDescent="0.2">
      <c r="B19" s="114" t="s">
        <v>75</v>
      </c>
      <c r="C19" s="20" t="s">
        <v>76</v>
      </c>
      <c r="D19" s="21">
        <v>102.23</v>
      </c>
      <c r="E19" s="22">
        <f>+D19*[31]Main!$K$3</f>
        <v>20147.20788088</v>
      </c>
      <c r="F19" s="22">
        <f>+[31]Main!$K$5-[31]Main!$K$6</f>
        <v>3155</v>
      </c>
      <c r="G19" s="22">
        <f>E19-F19</f>
        <v>16992.20788088</v>
      </c>
      <c r="H19" s="22"/>
      <c r="I19" s="23" t="s">
        <v>14</v>
      </c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</row>
    <row r="20" spans="2:23" s="20" customFormat="1" x14ac:dyDescent="0.2">
      <c r="B20" s="65" t="s">
        <v>260</v>
      </c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D21" s="21"/>
      <c r="E21" s="22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s="20" customFormat="1" x14ac:dyDescent="0.2"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s="20" customFormat="1" x14ac:dyDescent="0.2"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3" x14ac:dyDescent="0.2">
      <c r="B24" s="1" t="s">
        <v>54</v>
      </c>
      <c r="C24" s="1"/>
      <c r="D24" s="2"/>
      <c r="E24" s="3">
        <v>31500</v>
      </c>
    </row>
    <row r="25" spans="2:23" s="20" customFormat="1" x14ac:dyDescent="0.2">
      <c r="B25" s="20" t="s">
        <v>58</v>
      </c>
      <c r="D25" s="21"/>
      <c r="E25" s="22">
        <v>27000</v>
      </c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3" s="20" customFormat="1" x14ac:dyDescent="0.2">
      <c r="B26" s="20" t="s">
        <v>112</v>
      </c>
      <c r="D26" s="21"/>
      <c r="E26" s="22">
        <v>10000</v>
      </c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2:23" x14ac:dyDescent="0.2">
      <c r="B27" s="63" t="s">
        <v>259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19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3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2.75" x14ac:dyDescent="0.2"/>
  <cols>
    <col min="1" max="1" width="5" style="10" bestFit="1" customWidth="1"/>
    <col min="2" max="2" width="18.28515625" style="10" customWidth="1"/>
    <col min="3" max="3" width="10.5703125" style="10" bestFit="1" customWidth="1"/>
    <col min="4" max="9" width="9.140625" style="68"/>
    <col min="10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s="52" customFormat="1" x14ac:dyDescent="0.2">
      <c r="A3" s="71" t="s">
        <v>263</v>
      </c>
      <c r="B3" s="52" t="s">
        <v>168</v>
      </c>
      <c r="C3" s="52" t="s">
        <v>169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 t="s">
        <v>263</v>
      </c>
      <c r="B4" s="52" t="s">
        <v>170</v>
      </c>
      <c r="C4" s="112" t="s">
        <v>325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 t="s">
        <v>263</v>
      </c>
      <c r="B5" s="83" t="s">
        <v>267</v>
      </c>
      <c r="C5" s="83" t="s">
        <v>268</v>
      </c>
      <c r="D5" s="69"/>
      <c r="E5" s="70"/>
      <c r="F5" s="70"/>
      <c r="G5" s="70"/>
      <c r="H5" s="70"/>
      <c r="I5" s="70"/>
    </row>
    <row r="6" spans="1:24" s="52" customFormat="1" x14ac:dyDescent="0.2">
      <c r="A6" s="84" t="s">
        <v>263</v>
      </c>
      <c r="B6" s="84" t="s">
        <v>271</v>
      </c>
      <c r="C6" s="84" t="s">
        <v>272</v>
      </c>
      <c r="D6" s="69"/>
      <c r="E6" s="70"/>
      <c r="F6" s="70"/>
      <c r="G6" s="70"/>
      <c r="H6" s="70"/>
      <c r="I6" s="70"/>
    </row>
    <row r="7" spans="1:24" s="20" customFormat="1" x14ac:dyDescent="0.2">
      <c r="A7" s="82" t="s">
        <v>263</v>
      </c>
      <c r="B7" s="143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[32]Main!$L$5-[32]Main!$L$6</f>
        <v>-2851</v>
      </c>
      <c r="G7" s="22">
        <f>E7-F7</f>
        <v>119466.20633988002</v>
      </c>
      <c r="H7" s="22">
        <f>+[32]Main!$L$3</f>
        <v>281.86987900000003</v>
      </c>
      <c r="I7" s="132" t="s">
        <v>210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 t="s">
        <v>263</v>
      </c>
      <c r="B8" s="57" t="s">
        <v>31</v>
      </c>
      <c r="C8" s="57" t="s">
        <v>32</v>
      </c>
      <c r="D8" s="60">
        <v>87.2</v>
      </c>
      <c r="E8" s="3">
        <v>100981</v>
      </c>
      <c r="F8" s="70"/>
      <c r="G8" s="70"/>
      <c r="H8" s="70"/>
      <c r="I8" s="70"/>
    </row>
    <row r="9" spans="1:24" x14ac:dyDescent="0.2">
      <c r="A9" s="87" t="s">
        <v>263</v>
      </c>
      <c r="B9" s="87" t="s">
        <v>275</v>
      </c>
      <c r="C9" s="87" t="s">
        <v>276</v>
      </c>
    </row>
    <row r="10" spans="1:24" x14ac:dyDescent="0.2">
      <c r="A10" s="88" t="s">
        <v>263</v>
      </c>
      <c r="B10" s="88" t="s">
        <v>279</v>
      </c>
      <c r="C10" s="88" t="s">
        <v>280</v>
      </c>
    </row>
    <row r="11" spans="1:24" s="52" customFormat="1" x14ac:dyDescent="0.2">
      <c r="A11" s="91" t="s">
        <v>263</v>
      </c>
      <c r="B11" s="59" t="s">
        <v>253</v>
      </c>
      <c r="C11" s="52" t="s">
        <v>167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 t="s">
        <v>263</v>
      </c>
      <c r="B12" s="91" t="s">
        <v>281</v>
      </c>
      <c r="C12" s="91" t="s">
        <v>282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3" t="s">
        <v>263</v>
      </c>
      <c r="B13" s="93" t="s">
        <v>283</v>
      </c>
      <c r="C13" s="93" t="s">
        <v>284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9" t="s">
        <v>263</v>
      </c>
      <c r="B14" s="99" t="s">
        <v>299</v>
      </c>
      <c r="C14" s="99" t="s">
        <v>299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9" t="s">
        <v>263</v>
      </c>
      <c r="B15" s="99" t="s">
        <v>300</v>
      </c>
      <c r="C15" s="99" t="s">
        <v>301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4" t="s">
        <v>263</v>
      </c>
      <c r="B16" s="104" t="s">
        <v>304</v>
      </c>
      <c r="C16" s="104" t="s">
        <v>305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6" t="s">
        <v>263</v>
      </c>
      <c r="B17" s="106" t="s">
        <v>307</v>
      </c>
      <c r="C17" s="106" t="s">
        <v>308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9" t="s">
        <v>263</v>
      </c>
      <c r="B18" s="109" t="s">
        <v>317</v>
      </c>
      <c r="C18" s="109" t="s">
        <v>318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B21" s="57" t="s">
        <v>106</v>
      </c>
      <c r="C21" s="57" t="s">
        <v>107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8" t="s">
        <v>263</v>
      </c>
      <c r="B22" s="117" t="s">
        <v>311</v>
      </c>
      <c r="C22" s="108" t="s">
        <v>312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7" spans="1:23" s="52" customFormat="1" x14ac:dyDescent="0.2">
      <c r="B27" s="58" t="s">
        <v>33</v>
      </c>
      <c r="C27" s="58" t="s">
        <v>156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2">
      <c r="B28" s="57" t="s">
        <v>59</v>
      </c>
      <c r="C28" s="57"/>
      <c r="D28" s="61">
        <v>0</v>
      </c>
      <c r="E28" s="3">
        <v>26000</v>
      </c>
    </row>
    <row r="29" spans="1:23" x14ac:dyDescent="0.2">
      <c r="B29" s="57" t="s">
        <v>87</v>
      </c>
      <c r="C29" s="57"/>
      <c r="D29" s="61">
        <v>0</v>
      </c>
      <c r="E29" s="3">
        <v>15000</v>
      </c>
    </row>
    <row r="30" spans="1:23" x14ac:dyDescent="0.2">
      <c r="B30" s="56" t="s">
        <v>252</v>
      </c>
      <c r="D30" s="61">
        <v>0</v>
      </c>
      <c r="E30" s="68">
        <v>75</v>
      </c>
    </row>
    <row r="31" spans="1:23" x14ac:dyDescent="0.2">
      <c r="B31" s="62" t="s">
        <v>254</v>
      </c>
      <c r="D31" s="61">
        <v>0</v>
      </c>
    </row>
    <row r="32" spans="1:23" x14ac:dyDescent="0.2">
      <c r="B32" s="94" t="s">
        <v>285</v>
      </c>
      <c r="E32" s="68">
        <v>424</v>
      </c>
    </row>
    <row r="33" spans="2:5" x14ac:dyDescent="0.2">
      <c r="B33" s="94" t="s">
        <v>287</v>
      </c>
      <c r="E33" s="68">
        <v>159.5</v>
      </c>
    </row>
  </sheetData>
  <hyperlinks>
    <hyperlink ref="A1" location="Main!A1" display="Main" xr:uid="{A1A6C7BE-B827-4E66-8B30-A4C4FF1A4224}"/>
    <hyperlink ref="B7" r:id="rId1" xr:uid="{B2FAC7EC-CB56-42A3-96CC-14E909698321}"/>
  </hyperlinks>
  <pageMargins left="0.7" right="0.7" top="0.75" bottom="0.75" header="0.3" footer="0.3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9" sqref="G9"/>
    </sheetView>
  </sheetViews>
  <sheetFormatPr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148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x14ac:dyDescent="0.2">
      <c r="A3" s="72" t="s">
        <v>263</v>
      </c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[6]Main!$K$5-[6]Main!$K$6</f>
        <v>-257</v>
      </c>
      <c r="G3" s="3">
        <f>+E3-F3</f>
        <v>1015174.44</v>
      </c>
      <c r="H3" s="52">
        <f>+[6]Main!$K$3</f>
        <v>10331</v>
      </c>
      <c r="I3" s="4" t="s">
        <v>14</v>
      </c>
      <c r="J3" s="67">
        <v>44967</v>
      </c>
    </row>
    <row r="4" spans="1:24" s="20" customFormat="1" x14ac:dyDescent="0.2">
      <c r="A4" s="72" t="s">
        <v>263</v>
      </c>
      <c r="B4" s="5" t="s">
        <v>17</v>
      </c>
      <c r="C4" s="20" t="s">
        <v>18</v>
      </c>
      <c r="D4" s="21">
        <v>115.9</v>
      </c>
      <c r="E4" s="22">
        <f>D4*[33]Main!$L$3</f>
        <v>310046.98749999999</v>
      </c>
      <c r="F4" s="22" cm="1">
        <f t="array" ref="F4">([33]Main!$L$5-[33]Main!$L$6)/RMB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 t="s">
        <v>263</v>
      </c>
      <c r="B5" s="5" t="s">
        <v>17</v>
      </c>
      <c r="C5" s="1" t="s">
        <v>18</v>
      </c>
      <c r="D5" s="2">
        <v>115.9</v>
      </c>
      <c r="E5" s="3">
        <f>D5*[33]Main!$L$3</f>
        <v>310046.98749999999</v>
      </c>
      <c r="F5" s="3" cm="1">
        <f t="array" ref="F5">([33]Main!$L$5-[33]Main!$L$6)/RMB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 t="s">
        <v>263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 t="s">
        <v>263</v>
      </c>
      <c r="B7" s="82" t="s">
        <v>264</v>
      </c>
      <c r="C7" s="82" t="s">
        <v>265</v>
      </c>
    </row>
    <row r="8" spans="1:24" x14ac:dyDescent="0.2">
      <c r="A8" s="86" t="s">
        <v>263</v>
      </c>
      <c r="B8" s="11" t="s">
        <v>208</v>
      </c>
      <c r="C8" s="11" t="s">
        <v>209</v>
      </c>
    </row>
    <row r="9" spans="1:24" x14ac:dyDescent="0.2">
      <c r="A9" s="87" t="s">
        <v>263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+[34]Main!$L$5-[34]Main!$L$6</f>
        <v>7643.4470000000001</v>
      </c>
      <c r="G9" s="22">
        <f>E9-F9</f>
        <v>66071.040644859997</v>
      </c>
      <c r="H9" s="52">
        <f>+[34]Main!$L$3</f>
        <v>633.17718300000001</v>
      </c>
      <c r="I9" s="153" t="s">
        <v>361</v>
      </c>
      <c r="J9" s="67">
        <v>44971</v>
      </c>
    </row>
    <row r="10" spans="1:24" x14ac:dyDescent="0.2">
      <c r="A10" s="86" t="s">
        <v>263</v>
      </c>
      <c r="B10" s="11" t="s">
        <v>206</v>
      </c>
      <c r="C10" s="11" t="s">
        <v>207</v>
      </c>
    </row>
    <row r="11" spans="1:24" x14ac:dyDescent="0.2">
      <c r="A11" s="98" t="s">
        <v>263</v>
      </c>
      <c r="B11" s="98" t="s">
        <v>295</v>
      </c>
      <c r="C11" s="98" t="s">
        <v>296</v>
      </c>
    </row>
    <row r="12" spans="1:24" x14ac:dyDescent="0.2">
      <c r="A12" s="96" t="s">
        <v>263</v>
      </c>
      <c r="B12" s="10" t="s">
        <v>42</v>
      </c>
      <c r="C12" s="10" t="s">
        <v>43</v>
      </c>
    </row>
    <row r="13" spans="1:24" s="20" customFormat="1" x14ac:dyDescent="0.2">
      <c r="A13" s="98" t="s">
        <v>263</v>
      </c>
      <c r="B13" s="5" t="s">
        <v>36</v>
      </c>
      <c r="C13" s="20" t="s">
        <v>37</v>
      </c>
      <c r="D13" s="21">
        <v>36.71</v>
      </c>
      <c r="E13" s="22">
        <f>+D13*[35]Main!$M$3</f>
        <v>46254.6</v>
      </c>
      <c r="F13" s="22">
        <f>+[35]Main!$M$5-[35]Main!$M$6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8" t="s">
        <v>263</v>
      </c>
      <c r="B14" s="98" t="s">
        <v>297</v>
      </c>
      <c r="C14" s="98" t="s">
        <v>298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8" t="s">
        <v>263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2">
      <c r="A16" s="108" t="s">
        <v>263</v>
      </c>
      <c r="B16" s="108" t="s">
        <v>313</v>
      </c>
      <c r="C16" s="108" t="s">
        <v>314</v>
      </c>
    </row>
    <row r="17" spans="1:23" x14ac:dyDescent="0.2">
      <c r="A17" s="108" t="s">
        <v>263</v>
      </c>
      <c r="B17" s="108" t="s">
        <v>315</v>
      </c>
      <c r="C17" s="108" t="s">
        <v>316</v>
      </c>
    </row>
    <row r="18" spans="1:23" x14ac:dyDescent="0.2">
      <c r="A18" s="110" t="s">
        <v>263</v>
      </c>
      <c r="B18" s="110" t="s">
        <v>319</v>
      </c>
      <c r="C18" s="110" t="s">
        <v>320</v>
      </c>
    </row>
    <row r="19" spans="1:23" x14ac:dyDescent="0.2">
      <c r="A19" s="111" t="s">
        <v>263</v>
      </c>
      <c r="B19" s="111" t="s">
        <v>321</v>
      </c>
      <c r="C19" s="111" t="s">
        <v>322</v>
      </c>
    </row>
    <row r="20" spans="1:23" x14ac:dyDescent="0.2">
      <c r="A20" s="135" t="s">
        <v>263</v>
      </c>
      <c r="B20" s="10" t="s">
        <v>163</v>
      </c>
      <c r="C20" s="10" t="s">
        <v>164</v>
      </c>
    </row>
    <row r="21" spans="1:23" x14ac:dyDescent="0.2">
      <c r="B21" s="1" t="s">
        <v>98</v>
      </c>
      <c r="C21" s="1" t="s">
        <v>99</v>
      </c>
      <c r="D21" s="2">
        <v>2.5099999999999998</v>
      </c>
      <c r="E21" s="3">
        <v>12580</v>
      </c>
    </row>
    <row r="22" spans="1:23" x14ac:dyDescent="0.2">
      <c r="B22" s="10" t="s">
        <v>165</v>
      </c>
      <c r="C22" s="10" t="s">
        <v>166</v>
      </c>
    </row>
    <row r="23" spans="1:23" s="20" customFormat="1" x14ac:dyDescent="0.2">
      <c r="B23" s="20" t="s">
        <v>137</v>
      </c>
      <c r="C23" s="20" t="s">
        <v>138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389</v>
      </c>
      <c r="C24" s="148" t="s">
        <v>390</v>
      </c>
      <c r="D24" s="10">
        <v>8.86</v>
      </c>
      <c r="E24" s="52">
        <f>+D24*H24</f>
        <v>963.51364147999993</v>
      </c>
      <c r="F24" s="52">
        <f>+[36]Main!$K$5-[36]Main!$K$6</f>
        <v>-1163.2909999999999</v>
      </c>
      <c r="G24" s="52">
        <f>+E24-F24</f>
        <v>2126.8046414800001</v>
      </c>
      <c r="H24" s="52">
        <f>+[36]Main!$K$3</f>
        <v>108.748718</v>
      </c>
      <c r="I24" s="152" t="s">
        <v>361</v>
      </c>
      <c r="J24" s="67">
        <v>44965</v>
      </c>
    </row>
    <row r="25" spans="1:23" x14ac:dyDescent="0.2">
      <c r="B25" s="151" t="s">
        <v>391</v>
      </c>
    </row>
    <row r="29" spans="1:23" x14ac:dyDescent="0.2">
      <c r="B29" s="1" t="s">
        <v>121</v>
      </c>
      <c r="C29" s="1"/>
      <c r="D29" s="2"/>
      <c r="E29" s="3">
        <v>8333</v>
      </c>
    </row>
    <row r="30" spans="1:23" x14ac:dyDescent="0.2">
      <c r="B30" s="20" t="s">
        <v>64</v>
      </c>
      <c r="C30" s="20"/>
      <c r="D30" s="21"/>
      <c r="E30" s="22">
        <v>22000</v>
      </c>
    </row>
    <row r="31" spans="1:23" x14ac:dyDescent="0.2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148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263</v>
      </c>
      <c r="B3" s="10" t="s">
        <v>157</v>
      </c>
      <c r="C3" s="10" t="s">
        <v>158</v>
      </c>
    </row>
    <row r="4" spans="1:8" x14ac:dyDescent="0.2">
      <c r="A4" s="90" t="s">
        <v>263</v>
      </c>
      <c r="B4" s="10" t="s">
        <v>162</v>
      </c>
      <c r="C4" s="10" t="s">
        <v>161</v>
      </c>
    </row>
    <row r="5" spans="1:8" x14ac:dyDescent="0.2">
      <c r="A5" s="92" t="s">
        <v>263</v>
      </c>
      <c r="B5" s="10" t="s">
        <v>159</v>
      </c>
      <c r="C5" s="10" t="s">
        <v>160</v>
      </c>
    </row>
    <row r="6" spans="1:8" x14ac:dyDescent="0.2">
      <c r="A6" s="101" t="s">
        <v>263</v>
      </c>
      <c r="B6" s="101" t="s">
        <v>302</v>
      </c>
      <c r="C6" s="101" t="s">
        <v>303</v>
      </c>
    </row>
    <row r="7" spans="1:8" s="1" customFormat="1" x14ac:dyDescent="0.2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199</v>
      </c>
      <c r="C8" s="10" t="s">
        <v>200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148</v>
      </c>
    </row>
    <row r="2" spans="1:3" x14ac:dyDescent="0.2">
      <c r="B2" s="45" t="s">
        <v>152</v>
      </c>
      <c r="C2" s="45">
        <v>7.8498000000000001</v>
      </c>
    </row>
    <row r="3" spans="1:3" x14ac:dyDescent="0.2">
      <c r="B3" s="45" t="s">
        <v>153</v>
      </c>
      <c r="C3" s="45">
        <v>6.74</v>
      </c>
    </row>
    <row r="4" spans="1:3" x14ac:dyDescent="0.2">
      <c r="B4" s="45" t="s">
        <v>217</v>
      </c>
      <c r="C4" s="45">
        <v>1.01</v>
      </c>
    </row>
    <row r="5" spans="1:3" x14ac:dyDescent="0.2">
      <c r="B5" s="45" t="s">
        <v>235</v>
      </c>
      <c r="C5" s="45">
        <v>10.3437</v>
      </c>
    </row>
    <row r="6" spans="1:3" x14ac:dyDescent="0.2">
      <c r="B6" s="46" t="s">
        <v>243</v>
      </c>
      <c r="C6" s="45">
        <v>136.93</v>
      </c>
    </row>
    <row r="7" spans="1:3" x14ac:dyDescent="0.2">
      <c r="B7" s="46" t="s">
        <v>244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148</v>
      </c>
    </row>
    <row r="2" spans="1:7" x14ac:dyDescent="0.2">
      <c r="B2" s="6" t="s">
        <v>0</v>
      </c>
      <c r="C2" s="7" t="s">
        <v>151</v>
      </c>
      <c r="D2" s="12" t="s">
        <v>213</v>
      </c>
      <c r="E2" s="46" t="s">
        <v>224</v>
      </c>
      <c r="F2" s="46" t="s">
        <v>246</v>
      </c>
      <c r="G2" s="53" t="s">
        <v>250</v>
      </c>
    </row>
    <row r="3" spans="1:7" x14ac:dyDescent="0.2">
      <c r="B3" s="8" t="s">
        <v>33</v>
      </c>
      <c r="C3" s="7">
        <v>100000</v>
      </c>
      <c r="D3" s="12" t="s">
        <v>214</v>
      </c>
    </row>
    <row r="4" spans="1:7" x14ac:dyDescent="0.2">
      <c r="B4" s="6" t="s">
        <v>87</v>
      </c>
      <c r="C4" s="7">
        <v>15000</v>
      </c>
      <c r="D4" s="12" t="s">
        <v>214</v>
      </c>
    </row>
    <row r="5" spans="1:7" x14ac:dyDescent="0.2">
      <c r="B5" s="6" t="s">
        <v>126</v>
      </c>
      <c r="C5" s="7">
        <v>8000</v>
      </c>
      <c r="D5" s="12" t="s">
        <v>215</v>
      </c>
    </row>
    <row r="6" spans="1:7" x14ac:dyDescent="0.2">
      <c r="B6" s="6" t="s">
        <v>146</v>
      </c>
      <c r="D6" s="12" t="s">
        <v>216</v>
      </c>
    </row>
    <row r="7" spans="1:7" x14ac:dyDescent="0.2">
      <c r="B7" s="6" t="s">
        <v>147</v>
      </c>
      <c r="D7" s="12" t="s">
        <v>216</v>
      </c>
    </row>
    <row r="8" spans="1:7" x14ac:dyDescent="0.2">
      <c r="B8" s="12" t="s">
        <v>211</v>
      </c>
      <c r="D8" s="12" t="s">
        <v>212</v>
      </c>
    </row>
    <row r="9" spans="1:7" x14ac:dyDescent="0.2">
      <c r="B9" s="46" t="s">
        <v>245</v>
      </c>
      <c r="D9" s="46" t="s">
        <v>214</v>
      </c>
      <c r="E9" s="6">
        <v>2021</v>
      </c>
      <c r="F9" s="46" t="s">
        <v>247</v>
      </c>
      <c r="G9" s="53" t="s">
        <v>251</v>
      </c>
    </row>
    <row r="10" spans="1:7" x14ac:dyDescent="0.2">
      <c r="B10" s="53" t="s">
        <v>248</v>
      </c>
      <c r="D10" s="53" t="s">
        <v>249</v>
      </c>
      <c r="E10" s="6">
        <v>2021</v>
      </c>
      <c r="G10" s="53" t="s">
        <v>251</v>
      </c>
    </row>
    <row r="11" spans="1:7" x14ac:dyDescent="0.2">
      <c r="B11" s="165" t="s">
        <v>402</v>
      </c>
      <c r="D11" s="165" t="s">
        <v>403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6</vt:i4>
      </vt:variant>
    </vt:vector>
  </HeadingPairs>
  <TitlesOfParts>
    <vt:vector size="20" baseType="lpstr"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AI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2023-04-24T02:16:57Z</dcterms:modified>
  <cp:category/>
  <cp:contentStatus/>
</cp:coreProperties>
</file>