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E03FA2FB-6C55-4FC0-A2CC-0D10810F6130}" xr6:coauthVersionLast="47" xr6:coauthVersionMax="47" xr10:uidLastSave="{00000000-0000-0000-0000-000000000000}"/>
  <bookViews>
    <workbookView xWindow="8685" yWindow="285" windowWidth="19245" windowHeight="14865" activeTab="1" xr2:uid="{00000000-000D-0000-FFFF-FFFF00000000}"/>
  </bookViews>
  <sheets>
    <sheet name="Master" sheetId="4" r:id="rId1"/>
    <sheet name="Main" sheetId="2" r:id="rId2"/>
    <sheet name="Model" sheetId="1" r:id="rId3"/>
    <sheet name="Humira" sheetId="3" r:id="rId4"/>
    <sheet name="Rinvoq" sheetId="5" r:id="rId5"/>
    <sheet name="Skyrizi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I47" i="1" l="1"/>
  <c r="BJ47" i="1"/>
  <c r="BJ48" i="1"/>
  <c r="BI48" i="1"/>
  <c r="BJ46" i="1"/>
  <c r="BI46" i="1"/>
  <c r="BJ45" i="1"/>
  <c r="BI45" i="1"/>
  <c r="BJ44" i="1"/>
  <c r="BI44" i="1"/>
  <c r="BJ43" i="1"/>
  <c r="BI43" i="1"/>
  <c r="BJ42" i="1"/>
  <c r="BI42" i="1"/>
  <c r="BJ41" i="1"/>
  <c r="BI41" i="1"/>
  <c r="BJ40" i="1"/>
  <c r="BI40" i="1"/>
  <c r="BJ39" i="1"/>
  <c r="BI39" i="1"/>
  <c r="BJ38" i="1"/>
  <c r="BI38" i="1"/>
  <c r="BJ37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4" i="1"/>
  <c r="BI3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4" i="1"/>
  <c r="BJ3" i="1"/>
  <c r="AT24" i="1"/>
  <c r="AS24" i="1"/>
  <c r="AT23" i="1"/>
  <c r="AS23" i="1"/>
  <c r="AT22" i="1"/>
  <c r="AS22" i="1"/>
  <c r="AT21" i="1"/>
  <c r="AS21" i="1"/>
  <c r="AT20" i="1"/>
  <c r="AS20" i="1"/>
  <c r="AT19" i="1"/>
  <c r="AS19" i="1"/>
  <c r="AT18" i="1"/>
  <c r="AS18" i="1"/>
  <c r="AT17" i="1"/>
  <c r="AS17" i="1"/>
  <c r="AT16" i="1"/>
  <c r="AS16" i="1"/>
  <c r="AT15" i="1"/>
  <c r="AS15" i="1"/>
  <c r="AT14" i="1"/>
  <c r="AS14" i="1"/>
  <c r="AT13" i="1"/>
  <c r="AS13" i="1"/>
  <c r="AT12" i="1"/>
  <c r="AS12" i="1"/>
  <c r="AT11" i="1"/>
  <c r="AS11" i="1"/>
  <c r="AT10" i="1"/>
  <c r="AS10" i="1"/>
  <c r="AT9" i="1"/>
  <c r="AS9" i="1"/>
  <c r="AR58" i="1"/>
  <c r="AQ58" i="1"/>
  <c r="AP58" i="1"/>
  <c r="AO58" i="1"/>
  <c r="AN58" i="1"/>
  <c r="AM58" i="1"/>
  <c r="AL58" i="1"/>
  <c r="AK58" i="1"/>
  <c r="AT43" i="1"/>
  <c r="AS43" i="1"/>
  <c r="AT40" i="1"/>
  <c r="AS40" i="1"/>
  <c r="AT39" i="1"/>
  <c r="AS39" i="1"/>
  <c r="AL57" i="1"/>
  <c r="AT41" i="1"/>
  <c r="AS41" i="1"/>
  <c r="AS48" i="1"/>
  <c r="AT48" i="1" s="1"/>
  <c r="AQ55" i="1"/>
  <c r="AP55" i="1"/>
  <c r="AO55" i="1"/>
  <c r="AQ54" i="1"/>
  <c r="AP54" i="1"/>
  <c r="AO54" i="1"/>
  <c r="AR55" i="1"/>
  <c r="AR54" i="1"/>
  <c r="AT8" i="1"/>
  <c r="AT55" i="1" s="1"/>
  <c r="AS8" i="1"/>
  <c r="AS55" i="1" s="1"/>
  <c r="AT7" i="1"/>
  <c r="AT54" i="1" s="1"/>
  <c r="AS7" i="1"/>
  <c r="AS54" i="1" s="1"/>
  <c r="AT6" i="1"/>
  <c r="AT53" i="1"/>
  <c r="AS6" i="1"/>
  <c r="AS53" i="1" s="1"/>
  <c r="AT5" i="1"/>
  <c r="AT52" i="1" s="1"/>
  <c r="AS5" i="1"/>
  <c r="AS52" i="1" s="1"/>
  <c r="AT3" i="1"/>
  <c r="AT51" i="1" s="1"/>
  <c r="AS3" i="1"/>
  <c r="AS51" i="1" s="1"/>
  <c r="AR53" i="1"/>
  <c r="AR52" i="1"/>
  <c r="AR51" i="1"/>
  <c r="AR41" i="1"/>
  <c r="AR35" i="1"/>
  <c r="AR36" i="1"/>
  <c r="AR38" i="1" s="1"/>
  <c r="AR57" i="1" s="1"/>
  <c r="AO53" i="1"/>
  <c r="AO52" i="1"/>
  <c r="AO51" i="1"/>
  <c r="AK41" i="1"/>
  <c r="AK35" i="1"/>
  <c r="AK36" i="1" s="1"/>
  <c r="AP53" i="1"/>
  <c r="AP52" i="1"/>
  <c r="AQ52" i="1"/>
  <c r="AQ53" i="1"/>
  <c r="AP51" i="1"/>
  <c r="AL41" i="1"/>
  <c r="AL35" i="1"/>
  <c r="AL36" i="1"/>
  <c r="AL38" i="1" s="1"/>
  <c r="AL42" i="1" s="1"/>
  <c r="AL44" i="1" s="1"/>
  <c r="AL46" i="1" s="1"/>
  <c r="AL47" i="1" s="1"/>
  <c r="AM35" i="1"/>
  <c r="AQ51" i="1"/>
  <c r="AN45" i="1"/>
  <c r="AN41" i="1"/>
  <c r="AN35" i="1"/>
  <c r="AN36" i="1"/>
  <c r="AN38" i="1" s="1"/>
  <c r="AN57" i="1" s="1"/>
  <c r="BJ36" i="1" l="1"/>
  <c r="AR50" i="1"/>
  <c r="AR42" i="1"/>
  <c r="AR44" i="1" s="1"/>
  <c r="AR46" i="1" s="1"/>
  <c r="AR47" i="1" s="1"/>
  <c r="AK38" i="1"/>
  <c r="AN42" i="1"/>
  <c r="AN44" i="1" s="1"/>
  <c r="AN46" i="1" s="1"/>
  <c r="AN47" i="1" s="1"/>
  <c r="AO45" i="1"/>
  <c r="AO41" i="1"/>
  <c r="AO35" i="1"/>
  <c r="AS35" i="1" s="1"/>
  <c r="AS36" i="1" s="1"/>
  <c r="AO36" i="1"/>
  <c r="AO38" i="1" s="1"/>
  <c r="AO57" i="1" s="1"/>
  <c r="AP45" i="1"/>
  <c r="AP41" i="1"/>
  <c r="AM41" i="1"/>
  <c r="AP35" i="1"/>
  <c r="AT35" i="1" s="1"/>
  <c r="AT36" i="1" s="1"/>
  <c r="AP36" i="1"/>
  <c r="AQ70" i="1"/>
  <c r="AQ75" i="1" s="1"/>
  <c r="AQ66" i="1"/>
  <c r="AQ61" i="1"/>
  <c r="AM36" i="1"/>
  <c r="AM38" i="1" s="1"/>
  <c r="AM57" i="1" s="1"/>
  <c r="AQ43" i="1"/>
  <c r="AQ41" i="1"/>
  <c r="AQ35" i="1"/>
  <c r="AQ36" i="1" s="1"/>
  <c r="L39" i="1"/>
  <c r="L37" i="1"/>
  <c r="L40" i="1"/>
  <c r="L43" i="1"/>
  <c r="L34" i="1"/>
  <c r="L35" i="1" s="1"/>
  <c r="BB2" i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AT50" i="1" l="1"/>
  <c r="AT38" i="1"/>
  <c r="AT37" i="1" s="1"/>
  <c r="AK42" i="1"/>
  <c r="AK44" i="1" s="1"/>
  <c r="AK46" i="1" s="1"/>
  <c r="AK47" i="1" s="1"/>
  <c r="AK57" i="1"/>
  <c r="AS38" i="1"/>
  <c r="AQ68" i="1"/>
  <c r="AS50" i="1"/>
  <c r="AO50" i="1"/>
  <c r="AP38" i="1"/>
  <c r="AP57" i="1" s="1"/>
  <c r="AP50" i="1"/>
  <c r="AQ38" i="1"/>
  <c r="AQ57" i="1" s="1"/>
  <c r="AQ50" i="1"/>
  <c r="AQ60" i="1"/>
  <c r="AM42" i="1"/>
  <c r="AM44" i="1" s="1"/>
  <c r="AM46" i="1" s="1"/>
  <c r="AM47" i="1" s="1"/>
  <c r="AO42" i="1"/>
  <c r="AO44" i="1" s="1"/>
  <c r="AO46" i="1" s="1"/>
  <c r="AO47" i="1" s="1"/>
  <c r="AP42" i="1"/>
  <c r="AP44" i="1" s="1"/>
  <c r="AP46" i="1" s="1"/>
  <c r="AP47" i="1" s="1"/>
  <c r="AQ42" i="1"/>
  <c r="AQ44" i="1" s="1"/>
  <c r="AQ46" i="1" s="1"/>
  <c r="AQ47" i="1" s="1"/>
  <c r="L41" i="1"/>
  <c r="L36" i="1"/>
  <c r="L38" i="1" s="1"/>
  <c r="AS57" i="1" l="1"/>
  <c r="AS42" i="1"/>
  <c r="AS44" i="1" s="1"/>
  <c r="AS37" i="1"/>
  <c r="AT57" i="1"/>
  <c r="AT42" i="1"/>
  <c r="AT44" i="1" s="1"/>
  <c r="L42" i="1"/>
  <c r="L44" i="1" s="1"/>
  <c r="L46" i="1" s="1"/>
  <c r="L47" i="1" s="1"/>
  <c r="I43" i="1"/>
  <c r="I41" i="1"/>
  <c r="E34" i="1"/>
  <c r="E36" i="1" s="1"/>
  <c r="I34" i="1"/>
  <c r="I36" i="1" s="1"/>
  <c r="I38" i="1" s="1"/>
  <c r="AT45" i="1" l="1"/>
  <c r="AT58" i="1" s="1"/>
  <c r="AS45" i="1"/>
  <c r="AS58" i="1" s="1"/>
  <c r="I42" i="1"/>
  <c r="I44" i="1" s="1"/>
  <c r="I46" i="1" s="1"/>
  <c r="I47" i="1" s="1"/>
  <c r="K4" i="2"/>
  <c r="K7" i="2" s="1"/>
  <c r="AT46" i="1" l="1"/>
  <c r="AT47" i="1" s="1"/>
  <c r="AS46" i="1"/>
  <c r="AS47" i="1" s="1"/>
  <c r="G43" i="1"/>
  <c r="G41" i="1"/>
  <c r="G38" i="1"/>
  <c r="G34" i="1"/>
  <c r="G35" i="1" s="1"/>
  <c r="G42" i="1" l="1"/>
  <c r="G44" i="1" s="1"/>
  <c r="G46" i="1" s="1"/>
  <c r="G4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tc={664741F6-5634-463A-B649-C44AD48AAA09}</author>
  </authors>
  <commentList>
    <comment ref="BJ47" authorId="0" shapeId="0" xr:uid="{664741F6-5634-463A-B649-C44AD48AAA09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13.78-13.98 reaffirmed</t>
      </text>
    </comment>
  </commentList>
</comments>
</file>

<file path=xl/sharedStrings.xml><?xml version="1.0" encoding="utf-8"?>
<sst xmlns="http://schemas.openxmlformats.org/spreadsheetml/2006/main" count="309" uniqueCount="247">
  <si>
    <t>Humira</t>
  </si>
  <si>
    <t>Q113</t>
  </si>
  <si>
    <t>Synagis</t>
  </si>
  <si>
    <t>AndroGel</t>
  </si>
  <si>
    <t>Duodopa</t>
  </si>
  <si>
    <t>Zemplar</t>
  </si>
  <si>
    <t>Creon</t>
  </si>
  <si>
    <t>Synthroid</t>
  </si>
  <si>
    <t>TriCor</t>
  </si>
  <si>
    <t>Lupron</t>
  </si>
  <si>
    <t>Niaspan</t>
  </si>
  <si>
    <t>Kaletra</t>
  </si>
  <si>
    <t>Sales</t>
  </si>
  <si>
    <t>Other</t>
  </si>
  <si>
    <t>Main Products</t>
  </si>
  <si>
    <t>Shares</t>
  </si>
  <si>
    <t>EPS</t>
  </si>
  <si>
    <t>Net Income</t>
  </si>
  <si>
    <t>Taxes</t>
  </si>
  <si>
    <t>Pretax Income</t>
  </si>
  <si>
    <t>Interest Income</t>
  </si>
  <si>
    <t>Operating Expenses</t>
  </si>
  <si>
    <t>Operating Income</t>
  </si>
  <si>
    <t>R&amp;D</t>
  </si>
  <si>
    <t>SG&amp;A</t>
  </si>
  <si>
    <t>Gross Profit</t>
  </si>
  <si>
    <t>COGS</t>
  </si>
  <si>
    <t>Name</t>
  </si>
  <si>
    <t>Indication</t>
  </si>
  <si>
    <t>atrasentan</t>
  </si>
  <si>
    <t>ABT-126</t>
  </si>
  <si>
    <t>elagolix</t>
  </si>
  <si>
    <t>AKI</t>
  </si>
  <si>
    <t>BCL-2</t>
  </si>
  <si>
    <t>TNF</t>
  </si>
  <si>
    <t>MOA</t>
  </si>
  <si>
    <t>Pancreatic</t>
  </si>
  <si>
    <t>Uterine Fibroids</t>
  </si>
  <si>
    <t>NBIX</t>
  </si>
  <si>
    <t>Economics</t>
  </si>
  <si>
    <t>AZN</t>
  </si>
  <si>
    <t>ABT-267</t>
  </si>
  <si>
    <t>ABT-333</t>
  </si>
  <si>
    <t>HCV</t>
  </si>
  <si>
    <t>ABT-414</t>
  </si>
  <si>
    <t>GBM</t>
  </si>
  <si>
    <t>ABT-888 (veliparib)</t>
  </si>
  <si>
    <t>PARP</t>
  </si>
  <si>
    <t>ABT-981</t>
  </si>
  <si>
    <t>OA</t>
  </si>
  <si>
    <t>ABT-700</t>
  </si>
  <si>
    <t>Cancer</t>
  </si>
  <si>
    <t>Alzheimer's</t>
  </si>
  <si>
    <t>ABT-767</t>
  </si>
  <si>
    <t>Price</t>
  </si>
  <si>
    <t>MC</t>
  </si>
  <si>
    <t>Cash</t>
  </si>
  <si>
    <t>Debt</t>
  </si>
  <si>
    <t>EV</t>
  </si>
  <si>
    <t>IP</t>
  </si>
  <si>
    <t>Survanta</t>
  </si>
  <si>
    <t>Approved</t>
  </si>
  <si>
    <t>Phase</t>
  </si>
  <si>
    <t>Q313</t>
  </si>
  <si>
    <t>Q213</t>
  </si>
  <si>
    <t>Q112</t>
  </si>
  <si>
    <t>Q212</t>
  </si>
  <si>
    <t>Q312</t>
  </si>
  <si>
    <t>Q412</t>
  </si>
  <si>
    <t>Sevoflurane</t>
  </si>
  <si>
    <t>II</t>
  </si>
  <si>
    <t>Ovarian Cancer</t>
  </si>
  <si>
    <t>alpha7</t>
  </si>
  <si>
    <t>ABT-122</t>
  </si>
  <si>
    <t>Rheumatoid Arthritis</t>
  </si>
  <si>
    <t>ABT-165</t>
  </si>
  <si>
    <t>Discontinued</t>
  </si>
  <si>
    <t>ABT-354 for Alzheimer's. 5HT6?</t>
  </si>
  <si>
    <t>Q214</t>
  </si>
  <si>
    <t>Biologic</t>
  </si>
  <si>
    <t>Humira (adalimumab)</t>
  </si>
  <si>
    <t>Main</t>
  </si>
  <si>
    <t>Brand Name</t>
  </si>
  <si>
    <t>Generic Name</t>
  </si>
  <si>
    <t>adalimumab</t>
  </si>
  <si>
    <t>Q413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</si>
  <si>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</si>
  <si>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</si>
  <si>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</si>
  <si>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</si>
  <si>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</si>
  <si>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</si>
  <si>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</si>
  <si>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</si>
  <si>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</si>
  <si>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</si>
  <si>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</si>
  <si>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</si>
  <si>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</si>
  <si>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</si>
  <si>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</si>
  <si>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</si>
  <si>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</si>
  <si>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</si>
  <si>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</si>
  <si>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</si>
  <si>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</si>
  <si>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</si>
  <si>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</si>
  <si>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</si>
  <si>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</si>
  <si>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</si>
  <si>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</si>
  <si>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</si>
  <si>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</si>
  <si>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</si>
  <si>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</si>
  <si>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</si>
  <si>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</si>
  <si>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</si>
  <si>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</si>
  <si>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Skyrizi</t>
  </si>
  <si>
    <t>Rinvoq</t>
  </si>
  <si>
    <t>Imbruvica</t>
  </si>
  <si>
    <t>Venclexta</t>
  </si>
  <si>
    <t>Botox Cosmetic</t>
  </si>
  <si>
    <t>Juvederm</t>
  </si>
  <si>
    <t>Other Aesthetics</t>
  </si>
  <si>
    <t>Botox Therapeutic</t>
  </si>
  <si>
    <t>1,255</t>
  </si>
  <si>
    <t>Botox Total</t>
  </si>
  <si>
    <t>Vraylar</t>
  </si>
  <si>
    <t>Ubrelvy</t>
  </si>
  <si>
    <t>Qulipta</t>
  </si>
  <si>
    <t>Other CNS</t>
  </si>
  <si>
    <t>Lumigan/Ganfort</t>
  </si>
  <si>
    <t>Alphagan/Combigan</t>
  </si>
  <si>
    <t>Restasis</t>
  </si>
  <si>
    <t>Other Eye Care</t>
  </si>
  <si>
    <t>Mavyret</t>
  </si>
  <si>
    <t>Linzess</t>
  </si>
  <si>
    <t>Assets</t>
  </si>
  <si>
    <t>AR</t>
  </si>
  <si>
    <t>Inventories</t>
  </si>
  <si>
    <t>Prepaids</t>
  </si>
  <si>
    <t>PP&amp;E</t>
  </si>
  <si>
    <t>Goodwill</t>
  </si>
  <si>
    <t>AP</t>
  </si>
  <si>
    <t>DT</t>
  </si>
  <si>
    <t>OLTL</t>
  </si>
  <si>
    <t>S/E</t>
  </si>
  <si>
    <t>L+S/E</t>
  </si>
  <si>
    <t>Net Cash</t>
  </si>
  <si>
    <t>Anti-TNF mab</t>
  </si>
  <si>
    <t>Brand</t>
  </si>
  <si>
    <t>Androgel</t>
  </si>
  <si>
    <t>Tricor</t>
  </si>
  <si>
    <t>KDNY</t>
  </si>
  <si>
    <t>1,297</t>
  </si>
  <si>
    <t>1,190</t>
  </si>
  <si>
    <t>1,187</t>
  </si>
  <si>
    <t>1,009</t>
  </si>
  <si>
    <t>Skyrizi y/y</t>
  </si>
  <si>
    <t>Humira y/y</t>
  </si>
  <si>
    <t>Revenue y/y</t>
  </si>
  <si>
    <t>Imbruvica y/y</t>
  </si>
  <si>
    <t>1,060</t>
  </si>
  <si>
    <t>Imbruvica (ibrutinib)</t>
  </si>
  <si>
    <t>BTK</t>
  </si>
  <si>
    <t>CLL</t>
  </si>
  <si>
    <t>JNJ</t>
  </si>
  <si>
    <t>Skyrizi (risankizumab)</t>
  </si>
  <si>
    <t>Venclexta (venetoclax)</t>
  </si>
  <si>
    <t>CLL, AML</t>
  </si>
  <si>
    <t>Roche</t>
  </si>
  <si>
    <t>Venetoclax, ABT-199</t>
  </si>
  <si>
    <t>ABBV-154</t>
  </si>
  <si>
    <t>RA, PMR, Crohn's</t>
  </si>
  <si>
    <t>ABBV-157</t>
  </si>
  <si>
    <t>RORgammaT</t>
  </si>
  <si>
    <t>Psoriasis</t>
  </si>
  <si>
    <t>ABT-179</t>
  </si>
  <si>
    <t>DN</t>
  </si>
  <si>
    <t>modimelanotide</t>
  </si>
  <si>
    <t>MCR/alpha-MSH</t>
  </si>
  <si>
    <t>ABBV-105</t>
  </si>
  <si>
    <t>ABBV-599 (-105+Rinvoq)</t>
  </si>
  <si>
    <t>SLE</t>
  </si>
  <si>
    <t>BTK+JAK</t>
  </si>
  <si>
    <t>JAK</t>
  </si>
  <si>
    <t>Rinvoq (upadacitinib)</t>
  </si>
  <si>
    <t>Schizophrenia, Bipolar</t>
  </si>
  <si>
    <t>ABBV-668</t>
  </si>
  <si>
    <t>RIPK1</t>
  </si>
  <si>
    <t>I</t>
  </si>
  <si>
    <t>Autoimmune</t>
  </si>
  <si>
    <t>Viekira (paritaprevir, ombitasvir)</t>
  </si>
  <si>
    <t>Administration</t>
  </si>
  <si>
    <t>Subcutaneous</t>
  </si>
  <si>
    <t>Oral</t>
  </si>
  <si>
    <t>ombitasvir</t>
  </si>
  <si>
    <t>Generic</t>
  </si>
  <si>
    <t>ABT-450</t>
  </si>
  <si>
    <t>paritaprevir</t>
  </si>
  <si>
    <t>ALPN-101</t>
  </si>
  <si>
    <t>ALPN</t>
  </si>
  <si>
    <t>ASC</t>
  </si>
  <si>
    <t>CD28/ICOS</t>
  </si>
  <si>
    <t>Oncology</t>
  </si>
  <si>
    <t>VEGF/DLL4</t>
  </si>
  <si>
    <t>lutikizumab</t>
  </si>
  <si>
    <t>HS</t>
  </si>
  <si>
    <t>IL-1a/1b</t>
  </si>
  <si>
    <t>Rinvoq, fka ABT-494</t>
  </si>
  <si>
    <t>upadacitinib</t>
  </si>
  <si>
    <t>916</t>
  </si>
  <si>
    <t>1,373</t>
  </si>
  <si>
    <t>-</t>
  </si>
  <si>
    <t>Gross Margin</t>
  </si>
  <si>
    <t>Tax Rate</t>
  </si>
  <si>
    <t>CEO: Richard Gonzalez</t>
  </si>
  <si>
    <t>Parkinson's Disease</t>
  </si>
  <si>
    <t>NDA</t>
  </si>
  <si>
    <t>ABBV-951 (foscarbidopa/foslevodopa)</t>
  </si>
  <si>
    <t>Qulipta (atogepant)</t>
  </si>
  <si>
    <t>Migraine</t>
  </si>
  <si>
    <t>Botox (onabotulinumtoxinA)</t>
  </si>
  <si>
    <t>Vraylar (cariprazine)</t>
  </si>
  <si>
    <t>Vuity (pilocarpine)</t>
  </si>
  <si>
    <t>Presbyopia</t>
  </si>
  <si>
    <t>Durysta (bimatoprost)</t>
  </si>
  <si>
    <t>Glaucoma</t>
  </si>
  <si>
    <t>JAK1</t>
  </si>
  <si>
    <t xml:space="preserve">Atopic Dermatitis approved (US, EU); </t>
  </si>
  <si>
    <t>Crohn's Phase III</t>
  </si>
  <si>
    <t>GCA Phase III</t>
  </si>
  <si>
    <t>Rheumatoid Arthritis approved (US, EU)</t>
  </si>
  <si>
    <t>Ulcerative Colitis approved (US, EU)</t>
  </si>
  <si>
    <t>PsA approved (US, EU)</t>
  </si>
  <si>
    <t>risankizumab</t>
  </si>
  <si>
    <t>TNF/IL-17A</t>
  </si>
  <si>
    <t>RA</t>
  </si>
  <si>
    <t>Skyrizi, fka ABBV-006</t>
  </si>
  <si>
    <t>IL-23</t>
  </si>
  <si>
    <t>Crohn's, Psoriasis, Psoriatic Arthritis</t>
  </si>
  <si>
    <t>ABBV-0805</t>
  </si>
  <si>
    <t>alpha-synuclein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</si>
</sst>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6">
    <xf numFmtId="0" fontId="0" fillId="0" borderId="0" xfId="0"/>
    <xf numFmtId="0" fontId="7" fillId="0" borderId="0" xfId="0" applyFont="1"/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0" fontId="7" fillId="0" borderId="1" xfId="0" applyFont="1" applyBorder="1"/>
    <xf numFmtId="0" fontId="7" fillId="0" borderId="3" xfId="0" applyFont="1" applyBorder="1"/>
    <xf numFmtId="0" fontId="7" fillId="0" borderId="6" xfId="0" applyFont="1" applyBorder="1"/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9" fontId="7" fillId="0" borderId="0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4" fontId="7" fillId="0" borderId="0" xfId="0" applyNumberFormat="1" applyFont="1"/>
    <xf numFmtId="3" fontId="7" fillId="0" borderId="0" xfId="0" applyNumberFormat="1" applyFont="1"/>
    <xf numFmtId="3" fontId="7" fillId="0" borderId="0" xfId="0" applyNumberFormat="1" applyFont="1" applyAlignment="1">
      <alignment horizontal="right"/>
    </xf>
    <xf numFmtId="3" fontId="8" fillId="0" borderId="0" xfId="0" applyNumberFormat="1" applyFont="1"/>
    <xf numFmtId="3" fontId="8" fillId="0" borderId="0" xfId="0" applyNumberFormat="1" applyFont="1" applyAlignment="1">
      <alignment horizontal="right"/>
    </xf>
    <xf numFmtId="14" fontId="7" fillId="0" borderId="0" xfId="0" applyNumberFormat="1" applyFont="1" applyBorder="1" applyAlignment="1">
      <alignment horizontal="center"/>
    </xf>
    <xf numFmtId="0" fontId="10" fillId="0" borderId="0" xfId="1" applyFont="1"/>
    <xf numFmtId="0" fontId="10" fillId="0" borderId="1" xfId="1" applyFont="1" applyBorder="1"/>
    <xf numFmtId="0" fontId="6" fillId="0" borderId="0" xfId="0" applyFont="1" applyAlignment="1">
      <alignment horizontal="right"/>
    </xf>
    <xf numFmtId="3" fontId="6" fillId="0" borderId="0" xfId="0" applyNumberFormat="1" applyFont="1"/>
    <xf numFmtId="3" fontId="6" fillId="0" borderId="0" xfId="0" quotePrefix="1" applyNumberFormat="1" applyFont="1" applyAlignment="1">
      <alignment horizontal="right"/>
    </xf>
    <xf numFmtId="0" fontId="6" fillId="0" borderId="0" xfId="0" applyFont="1"/>
    <xf numFmtId="0" fontId="5" fillId="0" borderId="0" xfId="0" applyFont="1"/>
    <xf numFmtId="0" fontId="4" fillId="0" borderId="0" xfId="0" applyFont="1"/>
    <xf numFmtId="0" fontId="4" fillId="0" borderId="1" xfId="0" applyFont="1" applyBorder="1"/>
    <xf numFmtId="3" fontId="4" fillId="0" borderId="0" xfId="0" quotePrefix="1" applyNumberFormat="1" applyFont="1" applyAlignment="1">
      <alignment horizontal="right"/>
    </xf>
    <xf numFmtId="9" fontId="7" fillId="0" borderId="0" xfId="0" applyNumberFormat="1" applyFont="1"/>
    <xf numFmtId="9" fontId="7" fillId="0" borderId="0" xfId="0" applyNumberFormat="1" applyFont="1" applyAlignment="1">
      <alignment horizontal="right"/>
    </xf>
    <xf numFmtId="9" fontId="4" fillId="0" borderId="0" xfId="0" applyNumberFormat="1" applyFont="1"/>
    <xf numFmtId="9" fontId="8" fillId="0" borderId="0" xfId="0" applyNumberFormat="1" applyFont="1"/>
    <xf numFmtId="9" fontId="8" fillId="0" borderId="0" xfId="0" applyNumberFormat="1" applyFont="1" applyAlignment="1">
      <alignment horizontal="right"/>
    </xf>
    <xf numFmtId="0" fontId="3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/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7" xfId="0" applyFont="1" applyBorder="1" applyAlignment="1">
      <alignment horizontal="center"/>
    </xf>
    <xf numFmtId="0" fontId="1" fillId="0" borderId="0" xfId="0" applyFont="1"/>
    <xf numFmtId="3" fontId="1" fillId="0" borderId="0" xfId="0" quotePrefix="1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38100</xdr:colOff>
      <xdr:row>0</xdr:row>
      <xdr:rowOff>9525</xdr:rowOff>
    </xdr:from>
    <xdr:to>
      <xdr:col>44</xdr:col>
      <xdr:colOff>38100</xdr:colOff>
      <xdr:row>105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27460575" y="9525"/>
          <a:ext cx="0" cy="16211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9525</xdr:colOff>
      <xdr:row>0</xdr:row>
      <xdr:rowOff>0</xdr:rowOff>
    </xdr:from>
    <xdr:to>
      <xdr:col>61</xdr:col>
      <xdr:colOff>9525</xdr:colOff>
      <xdr:row>105</xdr:row>
      <xdr:rowOff>19050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81629DD-368A-4F1D-B8E6-17D93DBFDD64}"/>
            </a:ext>
          </a:extLst>
        </xdr:cNvPr>
        <xdr:cNvCxnSpPr/>
      </xdr:nvCxnSpPr>
      <xdr:spPr>
        <a:xfrm>
          <a:off x="37795200" y="0"/>
          <a:ext cx="0" cy="17021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C08182D-8126-43D2-AFE1-095FC8F8A0A3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J47" dT="2022-07-29T13:57:20.53" personId="{FC08182D-8126-43D2-AFE1-095FC8F8A0A3}" id="{664741F6-5634-463A-B649-C44AD48AAA09}">
    <text>Q222 guidance: 13.78-13.98 reaffirmed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4E64-2316-40E7-ABD3-50EF24843FE0}">
  <dimension ref="A1:F2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3" sqref="E23"/>
    </sheetView>
  </sheetViews>
  <sheetFormatPr defaultRowHeight="12.75" x14ac:dyDescent="0.2"/>
  <cols>
    <col min="1" max="1" width="5" style="27" bestFit="1" customWidth="1"/>
    <col min="2" max="2" width="18.85546875" style="27" bestFit="1" customWidth="1"/>
    <col min="3" max="16384" width="9.140625" style="27"/>
  </cols>
  <sheetData>
    <row r="1" spans="1:6" x14ac:dyDescent="0.2">
      <c r="A1" s="20" t="s">
        <v>81</v>
      </c>
    </row>
    <row r="2" spans="1:6" x14ac:dyDescent="0.2">
      <c r="A2" s="20"/>
      <c r="B2" s="27" t="s">
        <v>154</v>
      </c>
      <c r="C2" s="42" t="s">
        <v>201</v>
      </c>
      <c r="D2" s="42" t="s">
        <v>39</v>
      </c>
      <c r="E2" s="42" t="s">
        <v>28</v>
      </c>
      <c r="F2" s="42" t="s">
        <v>35</v>
      </c>
    </row>
    <row r="3" spans="1:6" x14ac:dyDescent="0.2">
      <c r="A3" s="20"/>
      <c r="B3" s="27" t="s">
        <v>155</v>
      </c>
    </row>
    <row r="4" spans="1:6" x14ac:dyDescent="0.2">
      <c r="A4" s="20"/>
      <c r="B4" s="27" t="s">
        <v>11</v>
      </c>
    </row>
    <row r="5" spans="1:6" x14ac:dyDescent="0.2">
      <c r="A5" s="20"/>
      <c r="B5" s="27" t="s">
        <v>10</v>
      </c>
    </row>
    <row r="6" spans="1:6" x14ac:dyDescent="0.2">
      <c r="A6" s="20"/>
      <c r="B6" s="42" t="s">
        <v>213</v>
      </c>
      <c r="C6" s="42" t="s">
        <v>214</v>
      </c>
      <c r="D6" s="32">
        <v>1</v>
      </c>
      <c r="E6" s="42" t="s">
        <v>74</v>
      </c>
      <c r="F6" s="42" t="s">
        <v>189</v>
      </c>
    </row>
    <row r="7" spans="1:6" x14ac:dyDescent="0.2">
      <c r="A7" s="20"/>
      <c r="B7" s="27" t="s">
        <v>60</v>
      </c>
    </row>
    <row r="8" spans="1:6" x14ac:dyDescent="0.2">
      <c r="B8" s="27" t="s">
        <v>2</v>
      </c>
      <c r="D8" s="27" t="s">
        <v>40</v>
      </c>
    </row>
    <row r="9" spans="1:6" x14ac:dyDescent="0.2">
      <c r="B9" s="27" t="s">
        <v>156</v>
      </c>
    </row>
    <row r="10" spans="1:6" x14ac:dyDescent="0.2">
      <c r="B10" s="38" t="s">
        <v>175</v>
      </c>
    </row>
    <row r="11" spans="1:6" x14ac:dyDescent="0.2">
      <c r="B11" s="27" t="s">
        <v>5</v>
      </c>
    </row>
    <row r="12" spans="1:6" x14ac:dyDescent="0.2">
      <c r="B12" s="42" t="s">
        <v>41</v>
      </c>
      <c r="C12" s="42" t="s">
        <v>200</v>
      </c>
    </row>
    <row r="13" spans="1:6" x14ac:dyDescent="0.2">
      <c r="B13" s="42" t="s">
        <v>202</v>
      </c>
      <c r="C13" s="42" t="s">
        <v>203</v>
      </c>
    </row>
    <row r="18" spans="2:6" x14ac:dyDescent="0.2">
      <c r="C18" s="27" t="s">
        <v>29</v>
      </c>
      <c r="D18" s="27" t="s">
        <v>157</v>
      </c>
      <c r="E18" s="38" t="s">
        <v>182</v>
      </c>
    </row>
    <row r="19" spans="2:6" x14ac:dyDescent="0.2">
      <c r="B19" s="38" t="s">
        <v>181</v>
      </c>
      <c r="C19" s="38" t="s">
        <v>183</v>
      </c>
      <c r="E19" s="38" t="s">
        <v>32</v>
      </c>
      <c r="F19" s="38" t="s">
        <v>184</v>
      </c>
    </row>
    <row r="20" spans="2:6" x14ac:dyDescent="0.2">
      <c r="B20" s="38" t="s">
        <v>30</v>
      </c>
      <c r="E20" s="38" t="s">
        <v>52</v>
      </c>
      <c r="F20" s="38" t="s">
        <v>72</v>
      </c>
    </row>
    <row r="21" spans="2:6" x14ac:dyDescent="0.2">
      <c r="B21" s="42" t="s">
        <v>75</v>
      </c>
      <c r="E21" s="42" t="s">
        <v>208</v>
      </c>
      <c r="F21" s="42" t="s">
        <v>209</v>
      </c>
    </row>
    <row r="22" spans="2:6" x14ac:dyDescent="0.2">
      <c r="B22" s="42" t="s">
        <v>73</v>
      </c>
      <c r="E22" s="42" t="s">
        <v>241</v>
      </c>
      <c r="F22" s="42" t="s">
        <v>240</v>
      </c>
    </row>
  </sheetData>
  <hyperlinks>
    <hyperlink ref="A1" location="Main!A1" display="Main" xr:uid="{5D1A5E3C-A702-4388-9F60-3E56090F470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8"/>
  <sheetViews>
    <sheetView tabSelected="1" workbookViewId="0">
      <selection activeCell="E7" sqref="E7"/>
    </sheetView>
  </sheetViews>
  <sheetFormatPr defaultRowHeight="12.75" x14ac:dyDescent="0.2"/>
  <cols>
    <col min="1" max="1" width="2.85546875" style="1" customWidth="1"/>
    <col min="2" max="2" width="22.5703125" style="1" customWidth="1"/>
    <col min="3" max="3" width="30.140625" style="1" bestFit="1" customWidth="1"/>
    <col min="4" max="4" width="10.85546875" style="1" customWidth="1"/>
    <col min="5" max="5" width="14.85546875" style="1" customWidth="1"/>
    <col min="6" max="6" width="10.28515625" style="1" bestFit="1" customWidth="1"/>
    <col min="7" max="7" width="13.85546875" style="1" bestFit="1" customWidth="1"/>
    <col min="8" max="16384" width="9.140625" style="1"/>
  </cols>
  <sheetData>
    <row r="2" spans="2:12" x14ac:dyDescent="0.2">
      <c r="B2" s="6" t="s">
        <v>27</v>
      </c>
      <c r="C2" s="7" t="s">
        <v>28</v>
      </c>
      <c r="D2" s="7" t="s">
        <v>61</v>
      </c>
      <c r="E2" s="7" t="s">
        <v>35</v>
      </c>
      <c r="F2" s="7" t="s">
        <v>39</v>
      </c>
      <c r="G2" s="41" t="s">
        <v>197</v>
      </c>
      <c r="H2" s="8" t="s">
        <v>59</v>
      </c>
      <c r="J2" s="1" t="s">
        <v>54</v>
      </c>
      <c r="K2" s="14">
        <v>149.75</v>
      </c>
    </row>
    <row r="3" spans="2:12" x14ac:dyDescent="0.2">
      <c r="B3" s="21" t="s">
        <v>80</v>
      </c>
      <c r="C3" s="9" t="s">
        <v>74</v>
      </c>
      <c r="D3" s="19">
        <v>37621</v>
      </c>
      <c r="E3" s="9" t="s">
        <v>34</v>
      </c>
      <c r="F3" s="10">
        <v>1</v>
      </c>
      <c r="G3" s="39" t="s">
        <v>198</v>
      </c>
      <c r="H3" s="11" t="s">
        <v>79</v>
      </c>
      <c r="J3" s="1" t="s">
        <v>15</v>
      </c>
      <c r="K3" s="15">
        <v>1778</v>
      </c>
      <c r="L3" s="22" t="s">
        <v>117</v>
      </c>
    </row>
    <row r="4" spans="2:12" x14ac:dyDescent="0.2">
      <c r="B4" s="40" t="s">
        <v>226</v>
      </c>
      <c r="C4" s="9"/>
      <c r="D4" s="9"/>
      <c r="E4" s="9"/>
      <c r="F4" s="9"/>
      <c r="G4" s="9"/>
      <c r="H4" s="11"/>
      <c r="J4" s="1" t="s">
        <v>55</v>
      </c>
      <c r="K4" s="15">
        <f>+K3*K2</f>
        <v>266255.5</v>
      </c>
      <c r="L4" s="2"/>
    </row>
    <row r="5" spans="2:12" x14ac:dyDescent="0.2">
      <c r="B5" s="40" t="s">
        <v>167</v>
      </c>
      <c r="C5" s="35" t="s">
        <v>169</v>
      </c>
      <c r="D5" s="9"/>
      <c r="E5" s="35" t="s">
        <v>168</v>
      </c>
      <c r="F5" s="35" t="s">
        <v>170</v>
      </c>
      <c r="G5" s="39" t="s">
        <v>199</v>
      </c>
      <c r="H5" s="11"/>
      <c r="J5" s="1" t="s">
        <v>56</v>
      </c>
      <c r="K5" s="15">
        <v>7832</v>
      </c>
      <c r="L5" s="22" t="s">
        <v>117</v>
      </c>
    </row>
    <row r="6" spans="2:12" x14ac:dyDescent="0.2">
      <c r="B6" s="21" t="s">
        <v>171</v>
      </c>
      <c r="C6" s="9"/>
      <c r="D6" s="9"/>
      <c r="E6" s="39" t="s">
        <v>243</v>
      </c>
      <c r="F6" s="9"/>
      <c r="G6" s="9"/>
      <c r="H6" s="11"/>
      <c r="J6" s="1" t="s">
        <v>57</v>
      </c>
      <c r="K6" s="15">
        <v>73474</v>
      </c>
      <c r="L6" s="22" t="s">
        <v>117</v>
      </c>
    </row>
    <row r="7" spans="2:12" x14ac:dyDescent="0.2">
      <c r="B7" s="40" t="s">
        <v>172</v>
      </c>
      <c r="C7" s="37" t="s">
        <v>173</v>
      </c>
      <c r="D7" s="9"/>
      <c r="E7" s="37" t="s">
        <v>33</v>
      </c>
      <c r="F7" s="37" t="s">
        <v>174</v>
      </c>
      <c r="G7" s="39" t="s">
        <v>199</v>
      </c>
      <c r="H7" s="11"/>
      <c r="J7" s="1" t="s">
        <v>58</v>
      </c>
      <c r="K7" s="15">
        <f>+K4-K5+K6</f>
        <v>331897.5</v>
      </c>
    </row>
    <row r="8" spans="2:12" x14ac:dyDescent="0.2">
      <c r="B8" s="40" t="s">
        <v>9</v>
      </c>
      <c r="C8" s="9"/>
      <c r="D8" s="9"/>
      <c r="E8" s="9"/>
      <c r="F8" s="9"/>
      <c r="G8" s="9"/>
      <c r="H8" s="11"/>
    </row>
    <row r="9" spans="2:12" x14ac:dyDescent="0.2">
      <c r="B9" s="21" t="s">
        <v>190</v>
      </c>
      <c r="C9" s="39" t="s">
        <v>74</v>
      </c>
      <c r="D9" s="9"/>
      <c r="E9" s="39" t="s">
        <v>189</v>
      </c>
      <c r="F9" s="10">
        <v>1</v>
      </c>
      <c r="G9" s="39" t="s">
        <v>199</v>
      </c>
      <c r="H9" s="11"/>
    </row>
    <row r="10" spans="2:12" x14ac:dyDescent="0.2">
      <c r="B10" s="4" t="s">
        <v>7</v>
      </c>
      <c r="C10" s="9"/>
      <c r="D10" s="9"/>
      <c r="E10" s="9"/>
      <c r="F10" s="9"/>
      <c r="G10" s="39" t="s">
        <v>199</v>
      </c>
      <c r="H10" s="11"/>
    </row>
    <row r="11" spans="2:12" x14ac:dyDescent="0.2">
      <c r="B11" s="4" t="s">
        <v>6</v>
      </c>
      <c r="C11" s="9" t="s">
        <v>36</v>
      </c>
      <c r="D11" s="9"/>
      <c r="E11" s="9"/>
      <c r="F11" s="9"/>
      <c r="G11" s="39" t="s">
        <v>199</v>
      </c>
      <c r="H11" s="11"/>
    </row>
    <row r="12" spans="2:12" x14ac:dyDescent="0.2">
      <c r="B12" s="28" t="s">
        <v>137</v>
      </c>
      <c r="C12" s="9"/>
      <c r="D12" s="9"/>
      <c r="E12" s="9"/>
      <c r="F12" s="9"/>
      <c r="G12" s="9"/>
      <c r="H12" s="11"/>
    </row>
    <row r="13" spans="2:12" x14ac:dyDescent="0.2">
      <c r="B13" s="4" t="s">
        <v>4</v>
      </c>
      <c r="C13" s="9"/>
      <c r="D13" s="9"/>
      <c r="E13" s="9"/>
      <c r="F13" s="9"/>
      <c r="G13" s="9"/>
      <c r="H13" s="11"/>
      <c r="J13" s="42" t="s">
        <v>220</v>
      </c>
    </row>
    <row r="14" spans="2:12" x14ac:dyDescent="0.2">
      <c r="B14" s="4" t="s">
        <v>31</v>
      </c>
      <c r="C14" s="9" t="s">
        <v>37</v>
      </c>
      <c r="D14" s="9"/>
      <c r="E14" s="9"/>
      <c r="F14" s="9" t="s">
        <v>38</v>
      </c>
      <c r="G14" s="39" t="s">
        <v>199</v>
      </c>
      <c r="H14" s="11"/>
    </row>
    <row r="15" spans="2:12" x14ac:dyDescent="0.2">
      <c r="B15" s="40" t="s">
        <v>224</v>
      </c>
      <c r="C15" s="39" t="s">
        <v>225</v>
      </c>
      <c r="D15" s="9"/>
      <c r="E15" s="9"/>
      <c r="F15" s="9"/>
      <c r="G15" s="39"/>
      <c r="H15" s="11"/>
    </row>
    <row r="16" spans="2:12" x14ac:dyDescent="0.2">
      <c r="B16" s="40" t="s">
        <v>196</v>
      </c>
      <c r="C16" s="37" t="s">
        <v>43</v>
      </c>
      <c r="D16" s="9"/>
      <c r="E16" s="9"/>
      <c r="F16" s="10">
        <v>1</v>
      </c>
      <c r="G16" s="39" t="s">
        <v>199</v>
      </c>
      <c r="H16" s="11"/>
    </row>
    <row r="17" spans="2:8" x14ac:dyDescent="0.2">
      <c r="B17" s="40" t="s">
        <v>228</v>
      </c>
      <c r="C17" s="39" t="s">
        <v>229</v>
      </c>
      <c r="D17" s="9"/>
      <c r="E17" s="9"/>
      <c r="F17" s="10"/>
      <c r="G17" s="39"/>
      <c r="H17" s="11"/>
    </row>
    <row r="18" spans="2:8" x14ac:dyDescent="0.2">
      <c r="B18" s="40" t="s">
        <v>230</v>
      </c>
      <c r="C18" s="39" t="s">
        <v>231</v>
      </c>
      <c r="D18" s="9"/>
      <c r="E18" s="9"/>
      <c r="F18" s="10"/>
      <c r="G18" s="39"/>
      <c r="H18" s="11"/>
    </row>
    <row r="19" spans="2:8" x14ac:dyDescent="0.2">
      <c r="B19" s="40" t="s">
        <v>227</v>
      </c>
      <c r="C19" s="39" t="s">
        <v>191</v>
      </c>
      <c r="D19" s="9"/>
      <c r="E19" s="9"/>
      <c r="F19" s="9"/>
      <c r="G19" s="39" t="s">
        <v>199</v>
      </c>
      <c r="H19" s="11"/>
    </row>
    <row r="20" spans="2:8" x14ac:dyDescent="0.2">
      <c r="B20" s="6"/>
      <c r="C20" s="7"/>
      <c r="D20" s="7" t="s">
        <v>62</v>
      </c>
      <c r="E20" s="7"/>
      <c r="F20" s="7"/>
      <c r="G20" s="7"/>
      <c r="H20" s="8"/>
    </row>
    <row r="21" spans="2:8" x14ac:dyDescent="0.2">
      <c r="B21" s="40" t="s">
        <v>223</v>
      </c>
      <c r="C21" s="39" t="s">
        <v>221</v>
      </c>
      <c r="D21" s="39" t="s">
        <v>222</v>
      </c>
      <c r="E21" s="9"/>
      <c r="F21" s="10">
        <v>1</v>
      </c>
      <c r="G21" s="9"/>
      <c r="H21" s="11"/>
    </row>
    <row r="22" spans="2:8" x14ac:dyDescent="0.2">
      <c r="B22" s="36" t="s">
        <v>176</v>
      </c>
      <c r="C22" s="37" t="s">
        <v>177</v>
      </c>
      <c r="D22" s="37" t="s">
        <v>70</v>
      </c>
      <c r="E22" s="39" t="s">
        <v>206</v>
      </c>
      <c r="F22" s="10">
        <v>1</v>
      </c>
      <c r="G22" s="9"/>
      <c r="H22" s="11"/>
    </row>
    <row r="23" spans="2:8" x14ac:dyDescent="0.2">
      <c r="B23" s="36" t="s">
        <v>178</v>
      </c>
      <c r="C23" s="37" t="s">
        <v>180</v>
      </c>
      <c r="D23" s="37" t="s">
        <v>70</v>
      </c>
      <c r="E23" s="37" t="s">
        <v>179</v>
      </c>
      <c r="F23" s="10">
        <v>1</v>
      </c>
      <c r="G23" s="9"/>
      <c r="H23" s="11"/>
    </row>
    <row r="24" spans="2:8" x14ac:dyDescent="0.2">
      <c r="B24" s="36" t="s">
        <v>185</v>
      </c>
      <c r="C24" s="37" t="s">
        <v>187</v>
      </c>
      <c r="D24" s="37" t="s">
        <v>70</v>
      </c>
      <c r="E24" s="37" t="s">
        <v>168</v>
      </c>
      <c r="F24" s="10">
        <v>1</v>
      </c>
      <c r="G24" s="9"/>
      <c r="H24" s="11"/>
    </row>
    <row r="25" spans="2:8" x14ac:dyDescent="0.2">
      <c r="B25" s="36" t="s">
        <v>186</v>
      </c>
      <c r="C25" s="39" t="s">
        <v>187</v>
      </c>
      <c r="D25" s="39" t="s">
        <v>70</v>
      </c>
      <c r="E25" s="39" t="s">
        <v>188</v>
      </c>
      <c r="F25" s="10">
        <v>1</v>
      </c>
      <c r="G25" s="9"/>
      <c r="H25" s="11"/>
    </row>
    <row r="26" spans="2:8" x14ac:dyDescent="0.2">
      <c r="B26" s="40" t="s">
        <v>192</v>
      </c>
      <c r="C26" s="39" t="s">
        <v>195</v>
      </c>
      <c r="D26" s="39" t="s">
        <v>194</v>
      </c>
      <c r="E26" s="39" t="s">
        <v>193</v>
      </c>
      <c r="F26" s="10">
        <v>1</v>
      </c>
      <c r="G26" s="9"/>
      <c r="H26" s="11"/>
    </row>
    <row r="27" spans="2:8" x14ac:dyDescent="0.2">
      <c r="B27" s="40" t="s">
        <v>204</v>
      </c>
      <c r="C27" s="39" t="s">
        <v>187</v>
      </c>
      <c r="D27" s="39" t="s">
        <v>70</v>
      </c>
      <c r="E27" s="39" t="s">
        <v>207</v>
      </c>
      <c r="F27" s="39" t="s">
        <v>205</v>
      </c>
      <c r="G27" s="9"/>
      <c r="H27" s="11"/>
    </row>
    <row r="28" spans="2:8" x14ac:dyDescent="0.2">
      <c r="B28" s="40" t="s">
        <v>210</v>
      </c>
      <c r="C28" s="39" t="s">
        <v>211</v>
      </c>
      <c r="D28" s="39" t="s">
        <v>70</v>
      </c>
      <c r="E28" s="39" t="s">
        <v>212</v>
      </c>
      <c r="F28" s="10">
        <v>1</v>
      </c>
      <c r="G28" s="9"/>
      <c r="H28" s="11"/>
    </row>
    <row r="29" spans="2:8" x14ac:dyDescent="0.2">
      <c r="B29" s="40" t="s">
        <v>245</v>
      </c>
      <c r="C29" s="39" t="s">
        <v>221</v>
      </c>
      <c r="D29" s="39" t="s">
        <v>194</v>
      </c>
      <c r="E29" s="39" t="s">
        <v>246</v>
      </c>
      <c r="F29" s="10">
        <v>1</v>
      </c>
      <c r="G29" s="9"/>
      <c r="H29" s="11"/>
    </row>
    <row r="30" spans="2:8" x14ac:dyDescent="0.2">
      <c r="B30" s="4" t="s">
        <v>42</v>
      </c>
      <c r="C30" s="9" t="s">
        <v>43</v>
      </c>
      <c r="D30" s="9"/>
      <c r="E30" s="9"/>
      <c r="F30" s="9"/>
      <c r="G30" s="9"/>
      <c r="H30" s="11"/>
    </row>
    <row r="31" spans="2:8" x14ac:dyDescent="0.2">
      <c r="B31" s="4" t="s">
        <v>44</v>
      </c>
      <c r="C31" s="9" t="s">
        <v>45</v>
      </c>
      <c r="D31" s="9"/>
      <c r="E31" s="9"/>
      <c r="F31" s="9"/>
      <c r="G31" s="9"/>
      <c r="H31" s="11"/>
    </row>
    <row r="32" spans="2:8" x14ac:dyDescent="0.2">
      <c r="B32" s="4" t="s">
        <v>46</v>
      </c>
      <c r="C32" s="9" t="s">
        <v>71</v>
      </c>
      <c r="D32" s="9" t="s">
        <v>70</v>
      </c>
      <c r="E32" s="9" t="s">
        <v>47</v>
      </c>
      <c r="F32" s="10">
        <v>1</v>
      </c>
      <c r="G32" s="9"/>
      <c r="H32" s="11"/>
    </row>
    <row r="33" spans="2:8" x14ac:dyDescent="0.2">
      <c r="B33" s="4" t="s">
        <v>48</v>
      </c>
      <c r="C33" s="9" t="s">
        <v>49</v>
      </c>
      <c r="D33" s="9"/>
      <c r="E33" s="9"/>
      <c r="F33" s="9"/>
      <c r="G33" s="9"/>
      <c r="H33" s="11"/>
    </row>
    <row r="34" spans="2:8" x14ac:dyDescent="0.2">
      <c r="B34" s="4" t="s">
        <v>50</v>
      </c>
      <c r="C34" s="9" t="s">
        <v>51</v>
      </c>
      <c r="D34" s="9"/>
      <c r="E34" s="9"/>
      <c r="F34" s="9"/>
      <c r="G34" s="9"/>
      <c r="H34" s="11"/>
    </row>
    <row r="35" spans="2:8" x14ac:dyDescent="0.2">
      <c r="B35" s="5" t="s">
        <v>53</v>
      </c>
      <c r="C35" s="12"/>
      <c r="D35" s="12"/>
      <c r="E35" s="12"/>
      <c r="F35" s="12"/>
      <c r="G35" s="12"/>
      <c r="H35" s="13"/>
    </row>
    <row r="37" spans="2:8" x14ac:dyDescent="0.2">
      <c r="G37" s="1" t="s">
        <v>76</v>
      </c>
    </row>
    <row r="38" spans="2:8" x14ac:dyDescent="0.2">
      <c r="G38" s="1" t="s">
        <v>77</v>
      </c>
    </row>
  </sheetData>
  <hyperlinks>
    <hyperlink ref="B3" location="Humira!A1" display="Humira (adalimumab)" xr:uid="{00000000-0004-0000-0000-000000000000}"/>
    <hyperlink ref="B6" location="Skyrizi!A1" display="Skyrizi (risankizumab)" xr:uid="{EABC111F-4692-46BF-B71F-73A7DA7865C1}"/>
    <hyperlink ref="B9" location="Rinvoq!A1" display="Rinvoq (upadacitinib)" xr:uid="{72FB0F31-06D9-4FEB-A880-DE5C4D86570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R75"/>
  <sheetViews>
    <sheetView workbookViewId="0">
      <pane xSplit="2" ySplit="2" topLeftCell="BB26" activePane="bottomRight" state="frozen"/>
      <selection pane="topRight" activeCell="C1" sqref="C1"/>
      <selection pane="bottomLeft" activeCell="A3" sqref="A3"/>
      <selection pane="bottomRight" activeCell="BJ47" sqref="BJ47"/>
    </sheetView>
  </sheetViews>
  <sheetFormatPr defaultRowHeight="12.75" x14ac:dyDescent="0.2"/>
  <cols>
    <col min="1" max="1" width="9.140625" style="1"/>
    <col min="2" max="2" width="18.140625" style="1" bestFit="1" customWidth="1"/>
    <col min="3" max="69" width="9.140625" style="2"/>
    <col min="70" max="16384" width="9.140625" style="1"/>
  </cols>
  <sheetData>
    <row r="2" spans="2:70" x14ac:dyDescent="0.2">
      <c r="C2" s="2" t="s">
        <v>65</v>
      </c>
      <c r="D2" s="2" t="s">
        <v>66</v>
      </c>
      <c r="E2" s="2" t="s">
        <v>67</v>
      </c>
      <c r="F2" s="2" t="s">
        <v>68</v>
      </c>
      <c r="G2" s="2" t="s">
        <v>1</v>
      </c>
      <c r="H2" s="2" t="s">
        <v>64</v>
      </c>
      <c r="I2" s="2" t="s">
        <v>63</v>
      </c>
      <c r="J2" s="2" t="s">
        <v>85</v>
      </c>
      <c r="K2" s="2" t="s">
        <v>86</v>
      </c>
      <c r="L2" s="2" t="s">
        <v>78</v>
      </c>
      <c r="M2" s="2" t="s">
        <v>87</v>
      </c>
      <c r="N2" s="2" t="s">
        <v>88</v>
      </c>
      <c r="O2" s="2" t="s">
        <v>89</v>
      </c>
      <c r="P2" s="2" t="s">
        <v>90</v>
      </c>
      <c r="Q2" s="2" t="s">
        <v>91</v>
      </c>
      <c r="R2" s="2" t="s">
        <v>92</v>
      </c>
      <c r="S2" s="22" t="s">
        <v>93</v>
      </c>
      <c r="T2" s="22" t="s">
        <v>94</v>
      </c>
      <c r="U2" s="22" t="s">
        <v>95</v>
      </c>
      <c r="V2" s="22" t="s">
        <v>96</v>
      </c>
      <c r="W2" s="22" t="s">
        <v>97</v>
      </c>
      <c r="X2" s="22" t="s">
        <v>98</v>
      </c>
      <c r="Y2" s="22" t="s">
        <v>99</v>
      </c>
      <c r="Z2" s="22" t="s">
        <v>100</v>
      </c>
      <c r="AA2" s="22" t="s">
        <v>101</v>
      </c>
      <c r="AB2" s="22" t="s">
        <v>102</v>
      </c>
      <c r="AC2" s="22" t="s">
        <v>103</v>
      </c>
      <c r="AD2" s="22" t="s">
        <v>104</v>
      </c>
      <c r="AE2" s="22" t="s">
        <v>105</v>
      </c>
      <c r="AF2" s="22" t="s">
        <v>106</v>
      </c>
      <c r="AG2" s="22" t="s">
        <v>107</v>
      </c>
      <c r="AH2" s="22" t="s">
        <v>108</v>
      </c>
      <c r="AI2" s="22" t="s">
        <v>109</v>
      </c>
      <c r="AJ2" s="22" t="s">
        <v>110</v>
      </c>
      <c r="AK2" s="22" t="s">
        <v>111</v>
      </c>
      <c r="AL2" s="22" t="s">
        <v>112</v>
      </c>
      <c r="AM2" s="22" t="s">
        <v>113</v>
      </c>
      <c r="AN2" s="22" t="s">
        <v>114</v>
      </c>
      <c r="AO2" s="22" t="s">
        <v>115</v>
      </c>
      <c r="AP2" s="22" t="s">
        <v>116</v>
      </c>
      <c r="AQ2" s="22" t="s">
        <v>117</v>
      </c>
      <c r="AR2" s="22" t="s">
        <v>118</v>
      </c>
      <c r="AS2" s="22" t="s">
        <v>119</v>
      </c>
      <c r="AT2" s="22" t="s">
        <v>120</v>
      </c>
      <c r="AU2" s="22"/>
      <c r="AV2" s="22"/>
      <c r="AW2" s="22"/>
      <c r="AZ2" s="2">
        <v>2012</v>
      </c>
      <c r="BA2" s="2">
        <v>2013</v>
      </c>
      <c r="BB2" s="2">
        <f>+BA2+1</f>
        <v>2014</v>
      </c>
      <c r="BC2" s="2">
        <f t="shared" ref="BC2:BQ2" si="0">+BB2+1</f>
        <v>2015</v>
      </c>
      <c r="BD2" s="2">
        <f t="shared" si="0"/>
        <v>2016</v>
      </c>
      <c r="BE2" s="2">
        <f t="shared" si="0"/>
        <v>2017</v>
      </c>
      <c r="BF2" s="2">
        <f t="shared" si="0"/>
        <v>2018</v>
      </c>
      <c r="BG2" s="2">
        <f t="shared" si="0"/>
        <v>2019</v>
      </c>
      <c r="BH2" s="2">
        <f t="shared" si="0"/>
        <v>2020</v>
      </c>
      <c r="BI2" s="2">
        <f t="shared" si="0"/>
        <v>2021</v>
      </c>
      <c r="BJ2" s="2">
        <f t="shared" si="0"/>
        <v>2022</v>
      </c>
      <c r="BK2" s="2">
        <f t="shared" si="0"/>
        <v>2023</v>
      </c>
      <c r="BL2" s="2">
        <f t="shared" si="0"/>
        <v>2024</v>
      </c>
      <c r="BM2" s="2">
        <f t="shared" si="0"/>
        <v>2025</v>
      </c>
      <c r="BN2" s="2">
        <f t="shared" si="0"/>
        <v>2026</v>
      </c>
      <c r="BO2" s="2">
        <f t="shared" si="0"/>
        <v>2027</v>
      </c>
      <c r="BP2" s="2">
        <f t="shared" si="0"/>
        <v>2028</v>
      </c>
      <c r="BQ2" s="2">
        <f t="shared" si="0"/>
        <v>2029</v>
      </c>
      <c r="BR2" s="1">
        <f>+BQ2+1</f>
        <v>2030</v>
      </c>
    </row>
    <row r="3" spans="2:70" s="15" customFormat="1" x14ac:dyDescent="0.2">
      <c r="B3" s="15" t="s">
        <v>0</v>
      </c>
      <c r="C3" s="16"/>
      <c r="D3" s="16"/>
      <c r="E3" s="16">
        <v>2326</v>
      </c>
      <c r="F3" s="16"/>
      <c r="G3" s="16">
        <v>2244</v>
      </c>
      <c r="H3" s="16"/>
      <c r="I3" s="16">
        <v>2770</v>
      </c>
      <c r="J3" s="16"/>
      <c r="K3" s="16"/>
      <c r="L3" s="16">
        <v>3288</v>
      </c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>
        <v>5140</v>
      </c>
      <c r="AL3" s="16">
        <v>5152</v>
      </c>
      <c r="AM3" s="16">
        <v>4867</v>
      </c>
      <c r="AN3" s="16">
        <v>5068</v>
      </c>
      <c r="AO3" s="16">
        <v>5425</v>
      </c>
      <c r="AP3" s="16">
        <v>5334</v>
      </c>
      <c r="AQ3" s="16">
        <v>4736</v>
      </c>
      <c r="AR3" s="16">
        <v>5363</v>
      </c>
      <c r="AS3" s="16">
        <f>+AO3*1.01</f>
        <v>5479.25</v>
      </c>
      <c r="AT3" s="16">
        <f>+AP3*1.01</f>
        <v>5387.34</v>
      </c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>
        <f>SUM(AM3:AP3)</f>
        <v>20694</v>
      </c>
      <c r="BJ3" s="16">
        <f>SUM(AQ3:AT3)</f>
        <v>20965.59</v>
      </c>
      <c r="BK3" s="16"/>
      <c r="BL3" s="16"/>
      <c r="BM3" s="16"/>
      <c r="BN3" s="16"/>
      <c r="BO3" s="16"/>
      <c r="BP3" s="16"/>
      <c r="BQ3" s="16"/>
    </row>
    <row r="4" spans="2:70" s="15" customFormat="1" x14ac:dyDescent="0.2">
      <c r="B4" s="23" t="s">
        <v>130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43" t="s">
        <v>215</v>
      </c>
      <c r="AL4" s="29" t="s">
        <v>166</v>
      </c>
      <c r="AM4" s="29" t="s">
        <v>161</v>
      </c>
      <c r="AN4" s="29" t="s">
        <v>160</v>
      </c>
      <c r="AO4" s="29" t="s">
        <v>159</v>
      </c>
      <c r="AP4" s="29" t="s">
        <v>158</v>
      </c>
      <c r="AQ4" s="24" t="s">
        <v>129</v>
      </c>
      <c r="AR4" s="43" t="s">
        <v>216</v>
      </c>
      <c r="AS4" s="44" t="s">
        <v>217</v>
      </c>
      <c r="AT4" s="44" t="s">
        <v>217</v>
      </c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>
        <f t="shared" ref="BI4:BI35" si="1">SUM(AM4:AP4)</f>
        <v>0</v>
      </c>
      <c r="BJ4" s="16">
        <f t="shared" ref="BJ4:BJ35" si="2">SUM(AQ4:AT4)</f>
        <v>0</v>
      </c>
      <c r="BK4" s="16"/>
      <c r="BL4" s="16"/>
      <c r="BM4" s="16"/>
      <c r="BN4" s="16"/>
      <c r="BO4" s="16"/>
      <c r="BP4" s="16"/>
      <c r="BQ4" s="16"/>
    </row>
    <row r="5" spans="2:70" s="15" customFormat="1" x14ac:dyDescent="0.2">
      <c r="B5" s="23" t="s">
        <v>123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>
        <v>1370</v>
      </c>
      <c r="AL5" s="16">
        <v>1424</v>
      </c>
      <c r="AM5" s="16">
        <v>1268</v>
      </c>
      <c r="AN5" s="16">
        <v>1381</v>
      </c>
      <c r="AO5" s="16">
        <v>1374</v>
      </c>
      <c r="AP5" s="16">
        <v>1385</v>
      </c>
      <c r="AQ5" s="16">
        <v>1173</v>
      </c>
      <c r="AR5" s="16">
        <v>1145</v>
      </c>
      <c r="AS5" s="16">
        <f>+AO5*0.9</f>
        <v>1236.6000000000001</v>
      </c>
      <c r="AT5" s="16">
        <f>+AP5*0.9</f>
        <v>1246.5</v>
      </c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>
        <f t="shared" si="1"/>
        <v>5408</v>
      </c>
      <c r="BJ5" s="16">
        <f t="shared" si="2"/>
        <v>4801.1000000000004</v>
      </c>
      <c r="BK5" s="16"/>
      <c r="BL5" s="16"/>
      <c r="BM5" s="16"/>
      <c r="BN5" s="16"/>
      <c r="BO5" s="16"/>
      <c r="BP5" s="16"/>
      <c r="BQ5" s="16"/>
    </row>
    <row r="6" spans="2:70" s="15" customFormat="1" x14ac:dyDescent="0.2">
      <c r="B6" s="23" t="s">
        <v>121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>
        <v>435</v>
      </c>
      <c r="AL6" s="16">
        <v>525</v>
      </c>
      <c r="AM6" s="16">
        <v>574</v>
      </c>
      <c r="AN6" s="16">
        <v>674</v>
      </c>
      <c r="AO6" s="16">
        <v>796</v>
      </c>
      <c r="AP6" s="16">
        <v>895</v>
      </c>
      <c r="AQ6" s="16">
        <v>940</v>
      </c>
      <c r="AR6" s="16">
        <v>1252</v>
      </c>
      <c r="AS6" s="16">
        <f>+AO6*1.7</f>
        <v>1353.2</v>
      </c>
      <c r="AT6" s="16">
        <f>+AP6*1.65</f>
        <v>1476.75</v>
      </c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>
        <f t="shared" si="1"/>
        <v>2939</v>
      </c>
      <c r="BJ6" s="16">
        <f t="shared" si="2"/>
        <v>5021.95</v>
      </c>
      <c r="BK6" s="16"/>
      <c r="BL6" s="16"/>
      <c r="BM6" s="16"/>
      <c r="BN6" s="16"/>
      <c r="BO6" s="16"/>
      <c r="BP6" s="16"/>
      <c r="BQ6" s="16"/>
    </row>
    <row r="7" spans="2:70" s="15" customFormat="1" x14ac:dyDescent="0.2">
      <c r="B7" s="23" t="s">
        <v>125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>
        <v>393</v>
      </c>
      <c r="AL7" s="16">
        <v>493</v>
      </c>
      <c r="AM7" s="16">
        <v>477</v>
      </c>
      <c r="AN7" s="16">
        <v>584</v>
      </c>
      <c r="AO7" s="16">
        <v>545</v>
      </c>
      <c r="AP7" s="16">
        <v>626</v>
      </c>
      <c r="AQ7" s="16">
        <v>641</v>
      </c>
      <c r="AR7" s="16">
        <v>695</v>
      </c>
      <c r="AS7" s="16">
        <f>+AO7*1.15</f>
        <v>626.75</v>
      </c>
      <c r="AT7" s="16">
        <f>+AP7*1.15</f>
        <v>719.9</v>
      </c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>
        <f t="shared" si="1"/>
        <v>2232</v>
      </c>
      <c r="BJ7" s="16">
        <f t="shared" si="2"/>
        <v>2682.65</v>
      </c>
      <c r="BK7" s="16"/>
      <c r="BL7" s="16"/>
      <c r="BM7" s="16"/>
      <c r="BN7" s="16"/>
      <c r="BO7" s="16"/>
      <c r="BP7" s="16"/>
      <c r="BQ7" s="16"/>
    </row>
    <row r="8" spans="2:70" s="15" customFormat="1" x14ac:dyDescent="0.2">
      <c r="B8" s="23" t="s">
        <v>128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>
        <v>523</v>
      </c>
      <c r="AL8" s="16">
        <v>567</v>
      </c>
      <c r="AM8" s="16">
        <v>532</v>
      </c>
      <c r="AN8" s="16">
        <v>603</v>
      </c>
      <c r="AO8" s="16">
        <v>645</v>
      </c>
      <c r="AP8" s="16">
        <v>671</v>
      </c>
      <c r="AQ8" s="16">
        <v>614</v>
      </c>
      <c r="AR8" s="16">
        <v>678</v>
      </c>
      <c r="AS8" s="16">
        <f>+AO8*1.15</f>
        <v>741.74999999999989</v>
      </c>
      <c r="AT8" s="16">
        <f>+AP8*1.15</f>
        <v>771.65</v>
      </c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>
        <f t="shared" si="1"/>
        <v>2451</v>
      </c>
      <c r="BJ8" s="16">
        <f t="shared" si="2"/>
        <v>2805.4</v>
      </c>
      <c r="BK8" s="16"/>
      <c r="BL8" s="16"/>
      <c r="BM8" s="16"/>
      <c r="BN8" s="16"/>
      <c r="BO8" s="16"/>
      <c r="BP8" s="16"/>
      <c r="BQ8" s="16"/>
    </row>
    <row r="9" spans="2:70" s="15" customFormat="1" x14ac:dyDescent="0.2">
      <c r="B9" s="23" t="s">
        <v>124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>
        <v>352</v>
      </c>
      <c r="AL9" s="16">
        <v>365</v>
      </c>
      <c r="AM9" s="16">
        <v>405</v>
      </c>
      <c r="AN9" s="16">
        <v>435</v>
      </c>
      <c r="AO9" s="16">
        <v>492</v>
      </c>
      <c r="AP9" s="16">
        <v>488</v>
      </c>
      <c r="AQ9" s="16">
        <v>473</v>
      </c>
      <c r="AR9" s="16">
        <v>505</v>
      </c>
      <c r="AS9" s="16">
        <f>+AO9*1.05</f>
        <v>516.6</v>
      </c>
      <c r="AT9" s="16">
        <f>+AP9*1.05</f>
        <v>512.4</v>
      </c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>
        <f t="shared" si="1"/>
        <v>1820</v>
      </c>
      <c r="BJ9" s="16">
        <f t="shared" si="2"/>
        <v>2007</v>
      </c>
      <c r="BK9" s="16"/>
      <c r="BL9" s="16"/>
      <c r="BM9" s="16"/>
      <c r="BN9" s="16"/>
      <c r="BO9" s="16"/>
      <c r="BP9" s="16"/>
      <c r="BQ9" s="16"/>
    </row>
    <row r="10" spans="2:70" s="15" customFormat="1" x14ac:dyDescent="0.2">
      <c r="B10" s="23" t="s">
        <v>122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>
        <v>215</v>
      </c>
      <c r="AL10" s="16">
        <v>281</v>
      </c>
      <c r="AM10" s="16">
        <v>303</v>
      </c>
      <c r="AN10" s="16">
        <v>378</v>
      </c>
      <c r="AO10" s="16">
        <v>453</v>
      </c>
      <c r="AP10" s="16">
        <v>517</v>
      </c>
      <c r="AQ10" s="16">
        <v>465</v>
      </c>
      <c r="AR10" s="16">
        <v>592</v>
      </c>
      <c r="AS10" s="16">
        <f>+AO10*1.2</f>
        <v>543.6</v>
      </c>
      <c r="AT10" s="16">
        <f>+AP10*1.2</f>
        <v>620.4</v>
      </c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>
        <f t="shared" si="1"/>
        <v>1651</v>
      </c>
      <c r="BJ10" s="16">
        <f t="shared" si="2"/>
        <v>2221</v>
      </c>
      <c r="BK10" s="16"/>
      <c r="BL10" s="16"/>
      <c r="BM10" s="16"/>
      <c r="BN10" s="16"/>
      <c r="BO10" s="16"/>
      <c r="BP10" s="16"/>
      <c r="BQ10" s="16"/>
    </row>
    <row r="11" spans="2:70" s="15" customFormat="1" x14ac:dyDescent="0.2">
      <c r="B11" s="23" t="s">
        <v>131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>
        <v>358</v>
      </c>
      <c r="AL11" s="16">
        <v>401</v>
      </c>
      <c r="AM11" s="16">
        <v>346</v>
      </c>
      <c r="AN11" s="16">
        <v>432</v>
      </c>
      <c r="AO11" s="16">
        <v>461</v>
      </c>
      <c r="AP11" s="16">
        <v>489</v>
      </c>
      <c r="AQ11" s="16">
        <v>427</v>
      </c>
      <c r="AR11" s="16">
        <v>492</v>
      </c>
      <c r="AS11" s="16">
        <f>+AO11*1.01</f>
        <v>465.61</v>
      </c>
      <c r="AT11" s="16">
        <f>+AP11*1.01</f>
        <v>493.89</v>
      </c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>
        <f t="shared" si="1"/>
        <v>1728</v>
      </c>
      <c r="BJ11" s="16">
        <f t="shared" si="2"/>
        <v>1878.5</v>
      </c>
      <c r="BK11" s="16"/>
      <c r="BL11" s="16"/>
      <c r="BM11" s="16"/>
      <c r="BN11" s="16"/>
      <c r="BO11" s="16"/>
      <c r="BP11" s="16"/>
      <c r="BQ11" s="16"/>
    </row>
    <row r="12" spans="2:70" s="15" customFormat="1" x14ac:dyDescent="0.2">
      <c r="B12" s="23" t="s">
        <v>126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>
        <v>274</v>
      </c>
      <c r="AL12" s="16">
        <v>331</v>
      </c>
      <c r="AM12" s="16">
        <v>321</v>
      </c>
      <c r="AN12" s="16">
        <v>428</v>
      </c>
      <c r="AO12" s="16">
        <v>354</v>
      </c>
      <c r="AP12" s="16">
        <v>252</v>
      </c>
      <c r="AQ12" s="16">
        <v>410</v>
      </c>
      <c r="AR12" s="16">
        <v>344</v>
      </c>
      <c r="AS12" s="16">
        <f>+AO12*1.01</f>
        <v>357.54</v>
      </c>
      <c r="AT12" s="16">
        <f>+AP12*1.01</f>
        <v>254.52</v>
      </c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>
        <f t="shared" si="1"/>
        <v>1355</v>
      </c>
      <c r="BJ12" s="16">
        <f t="shared" si="2"/>
        <v>1366.06</v>
      </c>
      <c r="BK12" s="16"/>
      <c r="BL12" s="16"/>
      <c r="BM12" s="16"/>
      <c r="BN12" s="16"/>
      <c r="BO12" s="16"/>
      <c r="BP12" s="16"/>
      <c r="BQ12" s="16"/>
    </row>
    <row r="13" spans="2:70" s="15" customFormat="1" x14ac:dyDescent="0.2">
      <c r="B13" s="23" t="s">
        <v>139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>
        <v>414</v>
      </c>
      <c r="AL13" s="16">
        <v>481</v>
      </c>
      <c r="AM13" s="16">
        <v>415</v>
      </c>
      <c r="AN13" s="16">
        <v>442</v>
      </c>
      <c r="AO13" s="16">
        <v>426</v>
      </c>
      <c r="AP13" s="16">
        <v>427</v>
      </c>
      <c r="AQ13" s="16">
        <v>380</v>
      </c>
      <c r="AR13" s="16">
        <v>398</v>
      </c>
      <c r="AS13" s="16">
        <f>+AO13*0.9</f>
        <v>383.40000000000003</v>
      </c>
      <c r="AT13" s="16">
        <f>+AP13*0.9</f>
        <v>384.3</v>
      </c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>
        <f t="shared" si="1"/>
        <v>1710</v>
      </c>
      <c r="BJ13" s="16">
        <f t="shared" si="2"/>
        <v>1545.7</v>
      </c>
      <c r="BK13" s="16"/>
      <c r="BL13" s="16"/>
      <c r="BM13" s="16"/>
      <c r="BN13" s="16"/>
      <c r="BO13" s="16"/>
      <c r="BP13" s="16"/>
      <c r="BQ13" s="16"/>
    </row>
    <row r="14" spans="2:70" s="15" customFormat="1" x14ac:dyDescent="0.2">
      <c r="B14" s="23" t="s">
        <v>127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>
        <v>300</v>
      </c>
      <c r="AL14" s="16">
        <v>318</v>
      </c>
      <c r="AM14" s="16">
        <v>343</v>
      </c>
      <c r="AN14" s="16">
        <v>422</v>
      </c>
      <c r="AO14" s="16">
        <v>352</v>
      </c>
      <c r="AP14" s="16">
        <v>349</v>
      </c>
      <c r="AQ14" s="16">
        <v>323</v>
      </c>
      <c r="AR14" s="16">
        <v>332</v>
      </c>
      <c r="AS14" s="16">
        <f>+AO14*0.95</f>
        <v>334.4</v>
      </c>
      <c r="AT14" s="16">
        <f>+AP14*0.95</f>
        <v>331.55</v>
      </c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>
        <f t="shared" si="1"/>
        <v>1466</v>
      </c>
      <c r="BJ14" s="16">
        <f t="shared" si="2"/>
        <v>1320.95</v>
      </c>
      <c r="BK14" s="16"/>
      <c r="BL14" s="16"/>
      <c r="BM14" s="16"/>
      <c r="BN14" s="16"/>
      <c r="BO14" s="16"/>
      <c r="BP14" s="16"/>
      <c r="BQ14" s="16"/>
    </row>
    <row r="15" spans="2:70" s="15" customFormat="1" x14ac:dyDescent="0.2">
      <c r="B15" s="15" t="s">
        <v>6</v>
      </c>
      <c r="C15" s="16"/>
      <c r="D15" s="16"/>
      <c r="E15" s="16">
        <v>92</v>
      </c>
      <c r="F15" s="16"/>
      <c r="G15" s="16">
        <v>90</v>
      </c>
      <c r="H15" s="16"/>
      <c r="I15" s="16">
        <v>101</v>
      </c>
      <c r="J15" s="16"/>
      <c r="K15" s="16"/>
      <c r="L15" s="16">
        <v>110</v>
      </c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>
        <v>282</v>
      </c>
      <c r="AL15" s="16">
        <v>304</v>
      </c>
      <c r="AM15" s="16">
        <v>274</v>
      </c>
      <c r="AN15" s="16">
        <v>280</v>
      </c>
      <c r="AO15" s="16">
        <v>310</v>
      </c>
      <c r="AP15" s="16">
        <v>327</v>
      </c>
      <c r="AQ15" s="16">
        <v>287</v>
      </c>
      <c r="AR15" s="16">
        <v>318</v>
      </c>
      <c r="AS15" s="16">
        <f>+AO15</f>
        <v>310</v>
      </c>
      <c r="AT15" s="16">
        <f>+AP15</f>
        <v>327</v>
      </c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>
        <f t="shared" si="1"/>
        <v>1191</v>
      </c>
      <c r="BJ15" s="16">
        <f t="shared" si="2"/>
        <v>1242</v>
      </c>
      <c r="BK15" s="16"/>
      <c r="BL15" s="16"/>
      <c r="BM15" s="16"/>
      <c r="BN15" s="16"/>
      <c r="BO15" s="16"/>
      <c r="BP15" s="16"/>
      <c r="BQ15" s="16"/>
    </row>
    <row r="16" spans="2:70" s="15" customFormat="1" x14ac:dyDescent="0.2">
      <c r="B16" s="23" t="s">
        <v>138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>
        <v>269</v>
      </c>
      <c r="AL16" s="16">
        <v>296</v>
      </c>
      <c r="AM16" s="16">
        <v>276</v>
      </c>
      <c r="AN16" s="16">
        <v>301</v>
      </c>
      <c r="AO16" s="16">
        <v>286</v>
      </c>
      <c r="AP16" s="16">
        <v>306</v>
      </c>
      <c r="AQ16" s="16">
        <v>278</v>
      </c>
      <c r="AR16" s="16">
        <v>327</v>
      </c>
      <c r="AS16" s="16">
        <f>+AO16*0.95</f>
        <v>271.7</v>
      </c>
      <c r="AT16" s="16">
        <f>+AP16*0.95</f>
        <v>290.7</v>
      </c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>
        <f t="shared" si="1"/>
        <v>1169</v>
      </c>
      <c r="BJ16" s="16">
        <f t="shared" si="2"/>
        <v>1167.4000000000001</v>
      </c>
      <c r="BK16" s="16"/>
      <c r="BL16" s="16"/>
      <c r="BM16" s="16"/>
      <c r="BN16" s="16"/>
      <c r="BO16" s="16"/>
      <c r="BP16" s="16"/>
      <c r="BQ16" s="16"/>
    </row>
    <row r="17" spans="2:69" s="15" customFormat="1" x14ac:dyDescent="0.2">
      <c r="B17" s="23" t="s">
        <v>137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>
        <v>299</v>
      </c>
      <c r="AL17" s="16">
        <v>344</v>
      </c>
      <c r="AM17" s="16">
        <v>280</v>
      </c>
      <c r="AN17" s="16">
        <v>327</v>
      </c>
      <c r="AO17" s="16">
        <v>319</v>
      </c>
      <c r="AP17" s="16">
        <v>364</v>
      </c>
      <c r="AQ17" s="16">
        <v>246</v>
      </c>
      <c r="AR17" s="16">
        <v>168</v>
      </c>
      <c r="AS17" s="16">
        <f>+AR17-10</f>
        <v>158</v>
      </c>
      <c r="AT17" s="16">
        <f>+AS17-10</f>
        <v>148</v>
      </c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>
        <f t="shared" si="1"/>
        <v>1290</v>
      </c>
      <c r="BJ17" s="16">
        <f t="shared" si="2"/>
        <v>720</v>
      </c>
      <c r="BK17" s="16"/>
      <c r="BL17" s="16"/>
      <c r="BM17" s="16"/>
      <c r="BN17" s="16"/>
      <c r="BO17" s="16"/>
      <c r="BP17" s="16"/>
      <c r="BQ17" s="16"/>
    </row>
    <row r="18" spans="2:69" s="15" customFormat="1" x14ac:dyDescent="0.2">
      <c r="B18" s="23" t="s">
        <v>140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>
        <v>248</v>
      </c>
      <c r="AL18" s="16">
        <v>286</v>
      </c>
      <c r="AM18" s="16">
        <v>222</v>
      </c>
      <c r="AN18" s="16">
        <v>268</v>
      </c>
      <c r="AO18" s="16">
        <v>261</v>
      </c>
      <c r="AP18" s="16">
        <v>287</v>
      </c>
      <c r="AQ18" s="16">
        <v>240</v>
      </c>
      <c r="AR18" s="16">
        <v>255</v>
      </c>
      <c r="AS18" s="16">
        <f>+AO18*0.95</f>
        <v>247.95</v>
      </c>
      <c r="AT18" s="16">
        <f>+AP18*0.95</f>
        <v>272.64999999999998</v>
      </c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>
        <f t="shared" si="1"/>
        <v>1038</v>
      </c>
      <c r="BJ18" s="16">
        <f t="shared" si="2"/>
        <v>1015.6</v>
      </c>
      <c r="BK18" s="16"/>
      <c r="BL18" s="16"/>
      <c r="BM18" s="16"/>
      <c r="BN18" s="16"/>
      <c r="BO18" s="16"/>
      <c r="BP18" s="16"/>
      <c r="BQ18" s="16"/>
    </row>
    <row r="19" spans="2:69" s="15" customFormat="1" x14ac:dyDescent="0.2">
      <c r="B19" s="23" t="s">
        <v>134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>
        <v>207</v>
      </c>
      <c r="AL19" s="16">
        <v>227</v>
      </c>
      <c r="AM19" s="16">
        <v>160</v>
      </c>
      <c r="AN19" s="16">
        <v>171</v>
      </c>
      <c r="AO19" s="16">
        <v>171</v>
      </c>
      <c r="AP19" s="16">
        <v>183</v>
      </c>
      <c r="AQ19" s="16">
        <v>177</v>
      </c>
      <c r="AR19" s="16">
        <v>150</v>
      </c>
      <c r="AS19" s="16">
        <f>+AO19*0.95</f>
        <v>162.44999999999999</v>
      </c>
      <c r="AT19" s="16">
        <f>+AP19*0.95</f>
        <v>173.85</v>
      </c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>
        <f t="shared" si="1"/>
        <v>685</v>
      </c>
      <c r="BJ19" s="16">
        <f t="shared" si="2"/>
        <v>663.3</v>
      </c>
      <c r="BK19" s="16"/>
      <c r="BL19" s="16"/>
      <c r="BM19" s="16"/>
      <c r="BN19" s="16"/>
      <c r="BO19" s="16"/>
      <c r="BP19" s="16"/>
      <c r="BQ19" s="16"/>
    </row>
    <row r="20" spans="2:69" s="15" customFormat="1" x14ac:dyDescent="0.2">
      <c r="B20" s="23" t="s">
        <v>135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>
        <v>149</v>
      </c>
      <c r="AL20" s="16">
        <v>153</v>
      </c>
      <c r="AM20" s="16">
        <v>143</v>
      </c>
      <c r="AN20" s="16">
        <v>149</v>
      </c>
      <c r="AO20" s="16">
        <v>138</v>
      </c>
      <c r="AP20" s="16">
        <v>149</v>
      </c>
      <c r="AQ20" s="16">
        <v>140</v>
      </c>
      <c r="AR20" s="16">
        <v>130</v>
      </c>
      <c r="AS20" s="16">
        <f>+AO20</f>
        <v>138</v>
      </c>
      <c r="AT20" s="16">
        <f>+AP20</f>
        <v>149</v>
      </c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>
        <f t="shared" si="1"/>
        <v>579</v>
      </c>
      <c r="BJ20" s="16">
        <f t="shared" si="2"/>
        <v>557</v>
      </c>
      <c r="BK20" s="16"/>
      <c r="BL20" s="16"/>
      <c r="BM20" s="16"/>
      <c r="BN20" s="16"/>
      <c r="BO20" s="16"/>
      <c r="BP20" s="16"/>
      <c r="BQ20" s="16"/>
    </row>
    <row r="21" spans="2:69" s="15" customFormat="1" x14ac:dyDescent="0.2">
      <c r="B21" s="23" t="s">
        <v>132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>
        <v>38</v>
      </c>
      <c r="AL21" s="16">
        <v>65</v>
      </c>
      <c r="AM21" s="16">
        <v>81</v>
      </c>
      <c r="AN21" s="16">
        <v>126</v>
      </c>
      <c r="AO21" s="16">
        <v>162</v>
      </c>
      <c r="AP21" s="16">
        <v>183</v>
      </c>
      <c r="AQ21" s="16">
        <v>138</v>
      </c>
      <c r="AR21" s="16">
        <v>185</v>
      </c>
      <c r="AS21" s="16">
        <f>+AR21+10</f>
        <v>195</v>
      </c>
      <c r="AT21" s="16">
        <f>+AS21+10</f>
        <v>205</v>
      </c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>
        <f t="shared" si="1"/>
        <v>552</v>
      </c>
      <c r="BJ21" s="16">
        <f t="shared" si="2"/>
        <v>723</v>
      </c>
      <c r="BK21" s="16"/>
      <c r="BL21" s="16"/>
      <c r="BM21" s="16"/>
      <c r="BN21" s="16"/>
      <c r="BO21" s="16"/>
      <c r="BP21" s="16"/>
      <c r="BQ21" s="16"/>
    </row>
    <row r="22" spans="2:69" s="15" customFormat="1" x14ac:dyDescent="0.2">
      <c r="B22" s="15" t="s">
        <v>4</v>
      </c>
      <c r="C22" s="16"/>
      <c r="D22" s="16"/>
      <c r="E22" s="16">
        <v>37</v>
      </c>
      <c r="F22" s="16"/>
      <c r="G22" s="16">
        <v>39</v>
      </c>
      <c r="H22" s="16"/>
      <c r="I22" s="16">
        <v>46</v>
      </c>
      <c r="J22" s="16"/>
      <c r="K22" s="16"/>
      <c r="L22" s="16">
        <v>56</v>
      </c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>
        <v>123</v>
      </c>
      <c r="AL22" s="16">
        <v>129</v>
      </c>
      <c r="AM22" s="16">
        <v>129</v>
      </c>
      <c r="AN22" s="16">
        <v>127</v>
      </c>
      <c r="AO22" s="16">
        <v>127</v>
      </c>
      <c r="AP22" s="16">
        <v>128</v>
      </c>
      <c r="AQ22" s="16">
        <v>121</v>
      </c>
      <c r="AR22" s="16">
        <v>120</v>
      </c>
      <c r="AS22" s="16">
        <f>+AO22</f>
        <v>127</v>
      </c>
      <c r="AT22" s="16">
        <f>+AP22</f>
        <v>128</v>
      </c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>
        <f t="shared" si="1"/>
        <v>511</v>
      </c>
      <c r="BJ22" s="16">
        <f t="shared" si="2"/>
        <v>496</v>
      </c>
      <c r="BK22" s="16"/>
      <c r="BL22" s="16"/>
      <c r="BM22" s="16"/>
      <c r="BN22" s="16"/>
      <c r="BO22" s="16"/>
      <c r="BP22" s="16"/>
      <c r="BQ22" s="16"/>
    </row>
    <row r="23" spans="2:69" s="15" customFormat="1" x14ac:dyDescent="0.2">
      <c r="B23" s="23" t="s">
        <v>136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>
        <v>123</v>
      </c>
      <c r="AL23" s="16">
        <v>134</v>
      </c>
      <c r="AM23" s="16">
        <v>118</v>
      </c>
      <c r="AN23" s="16">
        <v>142</v>
      </c>
      <c r="AO23" s="16">
        <v>128</v>
      </c>
      <c r="AP23" s="16">
        <v>141</v>
      </c>
      <c r="AQ23" s="16">
        <v>107</v>
      </c>
      <c r="AR23" s="16">
        <v>92</v>
      </c>
      <c r="AS23" s="16">
        <f>+AR23-3</f>
        <v>89</v>
      </c>
      <c r="AT23" s="16">
        <f>+AS23-3</f>
        <v>86</v>
      </c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>
        <f t="shared" si="1"/>
        <v>529</v>
      </c>
      <c r="BJ23" s="16">
        <f t="shared" si="2"/>
        <v>374</v>
      </c>
      <c r="BK23" s="16"/>
      <c r="BL23" s="16"/>
      <c r="BM23" s="16"/>
      <c r="BN23" s="16"/>
      <c r="BO23" s="16"/>
      <c r="BP23" s="16"/>
      <c r="BQ23" s="16"/>
    </row>
    <row r="24" spans="2:69" s="15" customFormat="1" x14ac:dyDescent="0.2">
      <c r="B24" s="23" t="s">
        <v>133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11</v>
      </c>
      <c r="AR24" s="16">
        <v>33</v>
      </c>
      <c r="AS24" s="16">
        <f>+AR24+10</f>
        <v>43</v>
      </c>
      <c r="AT24" s="16">
        <f>+AS24+10</f>
        <v>53</v>
      </c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>
        <f t="shared" si="1"/>
        <v>0</v>
      </c>
      <c r="BJ24" s="16">
        <f t="shared" si="2"/>
        <v>140</v>
      </c>
      <c r="BK24" s="16"/>
      <c r="BL24" s="16"/>
      <c r="BM24" s="16"/>
      <c r="BN24" s="16"/>
      <c r="BO24" s="16"/>
      <c r="BP24" s="16"/>
      <c r="BQ24" s="16"/>
    </row>
    <row r="25" spans="2:69" s="15" customFormat="1" x14ac:dyDescent="0.2">
      <c r="B25" s="15" t="s">
        <v>2</v>
      </c>
      <c r="C25" s="16"/>
      <c r="D25" s="16"/>
      <c r="E25" s="16">
        <v>96</v>
      </c>
      <c r="F25" s="16"/>
      <c r="G25" s="16">
        <v>345</v>
      </c>
      <c r="H25" s="16"/>
      <c r="I25" s="16">
        <v>98</v>
      </c>
      <c r="J25" s="16"/>
      <c r="K25" s="16"/>
      <c r="L25" s="16">
        <v>74</v>
      </c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>
        <f t="shared" si="1"/>
        <v>0</v>
      </c>
      <c r="BJ25" s="16">
        <f t="shared" si="2"/>
        <v>0</v>
      </c>
      <c r="BK25" s="16"/>
      <c r="BL25" s="16"/>
      <c r="BM25" s="16"/>
      <c r="BN25" s="16"/>
      <c r="BO25" s="16"/>
      <c r="BP25" s="16"/>
      <c r="BQ25" s="16"/>
    </row>
    <row r="26" spans="2:69" s="15" customFormat="1" x14ac:dyDescent="0.2">
      <c r="B26" s="15" t="s">
        <v>3</v>
      </c>
      <c r="C26" s="16"/>
      <c r="D26" s="16"/>
      <c r="E26" s="16">
        <v>279</v>
      </c>
      <c r="F26" s="16"/>
      <c r="G26" s="16">
        <v>240</v>
      </c>
      <c r="H26" s="16"/>
      <c r="I26" s="16">
        <v>248</v>
      </c>
      <c r="J26" s="16"/>
      <c r="K26" s="16"/>
      <c r="L26" s="16">
        <v>218</v>
      </c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>
        <f t="shared" si="1"/>
        <v>0</v>
      </c>
      <c r="BJ26" s="16">
        <f t="shared" si="2"/>
        <v>0</v>
      </c>
      <c r="BK26" s="16"/>
      <c r="BL26" s="16"/>
      <c r="BM26" s="16"/>
      <c r="BN26" s="16"/>
      <c r="BO26" s="16"/>
      <c r="BP26" s="16"/>
      <c r="BQ26" s="16"/>
    </row>
    <row r="27" spans="2:69" s="15" customFormat="1" x14ac:dyDescent="0.2">
      <c r="B27" s="15" t="s">
        <v>11</v>
      </c>
      <c r="C27" s="16"/>
      <c r="D27" s="16"/>
      <c r="E27" s="16">
        <v>267</v>
      </c>
      <c r="F27" s="16"/>
      <c r="G27" s="16">
        <v>219</v>
      </c>
      <c r="H27" s="16"/>
      <c r="I27" s="16">
        <v>237</v>
      </c>
      <c r="J27" s="16"/>
      <c r="K27" s="16"/>
      <c r="L27" s="16">
        <v>216</v>
      </c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>
        <f t="shared" si="1"/>
        <v>0</v>
      </c>
      <c r="BJ27" s="16">
        <f t="shared" si="2"/>
        <v>0</v>
      </c>
      <c r="BK27" s="16"/>
      <c r="BL27" s="16"/>
      <c r="BM27" s="16"/>
      <c r="BN27" s="16"/>
      <c r="BO27" s="16"/>
      <c r="BP27" s="16"/>
      <c r="BQ27" s="16"/>
    </row>
    <row r="28" spans="2:69" s="15" customFormat="1" x14ac:dyDescent="0.2">
      <c r="B28" s="15" t="s">
        <v>10</v>
      </c>
      <c r="C28" s="16"/>
      <c r="D28" s="16"/>
      <c r="E28" s="16">
        <v>232</v>
      </c>
      <c r="F28" s="16"/>
      <c r="G28" s="16">
        <v>186</v>
      </c>
      <c r="H28" s="16"/>
      <c r="I28" s="16">
        <v>201</v>
      </c>
      <c r="J28" s="16"/>
      <c r="K28" s="16"/>
      <c r="L28" s="16">
        <v>21</v>
      </c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>
        <f t="shared" si="1"/>
        <v>0</v>
      </c>
      <c r="BJ28" s="16">
        <f t="shared" si="2"/>
        <v>0</v>
      </c>
      <c r="BK28" s="16"/>
      <c r="BL28" s="16"/>
      <c r="BM28" s="16"/>
      <c r="BN28" s="16"/>
      <c r="BO28" s="16"/>
      <c r="BP28" s="16"/>
      <c r="BQ28" s="16"/>
    </row>
    <row r="29" spans="2:69" s="15" customFormat="1" x14ac:dyDescent="0.2">
      <c r="B29" s="15" t="s">
        <v>9</v>
      </c>
      <c r="C29" s="16"/>
      <c r="D29" s="16"/>
      <c r="E29" s="16">
        <v>189</v>
      </c>
      <c r="F29" s="16"/>
      <c r="G29" s="16">
        <v>181</v>
      </c>
      <c r="H29" s="16"/>
      <c r="I29" s="16">
        <v>196</v>
      </c>
      <c r="J29" s="16"/>
      <c r="K29" s="16"/>
      <c r="L29" s="16">
        <v>186</v>
      </c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>
        <f t="shared" si="1"/>
        <v>0</v>
      </c>
      <c r="BJ29" s="16">
        <f t="shared" si="2"/>
        <v>0</v>
      </c>
      <c r="BK29" s="16"/>
      <c r="BL29" s="16"/>
      <c r="BM29" s="16"/>
      <c r="BN29" s="16"/>
      <c r="BO29" s="16"/>
      <c r="BP29" s="16"/>
      <c r="BQ29" s="16"/>
    </row>
    <row r="30" spans="2:69" s="15" customFormat="1" x14ac:dyDescent="0.2">
      <c r="B30" s="15" t="s">
        <v>8</v>
      </c>
      <c r="C30" s="16"/>
      <c r="D30" s="16"/>
      <c r="E30" s="16">
        <v>332</v>
      </c>
      <c r="F30" s="16"/>
      <c r="G30" s="16">
        <v>128</v>
      </c>
      <c r="H30" s="16"/>
      <c r="I30" s="16">
        <v>39</v>
      </c>
      <c r="J30" s="16"/>
      <c r="K30" s="16"/>
      <c r="L30" s="16">
        <v>17</v>
      </c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>
        <f t="shared" si="1"/>
        <v>0</v>
      </c>
      <c r="BJ30" s="16">
        <f t="shared" si="2"/>
        <v>0</v>
      </c>
      <c r="BK30" s="16"/>
      <c r="BL30" s="16"/>
      <c r="BM30" s="16"/>
      <c r="BN30" s="16"/>
      <c r="BO30" s="16"/>
      <c r="BP30" s="16"/>
      <c r="BQ30" s="16"/>
    </row>
    <row r="31" spans="2:69" s="15" customFormat="1" x14ac:dyDescent="0.2">
      <c r="B31" s="15" t="s">
        <v>7</v>
      </c>
      <c r="C31" s="16"/>
      <c r="D31" s="16"/>
      <c r="E31" s="16">
        <v>131</v>
      </c>
      <c r="F31" s="16"/>
      <c r="G31" s="16">
        <v>119</v>
      </c>
      <c r="H31" s="16"/>
      <c r="I31" s="16">
        <v>161</v>
      </c>
      <c r="J31" s="16"/>
      <c r="K31" s="16"/>
      <c r="L31" s="16">
        <v>166</v>
      </c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>
        <f t="shared" si="1"/>
        <v>0</v>
      </c>
      <c r="BJ31" s="16">
        <f t="shared" si="2"/>
        <v>0</v>
      </c>
      <c r="BK31" s="16"/>
      <c r="BL31" s="16"/>
      <c r="BM31" s="16"/>
      <c r="BN31" s="16"/>
      <c r="BO31" s="16"/>
      <c r="BP31" s="16"/>
      <c r="BQ31" s="16"/>
    </row>
    <row r="32" spans="2:69" s="15" customFormat="1" x14ac:dyDescent="0.2">
      <c r="B32" s="15" t="s">
        <v>69</v>
      </c>
      <c r="C32" s="16"/>
      <c r="D32" s="16"/>
      <c r="E32" s="16">
        <v>135</v>
      </c>
      <c r="F32" s="16"/>
      <c r="G32" s="16"/>
      <c r="H32" s="16"/>
      <c r="I32" s="16">
        <v>138</v>
      </c>
      <c r="J32" s="16"/>
      <c r="K32" s="16"/>
      <c r="L32" s="16">
        <v>154</v>
      </c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>
        <f t="shared" si="1"/>
        <v>0</v>
      </c>
      <c r="BJ32" s="16">
        <f t="shared" si="2"/>
        <v>0</v>
      </c>
      <c r="BK32" s="16"/>
      <c r="BL32" s="16"/>
      <c r="BM32" s="16"/>
      <c r="BN32" s="16"/>
      <c r="BO32" s="16"/>
      <c r="BP32" s="16"/>
      <c r="BQ32" s="16"/>
    </row>
    <row r="33" spans="2:69" s="15" customFormat="1" x14ac:dyDescent="0.2">
      <c r="B33" s="15" t="s">
        <v>5</v>
      </c>
      <c r="C33" s="16"/>
      <c r="D33" s="16"/>
      <c r="E33" s="16">
        <v>91</v>
      </c>
      <c r="F33" s="16"/>
      <c r="G33" s="16">
        <v>81</v>
      </c>
      <c r="H33" s="16"/>
      <c r="I33" s="16">
        <v>100</v>
      </c>
      <c r="J33" s="16"/>
      <c r="K33" s="16"/>
      <c r="L33" s="16">
        <v>0</v>
      </c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>
        <f t="shared" si="1"/>
        <v>0</v>
      </c>
      <c r="BJ33" s="16">
        <f t="shared" si="2"/>
        <v>0</v>
      </c>
      <c r="BK33" s="16"/>
      <c r="BL33" s="16"/>
      <c r="BM33" s="16"/>
      <c r="BN33" s="16"/>
      <c r="BO33" s="16"/>
      <c r="BP33" s="16"/>
      <c r="BQ33" s="16"/>
    </row>
    <row r="34" spans="2:69" s="15" customFormat="1" x14ac:dyDescent="0.2">
      <c r="B34" s="15" t="s">
        <v>14</v>
      </c>
      <c r="C34" s="16"/>
      <c r="D34" s="16"/>
      <c r="E34" s="16">
        <f>SUM(E3:E33)</f>
        <v>4207</v>
      </c>
      <c r="F34" s="16"/>
      <c r="G34" s="16">
        <f>SUM(G3:G33)</f>
        <v>3872</v>
      </c>
      <c r="H34" s="16"/>
      <c r="I34" s="16">
        <f>SUM(I3:I33)</f>
        <v>4335</v>
      </c>
      <c r="J34" s="16"/>
      <c r="K34" s="16"/>
      <c r="L34" s="16">
        <f>SUM(L3:L33)</f>
        <v>4506</v>
      </c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>
        <f t="shared" si="1"/>
        <v>0</v>
      </c>
      <c r="BJ34" s="16">
        <f t="shared" si="2"/>
        <v>0</v>
      </c>
      <c r="BK34" s="16"/>
      <c r="BL34" s="16"/>
      <c r="BM34" s="16"/>
      <c r="BN34" s="16"/>
      <c r="BO34" s="16"/>
      <c r="BP34" s="16"/>
      <c r="BQ34" s="16"/>
    </row>
    <row r="35" spans="2:69" s="15" customFormat="1" x14ac:dyDescent="0.2">
      <c r="B35" s="15" t="s">
        <v>13</v>
      </c>
      <c r="C35" s="16"/>
      <c r="D35" s="16"/>
      <c r="E35" s="16">
        <v>301</v>
      </c>
      <c r="F35" s="16"/>
      <c r="G35" s="16">
        <f>+G36-G34</f>
        <v>457</v>
      </c>
      <c r="H35" s="16"/>
      <c r="I35" s="16">
        <v>323</v>
      </c>
      <c r="J35" s="16"/>
      <c r="K35" s="16"/>
      <c r="L35" s="16">
        <f>4926-L34</f>
        <v>420</v>
      </c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>
        <f>12882-11512</f>
        <v>1370</v>
      </c>
      <c r="AL35" s="16">
        <f>13858-12276</f>
        <v>1582</v>
      </c>
      <c r="AM35" s="16">
        <f>12935-11534</f>
        <v>1401</v>
      </c>
      <c r="AN35" s="16">
        <f>13959-12738</f>
        <v>1221</v>
      </c>
      <c r="AO35" s="16">
        <f>14342-13225</f>
        <v>1117</v>
      </c>
      <c r="AP35" s="16">
        <f>14886-13501</f>
        <v>1385</v>
      </c>
      <c r="AQ35" s="16">
        <f>13538-12327</f>
        <v>1211</v>
      </c>
      <c r="AR35" s="16">
        <f>14583-13574</f>
        <v>1009</v>
      </c>
      <c r="AS35" s="16">
        <f>+AO35*0.9</f>
        <v>1005.3000000000001</v>
      </c>
      <c r="AT35" s="16">
        <f>+AP35*0.9</f>
        <v>1246.5</v>
      </c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>
        <f t="shared" si="1"/>
        <v>5124</v>
      </c>
      <c r="BJ35" s="16">
        <f t="shared" si="2"/>
        <v>4471.8</v>
      </c>
      <c r="BK35" s="16"/>
      <c r="BL35" s="16"/>
      <c r="BM35" s="16"/>
      <c r="BN35" s="16"/>
      <c r="BO35" s="16"/>
      <c r="BP35" s="16"/>
      <c r="BQ35" s="16"/>
    </row>
    <row r="36" spans="2:69" s="17" customFormat="1" x14ac:dyDescent="0.2">
      <c r="B36" s="17" t="s">
        <v>12</v>
      </c>
      <c r="C36" s="18"/>
      <c r="D36" s="18"/>
      <c r="E36" s="18">
        <f>+E35+E34</f>
        <v>4508</v>
      </c>
      <c r="F36" s="18"/>
      <c r="G36" s="18">
        <v>4329</v>
      </c>
      <c r="H36" s="18"/>
      <c r="I36" s="18">
        <f>+I35+I34</f>
        <v>4658</v>
      </c>
      <c r="J36" s="18"/>
      <c r="K36" s="18"/>
      <c r="L36" s="18">
        <f>+L35+L34</f>
        <v>4926</v>
      </c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>
        <f t="shared" ref="AK36:AT36" si="3">SUM(AK3:AK35)</f>
        <v>12882</v>
      </c>
      <c r="AL36" s="18">
        <f t="shared" si="3"/>
        <v>13858</v>
      </c>
      <c r="AM36" s="18">
        <f t="shared" si="3"/>
        <v>12935</v>
      </c>
      <c r="AN36" s="18">
        <f t="shared" si="3"/>
        <v>13959</v>
      </c>
      <c r="AO36" s="18">
        <f t="shared" si="3"/>
        <v>14342</v>
      </c>
      <c r="AP36" s="18">
        <f t="shared" si="3"/>
        <v>14886</v>
      </c>
      <c r="AQ36" s="18">
        <f t="shared" si="3"/>
        <v>13538</v>
      </c>
      <c r="AR36" s="18">
        <f t="shared" si="3"/>
        <v>14583</v>
      </c>
      <c r="AS36" s="18">
        <f t="shared" si="3"/>
        <v>14786.100000000002</v>
      </c>
      <c r="AT36" s="18">
        <f t="shared" si="3"/>
        <v>15278.899999999998</v>
      </c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>
        <f>SUM(BI3:BI35)</f>
        <v>56122</v>
      </c>
      <c r="BJ36" s="18">
        <f>SUM(BJ3:BJ35)</f>
        <v>58186</v>
      </c>
      <c r="BK36" s="18"/>
      <c r="BL36" s="18"/>
      <c r="BM36" s="18"/>
      <c r="BN36" s="18"/>
      <c r="BO36" s="18"/>
      <c r="BP36" s="18"/>
      <c r="BQ36" s="18"/>
    </row>
    <row r="37" spans="2:69" s="15" customFormat="1" x14ac:dyDescent="0.2">
      <c r="B37" s="15" t="s">
        <v>26</v>
      </c>
      <c r="C37" s="16"/>
      <c r="D37" s="16"/>
      <c r="E37" s="16"/>
      <c r="F37" s="16"/>
      <c r="G37" s="16">
        <v>1153</v>
      </c>
      <c r="H37" s="16"/>
      <c r="I37" s="16">
        <v>1092</v>
      </c>
      <c r="J37" s="16"/>
      <c r="K37" s="16"/>
      <c r="L37" s="16">
        <f>1113-69-3-6</f>
        <v>1035</v>
      </c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>
        <v>2362</v>
      </c>
      <c r="AL37" s="16">
        <v>2523</v>
      </c>
      <c r="AM37" s="16">
        <v>2085</v>
      </c>
      <c r="AN37" s="16">
        <v>2479</v>
      </c>
      <c r="AO37" s="16">
        <v>2413</v>
      </c>
      <c r="AP37" s="16">
        <v>2448</v>
      </c>
      <c r="AQ37" s="16">
        <v>2103</v>
      </c>
      <c r="AR37" s="16">
        <v>2232</v>
      </c>
      <c r="AS37" s="16">
        <f>+AS36-AS38</f>
        <v>2217.9150000000009</v>
      </c>
      <c r="AT37" s="16">
        <f>+AT36-AT38</f>
        <v>2291.8349999999991</v>
      </c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>
        <f t="shared" ref="BI37" si="4">SUM(AM37:AP37)</f>
        <v>9425</v>
      </c>
      <c r="BJ37" s="16">
        <f t="shared" ref="BJ37" si="5">SUM(AQ37:AT37)</f>
        <v>8844.75</v>
      </c>
      <c r="BK37" s="16"/>
      <c r="BL37" s="16"/>
      <c r="BM37" s="16"/>
      <c r="BN37" s="16"/>
      <c r="BO37" s="16"/>
      <c r="BP37" s="16"/>
      <c r="BQ37" s="16"/>
    </row>
    <row r="38" spans="2:69" s="15" customFormat="1" x14ac:dyDescent="0.2">
      <c r="B38" s="15" t="s">
        <v>25</v>
      </c>
      <c r="C38" s="16"/>
      <c r="D38" s="16"/>
      <c r="E38" s="16"/>
      <c r="F38" s="16"/>
      <c r="G38" s="16">
        <f>+G36-G37</f>
        <v>3176</v>
      </c>
      <c r="H38" s="16"/>
      <c r="I38" s="16">
        <f>+I36-I37</f>
        <v>3566</v>
      </c>
      <c r="J38" s="16"/>
      <c r="K38" s="16"/>
      <c r="L38" s="16">
        <f>+L36-L37</f>
        <v>3891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>
        <f t="shared" ref="AK38:AQ38" si="6">AK36-AK37</f>
        <v>10520</v>
      </c>
      <c r="AL38" s="16">
        <f t="shared" si="6"/>
        <v>11335</v>
      </c>
      <c r="AM38" s="16">
        <f t="shared" si="6"/>
        <v>10850</v>
      </c>
      <c r="AN38" s="16">
        <f t="shared" si="6"/>
        <v>11480</v>
      </c>
      <c r="AO38" s="16">
        <f t="shared" si="6"/>
        <v>11929</v>
      </c>
      <c r="AP38" s="16">
        <f t="shared" si="6"/>
        <v>12438</v>
      </c>
      <c r="AQ38" s="16">
        <f t="shared" si="6"/>
        <v>11435</v>
      </c>
      <c r="AR38" s="16">
        <f t="shared" ref="AR38" si="7">AR36-AR37</f>
        <v>12351</v>
      </c>
      <c r="AS38" s="16">
        <f>+AS36*0.85</f>
        <v>12568.185000000001</v>
      </c>
      <c r="AT38" s="16">
        <f>+AT36*0.85</f>
        <v>12987.064999999999</v>
      </c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>
        <f>+BI36-BI37</f>
        <v>46697</v>
      </c>
      <c r="BJ38" s="16">
        <f>+BJ36-BJ37</f>
        <v>49341.25</v>
      </c>
      <c r="BK38" s="16"/>
      <c r="BL38" s="16"/>
      <c r="BM38" s="16"/>
      <c r="BN38" s="16"/>
      <c r="BO38" s="16"/>
      <c r="BP38" s="16"/>
      <c r="BQ38" s="16"/>
    </row>
    <row r="39" spans="2:69" s="15" customFormat="1" x14ac:dyDescent="0.2">
      <c r="B39" s="15" t="s">
        <v>24</v>
      </c>
      <c r="C39" s="16"/>
      <c r="D39" s="16"/>
      <c r="E39" s="16"/>
      <c r="F39" s="16"/>
      <c r="G39" s="16">
        <v>1237</v>
      </c>
      <c r="H39" s="16"/>
      <c r="I39" s="16">
        <v>1261</v>
      </c>
      <c r="J39" s="16"/>
      <c r="K39" s="16"/>
      <c r="L39" s="16">
        <f>1448-96-6</f>
        <v>1346</v>
      </c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>
        <v>2723</v>
      </c>
      <c r="AL39" s="16">
        <v>3089</v>
      </c>
      <c r="AM39" s="16">
        <v>2743</v>
      </c>
      <c r="AN39" s="16">
        <v>2953</v>
      </c>
      <c r="AO39" s="16">
        <v>2961</v>
      </c>
      <c r="AP39" s="16">
        <v>3307</v>
      </c>
      <c r="AQ39" s="16">
        <v>2852</v>
      </c>
      <c r="AR39" s="16">
        <v>3035</v>
      </c>
      <c r="AS39" s="16">
        <f>+AO39*1.01</f>
        <v>2990.61</v>
      </c>
      <c r="AT39" s="16">
        <f>+AP39*1.01</f>
        <v>3340.07</v>
      </c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>
        <f t="shared" ref="BI39:BI40" si="8">SUM(AM39:AP39)</f>
        <v>11964</v>
      </c>
      <c r="BJ39" s="16">
        <f t="shared" ref="BJ39:BJ40" si="9">SUM(AQ39:AT39)</f>
        <v>12217.68</v>
      </c>
      <c r="BK39" s="16"/>
      <c r="BL39" s="16"/>
      <c r="BM39" s="16"/>
      <c r="BN39" s="16"/>
      <c r="BO39" s="16"/>
      <c r="BP39" s="16"/>
      <c r="BQ39" s="16"/>
    </row>
    <row r="40" spans="2:69" s="15" customFormat="1" x14ac:dyDescent="0.2">
      <c r="B40" s="15" t="s">
        <v>23</v>
      </c>
      <c r="C40" s="16"/>
      <c r="D40" s="16"/>
      <c r="E40" s="16"/>
      <c r="F40" s="16"/>
      <c r="G40" s="16">
        <v>634</v>
      </c>
      <c r="H40" s="16"/>
      <c r="I40" s="16">
        <v>714</v>
      </c>
      <c r="J40" s="16"/>
      <c r="K40" s="16"/>
      <c r="L40" s="16">
        <f>834-41</f>
        <v>793</v>
      </c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>
        <v>1513</v>
      </c>
      <c r="AL40" s="16">
        <v>1751</v>
      </c>
      <c r="AM40" s="16">
        <v>1505</v>
      </c>
      <c r="AN40" s="16">
        <v>1583</v>
      </c>
      <c r="AO40" s="16">
        <v>1632</v>
      </c>
      <c r="AP40" s="16">
        <v>1798</v>
      </c>
      <c r="AQ40" s="16">
        <v>1480</v>
      </c>
      <c r="AR40" s="16">
        <v>1607</v>
      </c>
      <c r="AS40" s="16">
        <f>+AO40*1.01</f>
        <v>1648.32</v>
      </c>
      <c r="AT40" s="16">
        <f>+AP40*1.01</f>
        <v>1815.98</v>
      </c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>
        <f t="shared" si="8"/>
        <v>6518</v>
      </c>
      <c r="BJ40" s="16">
        <f t="shared" si="9"/>
        <v>6551.2999999999993</v>
      </c>
      <c r="BK40" s="16"/>
      <c r="BL40" s="16"/>
      <c r="BM40" s="16"/>
      <c r="BN40" s="16"/>
      <c r="BO40" s="16"/>
      <c r="BP40" s="16"/>
      <c r="BQ40" s="16"/>
    </row>
    <row r="41" spans="2:69" s="15" customFormat="1" x14ac:dyDescent="0.2">
      <c r="B41" s="15" t="s">
        <v>21</v>
      </c>
      <c r="C41" s="16"/>
      <c r="D41" s="16"/>
      <c r="E41" s="16"/>
      <c r="F41" s="16"/>
      <c r="G41" s="16">
        <f>+G40+G39</f>
        <v>1871</v>
      </c>
      <c r="H41" s="16"/>
      <c r="I41" s="16">
        <f>+I40+I39</f>
        <v>1975</v>
      </c>
      <c r="J41" s="16"/>
      <c r="K41" s="16"/>
      <c r="L41" s="16">
        <f>+L40+L39</f>
        <v>2139</v>
      </c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>
        <f t="shared" ref="AK41:AQ41" si="10">AK40+AK39</f>
        <v>4236</v>
      </c>
      <c r="AL41" s="16">
        <f t="shared" si="10"/>
        <v>4840</v>
      </c>
      <c r="AM41" s="16">
        <f t="shared" si="10"/>
        <v>4248</v>
      </c>
      <c r="AN41" s="16">
        <f t="shared" si="10"/>
        <v>4536</v>
      </c>
      <c r="AO41" s="16">
        <f t="shared" si="10"/>
        <v>4593</v>
      </c>
      <c r="AP41" s="16">
        <f t="shared" si="10"/>
        <v>5105</v>
      </c>
      <c r="AQ41" s="16">
        <f t="shared" si="10"/>
        <v>4332</v>
      </c>
      <c r="AR41" s="16">
        <f t="shared" ref="AR41:AT41" si="11">AR40+AR39</f>
        <v>4642</v>
      </c>
      <c r="AS41" s="16">
        <f t="shared" si="11"/>
        <v>4638.93</v>
      </c>
      <c r="AT41" s="16">
        <f t="shared" si="11"/>
        <v>5156.05</v>
      </c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>
        <f>+BI39+BI40</f>
        <v>18482</v>
      </c>
      <c r="BJ41" s="16">
        <f>+BJ39+BJ40</f>
        <v>18768.98</v>
      </c>
      <c r="BK41" s="16"/>
      <c r="BL41" s="16"/>
      <c r="BM41" s="16"/>
      <c r="BN41" s="16"/>
      <c r="BO41" s="16"/>
      <c r="BP41" s="16"/>
      <c r="BQ41" s="16"/>
    </row>
    <row r="42" spans="2:69" s="15" customFormat="1" x14ac:dyDescent="0.2">
      <c r="B42" s="15" t="s">
        <v>22</v>
      </c>
      <c r="C42" s="16"/>
      <c r="D42" s="16"/>
      <c r="E42" s="16"/>
      <c r="F42" s="16"/>
      <c r="G42" s="16">
        <f>G38-G41</f>
        <v>1305</v>
      </c>
      <c r="H42" s="16"/>
      <c r="I42" s="16">
        <f>I38-I41</f>
        <v>1591</v>
      </c>
      <c r="J42" s="16"/>
      <c r="K42" s="16"/>
      <c r="L42" s="16">
        <f>+L38-L41</f>
        <v>1752</v>
      </c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>
        <f t="shared" ref="AK42:AQ42" si="12">AK38-AK41</f>
        <v>6284</v>
      </c>
      <c r="AL42" s="16">
        <f t="shared" si="12"/>
        <v>6495</v>
      </c>
      <c r="AM42" s="16">
        <f t="shared" si="12"/>
        <v>6602</v>
      </c>
      <c r="AN42" s="16">
        <f t="shared" si="12"/>
        <v>6944</v>
      </c>
      <c r="AO42" s="16">
        <f t="shared" si="12"/>
        <v>7336</v>
      </c>
      <c r="AP42" s="16">
        <f t="shared" si="12"/>
        <v>7333</v>
      </c>
      <c r="AQ42" s="16">
        <f t="shared" si="12"/>
        <v>7103</v>
      </c>
      <c r="AR42" s="16">
        <f t="shared" ref="AR42:AT42" si="13">AR38-AR41</f>
        <v>7709</v>
      </c>
      <c r="AS42" s="16">
        <f t="shared" si="13"/>
        <v>7929.255000000001</v>
      </c>
      <c r="AT42" s="16">
        <f t="shared" si="13"/>
        <v>7831.0149999999985</v>
      </c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>
        <f>+BI38-BI41</f>
        <v>28215</v>
      </c>
      <c r="BJ42" s="16">
        <f>+BJ38-BJ41</f>
        <v>30572.27</v>
      </c>
      <c r="BK42" s="16"/>
      <c r="BL42" s="16"/>
      <c r="BM42" s="16"/>
      <c r="BN42" s="16"/>
      <c r="BO42" s="16"/>
      <c r="BP42" s="16"/>
      <c r="BQ42" s="16"/>
    </row>
    <row r="43" spans="2:69" s="15" customFormat="1" x14ac:dyDescent="0.2">
      <c r="B43" s="15" t="s">
        <v>20</v>
      </c>
      <c r="C43" s="16"/>
      <c r="D43" s="16"/>
      <c r="E43" s="16"/>
      <c r="F43" s="16"/>
      <c r="G43" s="16">
        <f>-66-15+15</f>
        <v>-66</v>
      </c>
      <c r="H43" s="16"/>
      <c r="I43" s="16">
        <f>-69-11-5</f>
        <v>-85</v>
      </c>
      <c r="J43" s="16"/>
      <c r="K43" s="16"/>
      <c r="L43" s="16">
        <f>-69-5-8</f>
        <v>-82</v>
      </c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>
        <v>620</v>
      </c>
      <c r="AL43" s="16">
        <v>618</v>
      </c>
      <c r="AM43" s="16">
        <v>-622</v>
      </c>
      <c r="AN43" s="16">
        <v>-606</v>
      </c>
      <c r="AO43" s="16">
        <v>-585</v>
      </c>
      <c r="AP43" s="16">
        <v>-571</v>
      </c>
      <c r="AQ43" s="16">
        <f>-539+28</f>
        <v>-511</v>
      </c>
      <c r="AR43" s="16">
        <v>-532</v>
      </c>
      <c r="AS43" s="16">
        <f>+AR43</f>
        <v>-532</v>
      </c>
      <c r="AT43" s="16">
        <f>+AS43</f>
        <v>-532</v>
      </c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>
        <f t="shared" ref="BI43" si="14">SUM(AM43:AP43)</f>
        <v>-2384</v>
      </c>
      <c r="BJ43" s="16">
        <f t="shared" ref="BJ43" si="15">SUM(AQ43:AT43)</f>
        <v>-2107</v>
      </c>
      <c r="BK43" s="16"/>
      <c r="BL43" s="16"/>
      <c r="BM43" s="16"/>
      <c r="BN43" s="16"/>
      <c r="BO43" s="16"/>
      <c r="BP43" s="16"/>
      <c r="BQ43" s="16"/>
    </row>
    <row r="44" spans="2:69" s="15" customFormat="1" x14ac:dyDescent="0.2">
      <c r="B44" s="15" t="s">
        <v>19</v>
      </c>
      <c r="C44" s="16"/>
      <c r="D44" s="16"/>
      <c r="E44" s="16"/>
      <c r="F44" s="16"/>
      <c r="G44" s="16">
        <f>+G42+G43</f>
        <v>1239</v>
      </c>
      <c r="H44" s="16"/>
      <c r="I44" s="16">
        <f>+I42+I43</f>
        <v>1506</v>
      </c>
      <c r="J44" s="16"/>
      <c r="K44" s="16"/>
      <c r="L44" s="16">
        <f>+L43+L42</f>
        <v>1670</v>
      </c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>
        <f t="shared" ref="AK44:AQ44" si="16">AK42+AK43</f>
        <v>6904</v>
      </c>
      <c r="AL44" s="16">
        <f t="shared" si="16"/>
        <v>7113</v>
      </c>
      <c r="AM44" s="16">
        <f t="shared" si="16"/>
        <v>5980</v>
      </c>
      <c r="AN44" s="16">
        <f t="shared" si="16"/>
        <v>6338</v>
      </c>
      <c r="AO44" s="16">
        <f t="shared" si="16"/>
        <v>6751</v>
      </c>
      <c r="AP44" s="16">
        <f t="shared" si="16"/>
        <v>6762</v>
      </c>
      <c r="AQ44" s="16">
        <f t="shared" si="16"/>
        <v>6592</v>
      </c>
      <c r="AR44" s="16">
        <f t="shared" ref="AR44:AT44" si="17">AR42+AR43</f>
        <v>7177</v>
      </c>
      <c r="AS44" s="16">
        <f t="shared" si="17"/>
        <v>7397.255000000001</v>
      </c>
      <c r="AT44" s="16">
        <f t="shared" si="17"/>
        <v>7299.0149999999985</v>
      </c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>
        <f>+BI42+BI43</f>
        <v>25831</v>
      </c>
      <c r="BJ44" s="16">
        <f>+BJ42+BJ43</f>
        <v>28465.27</v>
      </c>
      <c r="BK44" s="16"/>
      <c r="BL44" s="16"/>
      <c r="BM44" s="16"/>
      <c r="BN44" s="16"/>
      <c r="BO44" s="16"/>
      <c r="BP44" s="16"/>
      <c r="BQ44" s="16"/>
    </row>
    <row r="45" spans="2:69" s="15" customFormat="1" x14ac:dyDescent="0.2">
      <c r="B45" s="15" t="s">
        <v>18</v>
      </c>
      <c r="C45" s="16"/>
      <c r="D45" s="16"/>
      <c r="E45" s="16"/>
      <c r="F45" s="16"/>
      <c r="G45" s="16">
        <v>271</v>
      </c>
      <c r="H45" s="16"/>
      <c r="I45" s="16">
        <v>322</v>
      </c>
      <c r="J45" s="16"/>
      <c r="K45" s="16"/>
      <c r="L45" s="16">
        <v>335</v>
      </c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>
        <v>668</v>
      </c>
      <c r="AL45" s="16">
        <v>686</v>
      </c>
      <c r="AM45" s="16">
        <v>738</v>
      </c>
      <c r="AN45" s="16">
        <f>799+3</f>
        <v>802</v>
      </c>
      <c r="AO45" s="16">
        <f>862+1</f>
        <v>863</v>
      </c>
      <c r="AP45" s="16">
        <f>6764-5919</f>
        <v>845</v>
      </c>
      <c r="AQ45" s="16">
        <v>778</v>
      </c>
      <c r="AR45" s="16">
        <v>930</v>
      </c>
      <c r="AS45" s="16">
        <f>+AS44*0.15</f>
        <v>1109.58825</v>
      </c>
      <c r="AT45" s="16">
        <f>+AT44*0.15</f>
        <v>1094.8522499999997</v>
      </c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>
        <f t="shared" ref="BI45" si="18">SUM(AM45:AP45)</f>
        <v>3248</v>
      </c>
      <c r="BJ45" s="16">
        <f t="shared" ref="BJ45" si="19">SUM(AQ45:AT45)</f>
        <v>3912.4404999999997</v>
      </c>
      <c r="BK45" s="16"/>
      <c r="BL45" s="16"/>
      <c r="BM45" s="16"/>
      <c r="BN45" s="16"/>
      <c r="BO45" s="16"/>
      <c r="BP45" s="16"/>
      <c r="BQ45" s="16"/>
    </row>
    <row r="46" spans="2:69" s="15" customFormat="1" x14ac:dyDescent="0.2">
      <c r="B46" s="15" t="s">
        <v>17</v>
      </c>
      <c r="C46" s="16"/>
      <c r="D46" s="16"/>
      <c r="E46" s="16"/>
      <c r="F46" s="16"/>
      <c r="G46" s="16">
        <f>+G44-G45</f>
        <v>968</v>
      </c>
      <c r="H46" s="16"/>
      <c r="I46" s="16">
        <f>+I44-I45</f>
        <v>1184</v>
      </c>
      <c r="J46" s="16"/>
      <c r="K46" s="16"/>
      <c r="L46" s="16">
        <f>+L44-L45</f>
        <v>1335</v>
      </c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>
        <f t="shared" ref="AK46:AQ46" si="20">AK44-AK45</f>
        <v>6236</v>
      </c>
      <c r="AL46" s="16">
        <f t="shared" si="20"/>
        <v>6427</v>
      </c>
      <c r="AM46" s="16">
        <f t="shared" si="20"/>
        <v>5242</v>
      </c>
      <c r="AN46" s="16">
        <f t="shared" si="20"/>
        <v>5536</v>
      </c>
      <c r="AO46" s="16">
        <f t="shared" si="20"/>
        <v>5888</v>
      </c>
      <c r="AP46" s="16">
        <f t="shared" si="20"/>
        <v>5917</v>
      </c>
      <c r="AQ46" s="16">
        <f t="shared" si="20"/>
        <v>5814</v>
      </c>
      <c r="AR46" s="16">
        <f t="shared" ref="AR46:AT46" si="21">AR44-AR45</f>
        <v>6247</v>
      </c>
      <c r="AS46" s="16">
        <f t="shared" si="21"/>
        <v>6287.6667500000012</v>
      </c>
      <c r="AT46" s="16">
        <f t="shared" si="21"/>
        <v>6204.1627499999986</v>
      </c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>
        <f>+BI44-BI45</f>
        <v>22583</v>
      </c>
      <c r="BJ46" s="16">
        <f>+BJ44-BJ45</f>
        <v>24552.8295</v>
      </c>
      <c r="BK46" s="16"/>
      <c r="BL46" s="16"/>
      <c r="BM46" s="16"/>
      <c r="BN46" s="16"/>
      <c r="BO46" s="16"/>
      <c r="BP46" s="16"/>
      <c r="BQ46" s="16"/>
    </row>
    <row r="47" spans="2:69" s="14" customFormat="1" x14ac:dyDescent="0.2">
      <c r="B47" s="14" t="s">
        <v>16</v>
      </c>
      <c r="C47" s="3"/>
      <c r="D47" s="3"/>
      <c r="E47" s="3"/>
      <c r="F47" s="3"/>
      <c r="G47" s="3">
        <f>G46/G48</f>
        <v>0.60311526479750777</v>
      </c>
      <c r="H47" s="3"/>
      <c r="I47" s="3">
        <f>I46/I48</f>
        <v>0.74465408805031441</v>
      </c>
      <c r="J47" s="3"/>
      <c r="K47" s="3"/>
      <c r="L47" s="3">
        <f>L46/L48</f>
        <v>0.83022388059701491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>
        <f t="shared" ref="AK47:AQ47" si="22">AK46/AK48</f>
        <v>3.5152198421645999</v>
      </c>
      <c r="AL47" s="3">
        <f t="shared" si="22"/>
        <v>3.6188063063063063</v>
      </c>
      <c r="AM47" s="3">
        <f t="shared" si="22"/>
        <v>2.9532394366197181</v>
      </c>
      <c r="AN47" s="3">
        <f t="shared" si="22"/>
        <v>3.1171171171171173</v>
      </c>
      <c r="AO47" s="3">
        <f t="shared" si="22"/>
        <v>3.3134496342149689</v>
      </c>
      <c r="AP47" s="3">
        <f t="shared" si="22"/>
        <v>3.3278965129358831</v>
      </c>
      <c r="AQ47" s="3">
        <f t="shared" si="22"/>
        <v>3.2699662542182226</v>
      </c>
      <c r="AR47" s="3">
        <f t="shared" ref="AR47:AT47" si="23">AR46/AR48</f>
        <v>3.517454954954955</v>
      </c>
      <c r="AS47" s="3">
        <f t="shared" si="23"/>
        <v>3.5403528997747755</v>
      </c>
      <c r="AT47" s="3">
        <f t="shared" si="23"/>
        <v>3.493334881756756</v>
      </c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>
        <f>+BI46/BI48</f>
        <v>12.712074303405572</v>
      </c>
      <c r="BJ47" s="3">
        <f>+BJ46/BJ48</f>
        <v>13.820900365887981</v>
      </c>
      <c r="BK47" s="3"/>
      <c r="BL47" s="3"/>
      <c r="BM47" s="3"/>
      <c r="BN47" s="3"/>
      <c r="BO47" s="3"/>
      <c r="BP47" s="3"/>
      <c r="BQ47" s="3"/>
    </row>
    <row r="48" spans="2:69" s="15" customFormat="1" x14ac:dyDescent="0.2">
      <c r="B48" s="15" t="s">
        <v>15</v>
      </c>
      <c r="C48" s="16"/>
      <c r="D48" s="16"/>
      <c r="E48" s="16"/>
      <c r="F48" s="16"/>
      <c r="G48" s="16">
        <v>1605</v>
      </c>
      <c r="H48" s="16"/>
      <c r="I48" s="16">
        <v>1590</v>
      </c>
      <c r="J48" s="16"/>
      <c r="K48" s="16"/>
      <c r="L48" s="16">
        <v>1608</v>
      </c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>
        <v>1774</v>
      </c>
      <c r="AL48" s="16">
        <v>1776</v>
      </c>
      <c r="AM48" s="16">
        <v>1775</v>
      </c>
      <c r="AN48" s="16">
        <v>1776</v>
      </c>
      <c r="AO48" s="16">
        <v>1777</v>
      </c>
      <c r="AP48" s="16">
        <v>1778</v>
      </c>
      <c r="AQ48" s="16">
        <v>1778</v>
      </c>
      <c r="AR48" s="16">
        <v>1776</v>
      </c>
      <c r="AS48" s="16">
        <f>+AR48</f>
        <v>1776</v>
      </c>
      <c r="AT48" s="16">
        <f>+AS48</f>
        <v>1776</v>
      </c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>
        <f>AVERAGE(AM48:AP48)</f>
        <v>1776.5</v>
      </c>
      <c r="BJ48" s="16">
        <f>AVERAGE(AQ48:AT48)</f>
        <v>1776.5</v>
      </c>
      <c r="BK48" s="16"/>
      <c r="BL48" s="16"/>
      <c r="BM48" s="16"/>
      <c r="BN48" s="16"/>
      <c r="BO48" s="16"/>
      <c r="BP48" s="16"/>
      <c r="BQ48" s="16"/>
    </row>
    <row r="50" spans="2:69" s="33" customFormat="1" x14ac:dyDescent="0.2">
      <c r="B50" s="33" t="s">
        <v>164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>
        <f>+AO36/AK36-1</f>
        <v>0.11333643844123586</v>
      </c>
      <c r="AP50" s="34">
        <f>+AP36/AL36-1</f>
        <v>7.4180978496175554E-2</v>
      </c>
      <c r="AQ50" s="34">
        <f>+AQ36/AM36-1</f>
        <v>4.6617703904135999E-2</v>
      </c>
      <c r="AR50" s="34">
        <f t="shared" ref="AR50" si="24">+AR36/AN36-1</f>
        <v>4.4702342574683085E-2</v>
      </c>
      <c r="AS50" s="34">
        <f t="shared" ref="AS50" si="25">+AS36/AO36-1</f>
        <v>3.0964997908241587E-2</v>
      </c>
      <c r="AT50" s="34">
        <f t="shared" ref="AT50" si="26">+AT36/AP36-1</f>
        <v>2.6393927179900523E-2</v>
      </c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</row>
    <row r="51" spans="2:69" s="30" customFormat="1" x14ac:dyDescent="0.2">
      <c r="B51" s="32" t="s">
        <v>163</v>
      </c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>
        <f>+AO3/AK3-1</f>
        <v>5.5447470817120648E-2</v>
      </c>
      <c r="AP51" s="31">
        <f>+AP3/AL3-1</f>
        <v>3.5326086956521729E-2</v>
      </c>
      <c r="AQ51" s="31">
        <f>+AQ3/AM3-1</f>
        <v>-2.6915964659954827E-2</v>
      </c>
      <c r="AR51" s="31">
        <f t="shared" ref="AR51" si="27">+AR3/AN3-1</f>
        <v>5.8208366219415941E-2</v>
      </c>
      <c r="AS51" s="31">
        <f t="shared" ref="AS51" si="28">+AS3/AO3-1</f>
        <v>1.0000000000000009E-2</v>
      </c>
      <c r="AT51" s="31">
        <f t="shared" ref="AT51" si="29">+AT3/AP3-1</f>
        <v>1.0000000000000009E-2</v>
      </c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</row>
    <row r="52" spans="2:69" s="30" customFormat="1" x14ac:dyDescent="0.2">
      <c r="B52" s="32" t="s">
        <v>165</v>
      </c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>
        <f t="shared" ref="AO52:AP53" si="30">+AO5/AK5-1</f>
        <v>2.9197080291971655E-3</v>
      </c>
      <c r="AP52" s="31">
        <f t="shared" si="30"/>
        <v>-2.73876404494382E-2</v>
      </c>
      <c r="AQ52" s="31">
        <f>+AQ5/AM5-1</f>
        <v>-7.4921135646687675E-2</v>
      </c>
      <c r="AR52" s="31">
        <f t="shared" ref="AR52:AR53" si="31">+AR5/AN5-1</f>
        <v>-0.17089065894279509</v>
      </c>
      <c r="AS52" s="31">
        <f t="shared" ref="AS52:AS53" si="32">+AS5/AO5-1</f>
        <v>-9.9999999999999867E-2</v>
      </c>
      <c r="AT52" s="31">
        <f t="shared" ref="AT52:AT53" si="33">+AT5/AP5-1</f>
        <v>-9.9999999999999978E-2</v>
      </c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</row>
    <row r="53" spans="2:69" s="30" customFormat="1" x14ac:dyDescent="0.2">
      <c r="B53" s="32" t="s">
        <v>162</v>
      </c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>
        <f t="shared" si="30"/>
        <v>0.8298850574712644</v>
      </c>
      <c r="AP53" s="31">
        <f t="shared" si="30"/>
        <v>0.7047619047619047</v>
      </c>
      <c r="AQ53" s="31">
        <f>+AQ6/AM6-1</f>
        <v>0.63763066202090601</v>
      </c>
      <c r="AR53" s="31">
        <f t="shared" si="31"/>
        <v>0.85756676557863498</v>
      </c>
      <c r="AS53" s="31">
        <f t="shared" si="32"/>
        <v>0.7</v>
      </c>
      <c r="AT53" s="31">
        <f t="shared" si="33"/>
        <v>0.64999999999999991</v>
      </c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</row>
    <row r="54" spans="2:69" s="30" customFormat="1" x14ac:dyDescent="0.2">
      <c r="B54" s="45" t="s">
        <v>125</v>
      </c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>
        <f t="shared" ref="AO54:AQ54" si="34">AO7/AK7-1</f>
        <v>0.38676844783715003</v>
      </c>
      <c r="AP54" s="31">
        <f t="shared" si="34"/>
        <v>0.26977687626774838</v>
      </c>
      <c r="AQ54" s="31">
        <f t="shared" si="34"/>
        <v>0.34381551362683438</v>
      </c>
      <c r="AR54" s="31">
        <f>AR7/AN7-1</f>
        <v>0.19006849315068486</v>
      </c>
      <c r="AS54" s="31">
        <f t="shared" ref="AS54:AT54" si="35">AS7/AO7-1</f>
        <v>0.14999999999999991</v>
      </c>
      <c r="AT54" s="31">
        <f t="shared" si="35"/>
        <v>0.14999999999999991</v>
      </c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</row>
    <row r="55" spans="2:69" s="30" customFormat="1" x14ac:dyDescent="0.2">
      <c r="B55" s="45" t="s">
        <v>128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>
        <f t="shared" ref="AO55:AQ55" si="36">AO8/AK8-1</f>
        <v>0.23326959847036322</v>
      </c>
      <c r="AP55" s="31">
        <f t="shared" si="36"/>
        <v>0.18342151675485008</v>
      </c>
      <c r="AQ55" s="31">
        <f t="shared" si="36"/>
        <v>0.15413533834586457</v>
      </c>
      <c r="AR55" s="31">
        <f>AR8/AN8-1</f>
        <v>0.12437810945273631</v>
      </c>
      <c r="AS55" s="31">
        <f t="shared" ref="AS55:AT55" si="37">AS8/AO8-1</f>
        <v>0.14999999999999991</v>
      </c>
      <c r="AT55" s="31">
        <f t="shared" si="37"/>
        <v>0.14999999999999991</v>
      </c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</row>
    <row r="56" spans="2:69" s="30" customFormat="1" x14ac:dyDescent="0.2">
      <c r="B56" s="45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</row>
    <row r="57" spans="2:69" s="30" customFormat="1" x14ac:dyDescent="0.2">
      <c r="B57" s="45" t="s">
        <v>218</v>
      </c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>
        <f>+AK38/AK36</f>
        <v>0.81664337835739786</v>
      </c>
      <c r="AL57" s="31">
        <f t="shared" ref="AL57:AT57" si="38">+AL38/AL36</f>
        <v>0.81793909655072883</v>
      </c>
      <c r="AM57" s="31">
        <f t="shared" si="38"/>
        <v>0.83880943177425593</v>
      </c>
      <c r="AN57" s="31">
        <f t="shared" si="38"/>
        <v>0.82240848198295002</v>
      </c>
      <c r="AO57" s="31">
        <f t="shared" si="38"/>
        <v>0.83175289359921911</v>
      </c>
      <c r="AP57" s="31">
        <f t="shared" si="38"/>
        <v>0.83555018137847648</v>
      </c>
      <c r="AQ57" s="31">
        <f t="shared" si="38"/>
        <v>0.84465947702762589</v>
      </c>
      <c r="AR57" s="31">
        <f t="shared" si="38"/>
        <v>0.84694507303024069</v>
      </c>
      <c r="AS57" s="31">
        <f t="shared" si="38"/>
        <v>0.85</v>
      </c>
      <c r="AT57" s="31">
        <f t="shared" si="38"/>
        <v>0.85000000000000009</v>
      </c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</row>
    <row r="58" spans="2:69" s="30" customFormat="1" x14ac:dyDescent="0.2">
      <c r="B58" s="45" t="s">
        <v>219</v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>
        <f>+AK45/AK44</f>
        <v>9.6755504055619931E-2</v>
      </c>
      <c r="AL58" s="31">
        <f t="shared" ref="AL58:AT58" si="39">+AL45/AL44</f>
        <v>9.6443132292984679E-2</v>
      </c>
      <c r="AM58" s="31">
        <f t="shared" si="39"/>
        <v>0.1234113712374582</v>
      </c>
      <c r="AN58" s="31">
        <f t="shared" si="39"/>
        <v>0.12653834017040075</v>
      </c>
      <c r="AO58" s="31">
        <f t="shared" si="39"/>
        <v>0.12783291364242336</v>
      </c>
      <c r="AP58" s="31">
        <f t="shared" si="39"/>
        <v>0.12496302868973676</v>
      </c>
      <c r="AQ58" s="31">
        <f t="shared" si="39"/>
        <v>0.11802184466019418</v>
      </c>
      <c r="AR58" s="31">
        <f t="shared" si="39"/>
        <v>0.12958060470948865</v>
      </c>
      <c r="AS58" s="31">
        <f t="shared" si="39"/>
        <v>0.15</v>
      </c>
      <c r="AT58" s="31">
        <f t="shared" si="39"/>
        <v>0.15</v>
      </c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</row>
    <row r="60" spans="2:69" x14ac:dyDescent="0.2">
      <c r="B60" s="25" t="s">
        <v>152</v>
      </c>
      <c r="AQ60" s="16">
        <f>AQ61-AQ70</f>
        <v>-65642</v>
      </c>
    </row>
    <row r="61" spans="2:69" s="15" customFormat="1" x14ac:dyDescent="0.2">
      <c r="B61" s="23" t="s">
        <v>56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>
        <f>6098+1474+260</f>
        <v>7832</v>
      </c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</row>
    <row r="62" spans="2:69" s="15" customFormat="1" x14ac:dyDescent="0.2">
      <c r="B62" s="23" t="s">
        <v>142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>
        <v>10733</v>
      </c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</row>
    <row r="63" spans="2:69" s="15" customFormat="1" x14ac:dyDescent="0.2">
      <c r="B63" s="23" t="s">
        <v>143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>
        <v>3483</v>
      </c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</row>
    <row r="64" spans="2:69" s="15" customFormat="1" x14ac:dyDescent="0.2">
      <c r="B64" s="23" t="s">
        <v>144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>
        <v>4721</v>
      </c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</row>
    <row r="65" spans="2:69" s="15" customFormat="1" x14ac:dyDescent="0.2">
      <c r="B65" s="23" t="s">
        <v>145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>
        <v>5075</v>
      </c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</row>
    <row r="66" spans="2:69" s="15" customFormat="1" x14ac:dyDescent="0.2">
      <c r="B66" s="23" t="s">
        <v>146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>
        <f>73986+32298</f>
        <v>106284</v>
      </c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</row>
    <row r="67" spans="2:69" s="15" customFormat="1" x14ac:dyDescent="0.2">
      <c r="B67" s="23" t="s">
        <v>13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>
        <v>5083</v>
      </c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</row>
    <row r="68" spans="2:69" s="15" customFormat="1" x14ac:dyDescent="0.2">
      <c r="B68" s="23" t="s">
        <v>141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>
        <f>SUM(AQ61:AQ67)</f>
        <v>143211</v>
      </c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</row>
    <row r="70" spans="2:69" s="15" customFormat="1" x14ac:dyDescent="0.2">
      <c r="B70" s="23" t="s">
        <v>57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>
        <f>12+9940+63522</f>
        <v>73474</v>
      </c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</row>
    <row r="71" spans="2:69" s="15" customFormat="1" x14ac:dyDescent="0.2">
      <c r="B71" s="23" t="s">
        <v>147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>
        <v>22569</v>
      </c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</row>
    <row r="72" spans="2:69" s="15" customFormat="1" x14ac:dyDescent="0.2">
      <c r="B72" s="23" t="s">
        <v>148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>
        <v>2831</v>
      </c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</row>
    <row r="73" spans="2:69" s="15" customFormat="1" x14ac:dyDescent="0.2">
      <c r="B73" s="23" t="s">
        <v>149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>
        <v>28023</v>
      </c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</row>
    <row r="74" spans="2:69" s="15" customFormat="1" x14ac:dyDescent="0.2">
      <c r="B74" s="23" t="s">
        <v>150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>
        <v>16314</v>
      </c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</row>
    <row r="75" spans="2:69" s="15" customFormat="1" x14ac:dyDescent="0.2">
      <c r="B75" s="23" t="s">
        <v>151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>
        <f>SUM(AQ70:AQ74)</f>
        <v>143211</v>
      </c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B6" sqref="B6"/>
    </sheetView>
  </sheetViews>
  <sheetFormatPr defaultRowHeight="12.75" x14ac:dyDescent="0.2"/>
  <cols>
    <col min="1" max="1" width="5" style="1" bestFit="1" customWidth="1"/>
    <col min="2" max="2" width="12.85546875" style="1" bestFit="1" customWidth="1"/>
    <col min="3" max="3" width="11" style="1" bestFit="1" customWidth="1"/>
    <col min="4" max="16384" width="9.140625" style="1"/>
  </cols>
  <sheetData>
    <row r="1" spans="1:3" x14ac:dyDescent="0.2">
      <c r="A1" s="20" t="s">
        <v>81</v>
      </c>
    </row>
    <row r="2" spans="1:3" x14ac:dyDescent="0.2">
      <c r="B2" s="1" t="s">
        <v>82</v>
      </c>
      <c r="C2" s="1" t="s">
        <v>0</v>
      </c>
    </row>
    <row r="3" spans="1:3" x14ac:dyDescent="0.2">
      <c r="B3" s="1" t="s">
        <v>83</v>
      </c>
      <c r="C3" s="1" t="s">
        <v>84</v>
      </c>
    </row>
    <row r="4" spans="1:3" x14ac:dyDescent="0.2">
      <c r="B4" s="26" t="s">
        <v>28</v>
      </c>
      <c r="C4" s="26" t="s">
        <v>74</v>
      </c>
    </row>
    <row r="5" spans="1:3" x14ac:dyDescent="0.2">
      <c r="B5" s="26" t="s">
        <v>35</v>
      </c>
      <c r="C5" s="26" t="s">
        <v>153</v>
      </c>
    </row>
  </sheetData>
  <hyperlinks>
    <hyperlink ref="A1" location="Main!A1" display="Main" xr:uid="{00000000-0004-0000-0200-000000000000}"/>
  </hyperlink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5CD00-8DD7-4577-927D-C0C84FF45CFB}">
  <dimension ref="A1:C10"/>
  <sheetViews>
    <sheetView workbookViewId="0">
      <selection activeCell="C11" sqref="C11"/>
    </sheetView>
  </sheetViews>
  <sheetFormatPr defaultRowHeight="12.75" x14ac:dyDescent="0.2"/>
  <cols>
    <col min="1" max="1" width="5.42578125" style="42" bestFit="1" customWidth="1"/>
    <col min="2" max="2" width="8.85546875" style="42" bestFit="1" customWidth="1"/>
    <col min="3" max="16384" width="9.140625" style="42"/>
  </cols>
  <sheetData>
    <row r="1" spans="1:3" x14ac:dyDescent="0.2">
      <c r="A1" s="20" t="s">
        <v>81</v>
      </c>
    </row>
    <row r="2" spans="1:3" x14ac:dyDescent="0.2">
      <c r="B2" s="42" t="s">
        <v>154</v>
      </c>
      <c r="C2" s="42" t="s">
        <v>213</v>
      </c>
    </row>
    <row r="3" spans="1:3" x14ac:dyDescent="0.2">
      <c r="B3" s="42" t="s">
        <v>201</v>
      </c>
      <c r="C3" s="42" t="s">
        <v>214</v>
      </c>
    </row>
    <row r="4" spans="1:3" x14ac:dyDescent="0.2">
      <c r="B4" s="42" t="s">
        <v>35</v>
      </c>
      <c r="C4" s="42" t="s">
        <v>232</v>
      </c>
    </row>
    <row r="5" spans="1:3" x14ac:dyDescent="0.2">
      <c r="B5" s="42" t="s">
        <v>28</v>
      </c>
      <c r="C5" s="42" t="s">
        <v>233</v>
      </c>
    </row>
    <row r="6" spans="1:3" x14ac:dyDescent="0.2">
      <c r="C6" s="42" t="s">
        <v>234</v>
      </c>
    </row>
    <row r="7" spans="1:3" x14ac:dyDescent="0.2">
      <c r="C7" s="42" t="s">
        <v>235</v>
      </c>
    </row>
    <row r="8" spans="1:3" x14ac:dyDescent="0.2">
      <c r="C8" s="42" t="s">
        <v>236</v>
      </c>
    </row>
    <row r="9" spans="1:3" x14ac:dyDescent="0.2">
      <c r="C9" s="42" t="s">
        <v>237</v>
      </c>
    </row>
    <row r="10" spans="1:3" x14ac:dyDescent="0.2">
      <c r="C10" s="42" t="s">
        <v>238</v>
      </c>
    </row>
  </sheetData>
  <hyperlinks>
    <hyperlink ref="A1" location="Main!A1" display="Main" xr:uid="{639A1BB6-F359-4563-B6A5-07855A7AD956}"/>
  </hyperlink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D5731-AABB-421F-B236-A216837D7AE2}">
  <dimension ref="A1:C5"/>
  <sheetViews>
    <sheetView workbookViewId="0"/>
  </sheetViews>
  <sheetFormatPr defaultRowHeight="12.75" x14ac:dyDescent="0.2"/>
  <cols>
    <col min="1" max="1" width="5" style="42" bestFit="1" customWidth="1"/>
    <col min="2" max="16384" width="9.140625" style="42"/>
  </cols>
  <sheetData>
    <row r="1" spans="1:3" x14ac:dyDescent="0.2">
      <c r="A1" s="20" t="s">
        <v>81</v>
      </c>
    </row>
    <row r="2" spans="1:3" x14ac:dyDescent="0.2">
      <c r="B2" s="42" t="s">
        <v>154</v>
      </c>
      <c r="C2" s="42" t="s">
        <v>242</v>
      </c>
    </row>
    <row r="3" spans="1:3" x14ac:dyDescent="0.2">
      <c r="B3" s="42" t="s">
        <v>201</v>
      </c>
      <c r="C3" s="42" t="s">
        <v>239</v>
      </c>
    </row>
    <row r="4" spans="1:3" x14ac:dyDescent="0.2">
      <c r="B4" s="42" t="s">
        <v>35</v>
      </c>
      <c r="C4" s="42" t="s">
        <v>243</v>
      </c>
    </row>
    <row r="5" spans="1:3" x14ac:dyDescent="0.2">
      <c r="B5" s="42" t="s">
        <v>28</v>
      </c>
      <c r="C5" s="42" t="s">
        <v>244</v>
      </c>
    </row>
  </sheetData>
  <hyperlinks>
    <hyperlink ref="A1" location="Main!A1" display="Main" xr:uid="{53C2CF5B-69F3-4FC3-B3F6-C8896677261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</vt:lpstr>
      <vt:lpstr>Main</vt:lpstr>
      <vt:lpstr>Model</vt:lpstr>
      <vt:lpstr>Humira</vt:lpstr>
      <vt:lpstr>Rinvoq</vt:lpstr>
      <vt:lpstr>Skyrizi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2013-05-03T13:21:21Z</dcterms:created>
  <dcterms:modified xsi:type="dcterms:W3CDTF">2022-07-29T14:17:02Z</dcterms:modified>
</cp:coreProperties>
</file>