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showInkAnnotation="0" defaultThemeVersion="166925"/>
  <xr:revisionPtr revIDLastSave="0" documentId="13_ncr:1_{65A44197-0D3A-451B-AC19-1DAE732D027D}" xr6:coauthVersionLast="47" xr6:coauthVersionMax="47" xr10:uidLastSave="{00000000-0000-0000-0000-000000000000}"/>
  <bookViews>
    <workbookView xWindow="8760" yWindow="2610" windowWidth="17760" windowHeight="11475" xr2:uid="{00000000-000D-0000-FFFF-FFFF00000000}"/>
  </bookViews>
  <sheets>
    <sheet name="Main" sheetId="1" r:id="rId1"/>
    <sheet name="Media-Games-Design" sheetId="8" r:id="rId2"/>
    <sheet name="Fintech" sheetId="7" r:id="rId3"/>
    <sheet name="Gig" sheetId="6" r:id="rId4"/>
    <sheet name="Ecommerce" sheetId="5" r:id="rId5"/>
    <sheet name="Security" sheetId="4" r:id="rId6"/>
    <sheet name="FX" sheetId="3" r:id="rId7"/>
    <sheet name="Private" sheetId="2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EUR">FX!$C$4</definedName>
    <definedName name="HKD">FX!$C$2</definedName>
    <definedName name="RMB">FX!$C$3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Q5" i="1"/>
  <c r="P5" i="1"/>
  <c r="O5" i="1"/>
  <c r="S6" i="1" l="1"/>
  <c r="O6" i="1" s="1"/>
  <c r="T6" i="1" l="1"/>
  <c r="P6" i="1" s="1"/>
  <c r="U6" i="1" l="1"/>
  <c r="Q6" i="1" s="1"/>
  <c r="V6" i="1" l="1"/>
  <c r="R6" i="1" s="1"/>
  <c r="S5" i="1" l="1"/>
  <c r="N6" i="1"/>
  <c r="M6" i="1"/>
  <c r="L6" i="1"/>
  <c r="H6" i="1"/>
  <c r="H19" i="1" l="1"/>
  <c r="F19" i="1"/>
  <c r="E19" i="1"/>
  <c r="G19" i="1" s="1"/>
  <c r="H7" i="1"/>
  <c r="J6" i="1" l="1"/>
  <c r="K6" i="1" s="1"/>
  <c r="K2" i="1" s="1"/>
  <c r="H17" i="1"/>
  <c r="F17" i="1"/>
  <c r="E17" i="1"/>
  <c r="G17" i="1" l="1"/>
  <c r="H20" i="1"/>
  <c r="F20" i="1"/>
  <c r="E20" i="1"/>
  <c r="N4" i="1"/>
  <c r="M4" i="1"/>
  <c r="L4" i="1"/>
  <c r="J4" i="1"/>
  <c r="K4" i="1" s="1"/>
  <c r="H4" i="1"/>
  <c r="G20" i="1" l="1"/>
  <c r="H5" i="1"/>
  <c r="V5" i="1"/>
  <c r="U5" i="1"/>
  <c r="T5" i="1"/>
  <c r="N5" i="1"/>
  <c r="M5" i="1"/>
  <c r="L5" i="1"/>
  <c r="J5" i="1"/>
  <c r="K5" i="1" s="1"/>
  <c r="F18" i="1" l="1"/>
  <c r="E18" i="1"/>
  <c r="G18" i="1" l="1"/>
  <c r="F16" i="1"/>
  <c r="E16" i="1"/>
  <c r="G16" i="1" l="1"/>
  <c r="E6" i="1"/>
  <c r="E8" i="1" l="1"/>
  <c r="F9" i="1" l="1"/>
  <c r="E9" i="1"/>
  <c r="F11" i="1" l="1"/>
  <c r="E11" i="1"/>
  <c r="F12" i="1" l="1"/>
  <c r="E12" i="1"/>
  <c r="F13" i="1"/>
  <c r="E13" i="1"/>
  <c r="E15" i="1" l="1"/>
  <c r="F15" i="1"/>
  <c r="G15" i="1" l="1"/>
  <c r="F3" i="5"/>
  <c r="G3" i="5" s="1"/>
  <c r="F7" i="5" a="1"/>
  <c r="F7" i="5" s="1"/>
  <c r="E7" i="5"/>
  <c r="F6" i="8"/>
  <c r="E6" i="8"/>
  <c r="F34" i="1"/>
  <c r="E34" i="1"/>
  <c r="F10" i="1" a="1"/>
  <c r="F10" i="1" s="1"/>
  <c r="E10" i="1"/>
  <c r="F14" i="1"/>
  <c r="E14" i="1"/>
  <c r="F8" i="1"/>
  <c r="F6" i="1"/>
  <c r="G6" i="1" s="1"/>
  <c r="R2" i="1" l="1"/>
  <c r="Q2" i="1"/>
  <c r="P2" i="1"/>
  <c r="O2" i="1"/>
  <c r="G7" i="5"/>
  <c r="G6" i="8"/>
  <c r="G34" i="1"/>
  <c r="G14" i="1"/>
  <c r="G8" i="1"/>
  <c r="G10" i="1"/>
  <c r="F5" i="1"/>
  <c r="E5" i="1"/>
  <c r="G5" i="1" l="1"/>
  <c r="F4" i="1"/>
  <c r="E4" i="1"/>
  <c r="G13" i="1"/>
  <c r="G9" i="1"/>
  <c r="G12" i="1"/>
  <c r="F7" i="1"/>
  <c r="E7" i="1"/>
  <c r="F39" i="1"/>
  <c r="E39" i="1"/>
  <c r="G7" i="1" l="1"/>
  <c r="G4" i="1"/>
  <c r="G11" i="1"/>
  <c r="G3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<sst xmlns="http://schemas.openxmlformats.org/spreadsheetml/2006/main" count="299" uniqueCount="233">
  <si>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</si>
  <si>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</si>
  <si>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</si>
  <si>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</si>
  <si>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</si>
  <si>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</si>
  <si>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</si>
  <si>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</si>
  <si>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</si>
  <si>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</si>
  <si>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</si>
  <si>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</si>
  <si>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</si>
  <si>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</si>
  <si>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</si>
  <si>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</si>
  <si>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</si>
  <si>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</si>
  <si>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</si>
  <si>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</si>
  <si>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</si>
  <si>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</si>
  <si>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</si>
  <si>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</si>
  <si>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</si>
  <si>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</si>
  <si>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</si>
  <si>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</si>
  <si>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</si>
  <si>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</si>
  <si>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</si>
  <si>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</si>
  <si>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</si>
  <si>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</si>
  <si>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</si>
  <si>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</si>
  <si>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</si>
  <si>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</si>
  <si>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</si>
  <si>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</si>
  <si>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</si>
  <si>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</si>
  <si>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</si>
  <si>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</si>
  <si>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</si>
  <si>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</si>
  <si>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</si>
  <si>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</si>
  <si>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</si>
  <si>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</si>
  <si>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</si>
  <si>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</si>
  <si>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</si>
  <si>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</si>
  <si>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</si>
  <si>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</si>
  <si>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</si>
  <si>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TDD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</si>
  <si>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</si>
  <si>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</si>
  <si>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</si>
  <si>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</si>
  <si>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</si>
  <si>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</si>
  <si>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</si>
  <si>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</si>
  <si>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</si>
  <si>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</si>
  <si>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</si>
  <si>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</si>
  <si>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</si>
  <si>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</si>
  <si>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</si>
  <si>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</si>
  <si>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</si>
  <si>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</si>
  <si>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</si>
  <si>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</si>
  <si>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</si>
  <si>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</si>
  <si>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</si>
  <si>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</si>
  <si>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</si>
  <si>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</si>
  <si>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</si>
  <si>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</si>
  <si>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</si>
  <si>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</si>
  <si>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</si>
  <si>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</si>
  <si>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Bill.com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</si>
  <si>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</si>
  <si>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</si>
  <si>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</si>
  <si>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</si>
  <si>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</si>
  <si>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</si>
  <si>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</si>
  <si>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</si>
  <si>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</si>
  <si>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</si>
  <si>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CTXS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</si>
  <si>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</si>
  <si>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</si>
  <si>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</si>
  <si>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</si>
  <si>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</si>
  <si>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</si>
  <si>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</si>
  <si>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</si>
  <si>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Bentley</t>
  </si>
  <si>
    <t>BSY</t>
  </si>
  <si>
    <t>Figma</t>
  </si>
  <si>
    <t>Full Truck Alliance</t>
  </si>
  <si>
    <t>YMM</t>
  </si>
  <si>
    <t>Qualtrics</t>
  </si>
  <si>
    <t>XM</t>
  </si>
  <si>
    <t>Ceridian</t>
  </si>
  <si>
    <t>CDAY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</si>
  <si>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</si>
  <si>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</si>
  <si>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</si>
  <si>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</si>
  <si>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</si>
  <si>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</si>
  <si>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</si>
  <si>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</si>
  <si>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</si>
  <si>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</si>
  <si>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</si>
  <si>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</si>
  <si>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</si>
  <si>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</si>
  <si>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</si>
  <si>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</si>
  <si>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</si>
  <si>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</si>
  <si>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</si>
  <si>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</si>
  <si>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</si>
  <si>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</si>
  <si>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</si>
  <si>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</si>
  <si>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</si>
  <si>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</si>
  <si>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</si>
  <si>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</si>
  <si>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</si>
  <si>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</si>
  <si>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</si>
  <si>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</si>
  <si>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</si>
  <si>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</si>
  <si>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</si>
  <si>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</si>
  <si>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</si>
  <si>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</si>
  <si>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</si>
  <si>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</si>
  <si>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</si>
  <si>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</si>
  <si>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</si>
  <si>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</si>
  <si>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</si>
  <si>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</si>
  <si>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</si>
  <si>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</si>
  <si>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Square</t>
  </si>
  <si>
    <t>SQ</t>
  </si>
  <si>
    <t>Visa</t>
  </si>
  <si>
    <t>V</t>
  </si>
  <si>
    <t>Mastercard</t>
  </si>
  <si>
    <t>Cash</t>
  </si>
  <si>
    <t>Tencent</t>
  </si>
  <si>
    <t>Twitter</t>
  </si>
  <si>
    <t>TWTR</t>
  </si>
  <si>
    <t>Electronic Arts</t>
  </si>
  <si>
    <t>EA</t>
  </si>
  <si>
    <t>Take-Two</t>
  </si>
  <si>
    <t>TTWO</t>
  </si>
  <si>
    <t>Activision</t>
  </si>
  <si>
    <t>ATVI</t>
  </si>
  <si>
    <t>Nintendo</t>
  </si>
  <si>
    <t>7794 JP</t>
  </si>
  <si>
    <t>Veeva</t>
  </si>
  <si>
    <t>VEEV</t>
  </si>
  <si>
    <t>Constellation</t>
  </si>
  <si>
    <t>CSU CN</t>
  </si>
  <si>
    <t>ZM</t>
  </si>
  <si>
    <t>Dassault</t>
  </si>
  <si>
    <t>DSY FP</t>
  </si>
  <si>
    <t>VMWare</t>
  </si>
  <si>
    <t>VMW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</si>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</sst>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x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7">
    <xf numFmtId="0" fontId="0" fillId="0" borderId="0" xfId="0"/>
    <xf numFmtId="0" fontId="11" fillId="0" borderId="0" xfId="0" applyFont="1"/>
    <xf numFmtId="2" fontId="11" fillId="0" borderId="0" xfId="0" applyNumberFormat="1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0" fontId="13" fillId="0" borderId="0" xfId="1" applyFont="1"/>
    <xf numFmtId="0" fontId="10" fillId="0" borderId="0" xfId="0" applyFont="1"/>
    <xf numFmtId="3" fontId="10" fillId="0" borderId="0" xfId="0" applyNumberFormat="1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/>
    <xf numFmtId="0" fontId="14" fillId="0" borderId="0" xfId="0" applyFont="1"/>
    <xf numFmtId="2" fontId="14" fillId="0" borderId="0" xfId="0" applyNumberFormat="1" applyFont="1" applyAlignment="1">
      <alignment horizontal="right"/>
    </xf>
    <xf numFmtId="3" fontId="14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2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MZ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ORCL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DB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CRM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SAP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OW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TEAM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LTR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RBL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7534</v>
          </cell>
        </row>
        <row r="5">
          <cell r="L5">
            <v>111600</v>
          </cell>
        </row>
        <row r="6">
          <cell r="L6">
            <v>49926</v>
          </cell>
        </row>
      </sheetData>
      <sheetData sheetId="1">
        <row r="28">
          <cell r="AH28">
            <v>0</v>
          </cell>
        </row>
        <row r="29">
          <cell r="AH29">
            <v>7.0000000000000007E-2</v>
          </cell>
        </row>
        <row r="30">
          <cell r="AH30">
            <v>0.01</v>
          </cell>
        </row>
        <row r="32">
          <cell r="AH32">
            <v>240.35788054423469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13239</v>
          </cell>
        </row>
        <row r="5">
          <cell r="L5">
            <v>155662</v>
          </cell>
        </row>
        <row r="6">
          <cell r="L6">
            <v>14734</v>
          </cell>
        </row>
      </sheetData>
      <sheetData sheetId="1">
        <row r="25">
          <cell r="U25">
            <v>5.5675771651937485</v>
          </cell>
          <cell r="V25">
            <v>6.4727841989453889</v>
          </cell>
          <cell r="W25">
            <v>7.5894844369876644</v>
          </cell>
          <cell r="X25">
            <v>8.800051286902848</v>
          </cell>
        </row>
        <row r="28">
          <cell r="AF28">
            <v>-0.01</v>
          </cell>
        </row>
        <row r="29">
          <cell r="AF29">
            <v>0.08</v>
          </cell>
        </row>
        <row r="30">
          <cell r="AF30">
            <v>0.01</v>
          </cell>
        </row>
        <row r="32">
          <cell r="AF32">
            <v>179.60004861383993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10175</v>
          </cell>
        </row>
        <row r="5">
          <cell r="K5">
            <v>66385</v>
          </cell>
        </row>
        <row r="6">
          <cell r="K6">
            <v>47556</v>
          </cell>
        </row>
      </sheetData>
      <sheetData sheetId="1">
        <row r="34">
          <cell r="AV34">
            <v>1.6784287420147448</v>
          </cell>
          <cell r="AW34">
            <v>4.897703299754288</v>
          </cell>
          <cell r="AX34">
            <v>5.2938371314459518</v>
          </cell>
          <cell r="AY34">
            <v>7.2024349209232001</v>
          </cell>
        </row>
        <row r="43">
          <cell r="BG43">
            <v>7.0000000000000007E-2</v>
          </cell>
        </row>
        <row r="44">
          <cell r="BG44">
            <v>0.01</v>
          </cell>
        </row>
        <row r="45">
          <cell r="BG45">
            <v>0</v>
          </cell>
        </row>
        <row r="47">
          <cell r="BG47">
            <v>233.19800990540423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2742</v>
          </cell>
        </row>
        <row r="5">
          <cell r="M5">
            <v>43890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9.5380000000000003</v>
          </cell>
        </row>
        <row r="5">
          <cell r="L5">
            <v>1086</v>
          </cell>
        </row>
        <row r="6">
          <cell r="L6">
            <v>324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G3">
            <v>2742</v>
          </cell>
        </row>
        <row r="5">
          <cell r="G5">
            <v>21902</v>
          </cell>
        </row>
        <row r="6">
          <cell r="G6">
            <v>75859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472.5</v>
          </cell>
        </row>
        <row r="5">
          <cell r="N5">
            <v>5299</v>
          </cell>
        </row>
        <row r="6">
          <cell r="N6">
            <v>4126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995</v>
          </cell>
        </row>
        <row r="5">
          <cell r="M5">
            <v>18439</v>
          </cell>
        </row>
        <row r="6">
          <cell r="M6">
            <v>10597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1180</v>
          </cell>
        </row>
        <row r="5">
          <cell r="L5">
            <v>18083</v>
          </cell>
        </row>
        <row r="6">
          <cell r="L6">
            <v>17213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286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2036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588.52099999999996</v>
          </cell>
        </row>
        <row r="5">
          <cell r="K5">
            <v>3132.9639999999999</v>
          </cell>
        </row>
        <row r="6">
          <cell r="K6">
            <v>988.03399999999999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GOOG.xlsx" TargetMode="External"/><Relationship Id="rId13" Type="http://schemas.openxmlformats.org/officeDocument/2006/relationships/hyperlink" Target="PLTR.xlsx" TargetMode="External"/><Relationship Id="rId18" Type="http://schemas.openxmlformats.org/officeDocument/2006/relationships/hyperlink" Target="TEAM.xlsx" TargetMode="External"/><Relationship Id="rId3" Type="http://schemas.openxmlformats.org/officeDocument/2006/relationships/hyperlink" Target="FB.xlsx" TargetMode="External"/><Relationship Id="rId7" Type="http://schemas.openxmlformats.org/officeDocument/2006/relationships/hyperlink" Target="MSFT.xlsx" TargetMode="External"/><Relationship Id="rId12" Type="http://schemas.openxmlformats.org/officeDocument/2006/relationships/hyperlink" Target="BABA.xlsx" TargetMode="External"/><Relationship Id="rId17" Type="http://schemas.openxmlformats.org/officeDocument/2006/relationships/hyperlink" Target="BIDU.xlsx" TargetMode="External"/><Relationship Id="rId2" Type="http://schemas.openxmlformats.org/officeDocument/2006/relationships/hyperlink" Target="ADBE.xlsx" TargetMode="External"/><Relationship Id="rId16" Type="http://schemas.openxmlformats.org/officeDocument/2006/relationships/hyperlink" Target="SHOP.xlsx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../../../OneDrive/Models%20Backup/SPOT.xlsx" TargetMode="External"/><Relationship Id="rId6" Type="http://schemas.openxmlformats.org/officeDocument/2006/relationships/hyperlink" Target="SAP.xlsx" TargetMode="External"/><Relationship Id="rId11" Type="http://schemas.openxmlformats.org/officeDocument/2006/relationships/hyperlink" Target="INTU.xlsx" TargetMode="External"/><Relationship Id="rId5" Type="http://schemas.openxmlformats.org/officeDocument/2006/relationships/hyperlink" Target="ORCL.xlsx" TargetMode="External"/><Relationship Id="rId15" Type="http://schemas.openxmlformats.org/officeDocument/2006/relationships/hyperlink" Target="DSY%20FP.xlsx" TargetMode="External"/><Relationship Id="rId10" Type="http://schemas.openxmlformats.org/officeDocument/2006/relationships/hyperlink" Target="700%20HK.xlsx" TargetMode="External"/><Relationship Id="rId19" Type="http://schemas.openxmlformats.org/officeDocument/2006/relationships/hyperlink" Target="SNOW.xlsx" TargetMode="External"/><Relationship Id="rId4" Type="http://schemas.openxmlformats.org/officeDocument/2006/relationships/hyperlink" Target="CRM.xlsx" TargetMode="External"/><Relationship Id="rId9" Type="http://schemas.openxmlformats.org/officeDocument/2006/relationships/hyperlink" Target="AMZN.xlsx" TargetMode="External"/><Relationship Id="rId14" Type="http://schemas.openxmlformats.org/officeDocument/2006/relationships/hyperlink" Target="NOW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OneDrive/Models%20Backup/RBLX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../../../code/models/AMZN.xlsx" TargetMode="External"/><Relationship Id="rId1" Type="http://schemas.openxmlformats.org/officeDocument/2006/relationships/hyperlink" Target="BABA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B2:W81"/>
  <sheetViews>
    <sheetView tabSelected="1" zoomScaleNormal="100" zoomScaleSheetLayoutView="100" workbookViewId="0">
      <pane xSplit="3" ySplit="3" topLeftCell="D4" activePane="bottomRight" state="frozen"/>
      <selection pane="topRight" activeCell="D1" sqref="D1"/>
      <selection pane="bottomLeft" activeCell="A30" sqref="A30"/>
      <selection pane="bottomRight" activeCell="J8" sqref="J8"/>
    </sheetView>
  </sheetViews>
  <sheetFormatPr defaultColWidth="8.5703125" defaultRowHeight="12.75" x14ac:dyDescent="0.2"/>
  <cols>
    <col min="1" max="1" width="1.5703125" style="25" customWidth="1"/>
    <col min="2" max="2" width="15" style="25" customWidth="1"/>
    <col min="3" max="3" width="8.42578125" style="25" customWidth="1"/>
    <col min="4" max="4" width="8.5703125" style="26"/>
    <col min="5" max="5" width="10.28515625" style="27" customWidth="1"/>
    <col min="6" max="9" width="9.42578125" style="28" customWidth="1"/>
    <col min="10" max="14" width="8.5703125" style="29"/>
    <col min="15" max="15" width="8.5703125" style="30"/>
    <col min="16" max="17" width="8.5703125" style="31"/>
    <col min="18" max="18" width="8.5703125" style="32"/>
    <col min="19" max="19" width="8.5703125" style="30"/>
    <col min="20" max="21" width="8.5703125" style="31"/>
    <col min="22" max="22" width="8.5703125" style="32"/>
    <col min="23" max="16384" width="8.5703125" style="25"/>
  </cols>
  <sheetData>
    <row r="2" spans="2:23" x14ac:dyDescent="0.2">
      <c r="K2" s="34">
        <f>AVERAGE(K4:K6)</f>
        <v>0.5274956037173274</v>
      </c>
      <c r="O2" s="35">
        <f>AVERAGE(O4:O6)</f>
        <v>44.043236940192998</v>
      </c>
      <c r="P2" s="46">
        <f t="shared" ref="P2:R2" si="0">AVERAGE(P4:P6)</f>
        <v>19.498652418866573</v>
      </c>
      <c r="Q2" s="46">
        <f t="shared" si="0"/>
        <v>17.510096913006091</v>
      </c>
      <c r="R2" s="36">
        <f t="shared" si="0"/>
        <v>13.665856077349924</v>
      </c>
    </row>
    <row r="3" spans="2:23" x14ac:dyDescent="0.2">
      <c r="B3" s="17" t="s">
        <v>0</v>
      </c>
      <c r="C3" s="18" t="s">
        <v>1</v>
      </c>
      <c r="D3" s="19" t="s">
        <v>2</v>
      </c>
      <c r="E3" s="20" t="s">
        <v>3</v>
      </c>
      <c r="F3" s="21" t="s">
        <v>4</v>
      </c>
      <c r="G3" s="21" t="s">
        <v>5</v>
      </c>
      <c r="H3" s="21" t="s">
        <v>227</v>
      </c>
      <c r="I3" s="21" t="s">
        <v>6</v>
      </c>
      <c r="J3" s="22" t="s">
        <v>222</v>
      </c>
      <c r="K3" s="22" t="s">
        <v>226</v>
      </c>
      <c r="L3" s="22" t="s">
        <v>223</v>
      </c>
      <c r="M3" s="22" t="s">
        <v>224</v>
      </c>
      <c r="N3" s="23" t="s">
        <v>225</v>
      </c>
      <c r="O3" s="24">
        <v>2022</v>
      </c>
      <c r="P3" s="45">
        <v>2023</v>
      </c>
      <c r="Q3" s="45">
        <v>2024</v>
      </c>
      <c r="R3" s="23">
        <v>2025</v>
      </c>
      <c r="S3" s="24">
        <v>2022</v>
      </c>
      <c r="T3" s="22">
        <v>2023</v>
      </c>
      <c r="U3" s="22">
        <v>2024</v>
      </c>
      <c r="V3" s="23">
        <v>2025</v>
      </c>
      <c r="W3" s="25" t="s">
        <v>228</v>
      </c>
    </row>
    <row r="4" spans="2:23" x14ac:dyDescent="0.2">
      <c r="B4" s="5" t="s">
        <v>7</v>
      </c>
      <c r="C4" s="25" t="s">
        <v>8</v>
      </c>
      <c r="D4" s="26">
        <v>252</v>
      </c>
      <c r="E4" s="27">
        <f>D4*[1]Main!$L$3</f>
        <v>1898568</v>
      </c>
      <c r="F4" s="27">
        <f>[1]Main!$L$5-[1]Main!$L$6</f>
        <v>61674</v>
      </c>
      <c r="G4" s="27">
        <f>+E4-F4</f>
        <v>1836894</v>
      </c>
      <c r="H4" s="27">
        <f>+[1]Main!$L$3</f>
        <v>7534</v>
      </c>
      <c r="I4" s="28" t="s">
        <v>14</v>
      </c>
      <c r="J4" s="33">
        <f>+[1]Model!$AH$32</f>
        <v>240.35788054423469</v>
      </c>
      <c r="K4" s="34">
        <f>J4/D4-1</f>
        <v>-4.6198886729227451E-2</v>
      </c>
      <c r="L4" s="34">
        <f>+[1]Model!$AH$29</f>
        <v>7.0000000000000007E-2</v>
      </c>
      <c r="M4" s="34">
        <f>+[1]Model!$AH$28</f>
        <v>0</v>
      </c>
      <c r="N4" s="34">
        <f>+[1]Model!$AH$30</f>
        <v>0.01</v>
      </c>
    </row>
    <row r="5" spans="2:23" x14ac:dyDescent="0.2">
      <c r="B5" s="5" t="s">
        <v>9</v>
      </c>
      <c r="C5" s="25" t="s">
        <v>10</v>
      </c>
      <c r="D5" s="26">
        <v>105.44</v>
      </c>
      <c r="E5" s="27">
        <f>D5*[2]Main!$L$3</f>
        <v>1395920.16</v>
      </c>
      <c r="F5" s="27">
        <f>[2]Main!$L$5-[2]Main!$L$6</f>
        <v>140928</v>
      </c>
      <c r="G5" s="27">
        <f>+E5-F5</f>
        <v>1254992.1599999999</v>
      </c>
      <c r="H5" s="27">
        <f>[2]Main!$L$3</f>
        <v>13239</v>
      </c>
      <c r="I5" s="28" t="s">
        <v>214</v>
      </c>
      <c r="J5" s="33">
        <f>+[2]Model!$AF$32</f>
        <v>179.60004861383993</v>
      </c>
      <c r="K5" s="34">
        <f>J5/D5-1</f>
        <v>0.70333885255917994</v>
      </c>
      <c r="L5" s="34">
        <f>+[2]Model!$AF$29</f>
        <v>0.08</v>
      </c>
      <c r="M5" s="34">
        <f>+[2]Model!$AF$28</f>
        <v>-0.01</v>
      </c>
      <c r="N5" s="34">
        <f>+[2]Model!$AF$30</f>
        <v>0.01</v>
      </c>
      <c r="O5" s="35">
        <f>+($G5/$H5)/S5</f>
        <v>17.026272726826235</v>
      </c>
      <c r="P5" s="36">
        <f>+($G5/$H5)/T5</f>
        <v>14.645179621110156</v>
      </c>
      <c r="Q5" s="36">
        <f>+($G5/$H5)/U5</f>
        <v>12.490319735060142</v>
      </c>
      <c r="R5" s="37">
        <f>+($G5/$H5)/V5</f>
        <v>10.772106224349255</v>
      </c>
      <c r="S5" s="38">
        <f>+[2]Model!U25</f>
        <v>5.5675771651937485</v>
      </c>
      <c r="T5" s="39">
        <f>+[2]Model!V25</f>
        <v>6.4727841989453889</v>
      </c>
      <c r="U5" s="39">
        <f>+[2]Model!W25</f>
        <v>7.5894844369876644</v>
      </c>
      <c r="V5" s="40">
        <f>+[2]Model!X25</f>
        <v>8.800051286902848</v>
      </c>
    </row>
    <row r="6" spans="2:23" x14ac:dyDescent="0.2">
      <c r="B6" s="5" t="s">
        <v>11</v>
      </c>
      <c r="C6" s="25" t="s">
        <v>12</v>
      </c>
      <c r="D6" s="26">
        <v>121.12</v>
      </c>
      <c r="E6" s="27">
        <f>+D6*[3]Main!$K$3</f>
        <v>1232396</v>
      </c>
      <c r="F6" s="27">
        <f>[3]Main!$K$5-[3]Main!$K$6</f>
        <v>18829</v>
      </c>
      <c r="G6" s="27">
        <f>+E6-F6</f>
        <v>1213567</v>
      </c>
      <c r="H6" s="27">
        <f>+[3]Main!$K$3</f>
        <v>10175</v>
      </c>
      <c r="I6" s="28" t="s">
        <v>14</v>
      </c>
      <c r="J6" s="33">
        <f>+[3]Model!$BG$47</f>
        <v>233.19800990540423</v>
      </c>
      <c r="K6" s="34">
        <f>J6/D6-1</f>
        <v>0.92534684532202971</v>
      </c>
      <c r="L6" s="44">
        <f>+[3]Model!$BG$43</f>
        <v>7.0000000000000007E-2</v>
      </c>
      <c r="M6" s="34">
        <f>+[3]Model!$BG$45</f>
        <v>0</v>
      </c>
      <c r="N6" s="34">
        <f>+[3]Model!$BG$44</f>
        <v>0.01</v>
      </c>
      <c r="O6" s="35">
        <f t="shared" ref="O6:R6" si="1">+($G6/$H6)/S6</f>
        <v>71.06020115355976</v>
      </c>
      <c r="P6" s="36">
        <f t="shared" si="1"/>
        <v>24.352125216622991</v>
      </c>
      <c r="Q6" s="36">
        <f t="shared" si="1"/>
        <v>22.529874090952042</v>
      </c>
      <c r="R6" s="37">
        <f t="shared" si="1"/>
        <v>16.559605930350592</v>
      </c>
      <c r="S6" s="38">
        <f>+[3]Model!$AV$34</f>
        <v>1.6784287420147448</v>
      </c>
      <c r="T6" s="39">
        <f>+[3]Model!$AW$34</f>
        <v>4.897703299754288</v>
      </c>
      <c r="U6" s="39">
        <f>+[3]Model!$AX$34</f>
        <v>5.2938371314459518</v>
      </c>
      <c r="V6" s="40">
        <f>+[3]Model!$AY$34</f>
        <v>7.2024349209232001</v>
      </c>
    </row>
    <row r="7" spans="2:23" x14ac:dyDescent="0.2">
      <c r="B7" s="5" t="s">
        <v>13</v>
      </c>
      <c r="C7" s="25" t="s">
        <v>209</v>
      </c>
      <c r="D7" s="26">
        <v>175.57</v>
      </c>
      <c r="E7" s="27">
        <f>+D7*[4]Main!$M$3</f>
        <v>481412.94</v>
      </c>
      <c r="F7" s="27">
        <f>+[4]Main!$M$5-[4]Main!$M$6</f>
        <v>43890</v>
      </c>
      <c r="G7" s="27">
        <f>+E7-F7</f>
        <v>437522.94</v>
      </c>
      <c r="H7" s="27">
        <f>+[4]Main!$M$3</f>
        <v>2742</v>
      </c>
      <c r="I7" s="28" t="s">
        <v>14</v>
      </c>
      <c r="W7" s="25">
        <v>2004</v>
      </c>
    </row>
    <row r="8" spans="2:23" x14ac:dyDescent="0.2">
      <c r="B8" s="5" t="s">
        <v>15</v>
      </c>
      <c r="C8" s="25" t="s">
        <v>16</v>
      </c>
      <c r="D8" s="26">
        <v>391.4</v>
      </c>
      <c r="E8" s="27">
        <f>+D8*[5]Main!$L$3*1000/HKD</f>
        <v>475575.58154347877</v>
      </c>
      <c r="F8" s="27">
        <f>([5]Main!$L$5-[5]Main!$L$6)/HKD*1000</f>
        <v>97072.536879920503</v>
      </c>
      <c r="G8" s="27">
        <f>+E8-F8</f>
        <v>378503.04466355825</v>
      </c>
      <c r="H8" s="27"/>
      <c r="I8" s="28" t="s">
        <v>14</v>
      </c>
    </row>
    <row r="9" spans="2:23" x14ac:dyDescent="0.2">
      <c r="B9" s="5" t="s">
        <v>23</v>
      </c>
      <c r="C9" s="25" t="s">
        <v>24</v>
      </c>
      <c r="D9" s="26">
        <v>71.02</v>
      </c>
      <c r="E9" s="27">
        <f>+D9*[6]Main!$G$3</f>
        <v>194736.84</v>
      </c>
      <c r="F9" s="27">
        <f>+[6]Main!$G$5-[6]Main!$G$6</f>
        <v>-53957</v>
      </c>
      <c r="G9" s="27">
        <f>E9-F9</f>
        <v>248693.84</v>
      </c>
      <c r="H9" s="27"/>
      <c r="I9" s="28" t="s">
        <v>14</v>
      </c>
    </row>
    <row r="10" spans="2:23" x14ac:dyDescent="0.2">
      <c r="B10" s="5" t="s">
        <v>17</v>
      </c>
      <c r="C10" s="25" t="s">
        <v>18</v>
      </c>
      <c r="D10" s="26">
        <v>115.9</v>
      </c>
      <c r="E10" s="27">
        <f>D10*[7]Main!$L$3</f>
        <v>310046.98749999999</v>
      </c>
      <c r="F10" s="27" cm="1">
        <f t="array" ref="F10">([7]Main!$L$5-[7]Main!$L$6)/RMB</f>
        <v>119719.43620178041</v>
      </c>
      <c r="G10" s="27">
        <f>+E10-F10</f>
        <v>190327.55129821959</v>
      </c>
      <c r="H10" s="27"/>
      <c r="I10" s="28" t="s">
        <v>14</v>
      </c>
    </row>
    <row r="11" spans="2:23" x14ac:dyDescent="0.2">
      <c r="B11" s="5" t="s">
        <v>19</v>
      </c>
      <c r="C11" s="25" t="s">
        <v>20</v>
      </c>
      <c r="D11" s="26">
        <v>393.84</v>
      </c>
      <c r="E11" s="27">
        <f>+D11*[8]Main!$N$3</f>
        <v>186089.4</v>
      </c>
      <c r="F11" s="27">
        <f>+[8]Main!$N$5-[8]Main!$N$6</f>
        <v>1173</v>
      </c>
      <c r="G11" s="27">
        <f>+E11-F11</f>
        <v>184916.4</v>
      </c>
      <c r="H11" s="27"/>
      <c r="I11" s="28" t="s">
        <v>214</v>
      </c>
    </row>
    <row r="12" spans="2:23" x14ac:dyDescent="0.2">
      <c r="B12" s="5" t="s">
        <v>21</v>
      </c>
      <c r="C12" s="25" t="s">
        <v>22</v>
      </c>
      <c r="D12" s="26">
        <v>189</v>
      </c>
      <c r="E12" s="27">
        <f>+D12*[9]Main!$M$3</f>
        <v>188055</v>
      </c>
      <c r="F12" s="27">
        <f>+[9]Main!$M$5-[9]Main!$M$6</f>
        <v>7842</v>
      </c>
      <c r="G12" s="27">
        <f t="shared" ref="G12:G20" si="2">E12-F12</f>
        <v>180213</v>
      </c>
      <c r="H12" s="27"/>
      <c r="I12" s="28" t="s">
        <v>14</v>
      </c>
    </row>
    <row r="13" spans="2:23" x14ac:dyDescent="0.2">
      <c r="B13" s="5" t="s">
        <v>25</v>
      </c>
      <c r="C13" s="25" t="s">
        <v>25</v>
      </c>
      <c r="D13" s="26">
        <v>99.86</v>
      </c>
      <c r="E13" s="27">
        <f>+D13*[10]Main!$L$3</f>
        <v>117834.8</v>
      </c>
      <c r="F13" s="27">
        <f>+[10]Main!$L$5-[10]Main!$L$6</f>
        <v>870</v>
      </c>
      <c r="G13" s="27">
        <f t="shared" si="2"/>
        <v>116964.8</v>
      </c>
      <c r="H13" s="27"/>
      <c r="I13" s="28" t="s">
        <v>14</v>
      </c>
    </row>
    <row r="14" spans="2:23" x14ac:dyDescent="0.2">
      <c r="B14" s="5" t="s">
        <v>26</v>
      </c>
      <c r="C14" s="25" t="s">
        <v>27</v>
      </c>
      <c r="D14" s="26">
        <v>413.72</v>
      </c>
      <c r="E14" s="27">
        <f>D14*[11]Main!$L$3</f>
        <v>118323.92000000001</v>
      </c>
      <c r="F14" s="27">
        <f>[11]Main!$L$5-[11]Main!$L$6</f>
        <v>-2851</v>
      </c>
      <c r="G14" s="27">
        <f t="shared" si="2"/>
        <v>121174.92000000001</v>
      </c>
      <c r="H14" s="27"/>
      <c r="I14" s="28" t="s">
        <v>14</v>
      </c>
    </row>
    <row r="15" spans="2:23" x14ac:dyDescent="0.2">
      <c r="B15" s="5" t="s">
        <v>29</v>
      </c>
      <c r="C15" s="25" t="s">
        <v>30</v>
      </c>
      <c r="D15" s="26">
        <v>440</v>
      </c>
      <c r="E15" s="27">
        <f>+D15*[12]Main!$L$3</f>
        <v>88000</v>
      </c>
      <c r="F15" s="27">
        <f>+[12]Main!$L$5-[12]Main!$L$6</f>
        <v>3926</v>
      </c>
      <c r="G15" s="27">
        <f t="shared" si="2"/>
        <v>84074</v>
      </c>
      <c r="H15" s="27"/>
      <c r="I15" s="28" t="s">
        <v>14</v>
      </c>
    </row>
    <row r="16" spans="2:23" x14ac:dyDescent="0.2">
      <c r="B16" s="5" t="s">
        <v>189</v>
      </c>
      <c r="C16" s="25" t="s">
        <v>190</v>
      </c>
      <c r="D16" s="26">
        <v>39.74</v>
      </c>
      <c r="E16" s="27">
        <f>+D16*[13]Main!$L$3*EUR</f>
        <v>53089.738980000009</v>
      </c>
      <c r="F16" s="27">
        <f>+([13]Main!$L$5-[13]Main!$L$6)*EUR</f>
        <v>-490.25400000000008</v>
      </c>
      <c r="G16" s="27">
        <f t="shared" si="2"/>
        <v>53579.99298000001</v>
      </c>
      <c r="H16" s="27"/>
      <c r="I16" s="28" t="s">
        <v>214</v>
      </c>
    </row>
    <row r="17" spans="2:23" x14ac:dyDescent="0.2">
      <c r="B17" s="5" t="s">
        <v>40</v>
      </c>
      <c r="C17" s="25" t="s">
        <v>41</v>
      </c>
      <c r="D17" s="26">
        <v>200.8</v>
      </c>
      <c r="E17" s="27">
        <f>+D17*[14]Main!$L$3</f>
        <v>50947.578400000006</v>
      </c>
      <c r="F17" s="27">
        <f>+[14]Main!$L$5-[14]Main!$L$6</f>
        <v>432.39900000000011</v>
      </c>
      <c r="G17" s="27">
        <f>E17-F17</f>
        <v>50515.179400000008</v>
      </c>
      <c r="H17" s="27">
        <f>+[14]Main!$L$3</f>
        <v>253.72300000000001</v>
      </c>
      <c r="I17" s="41" t="s">
        <v>14</v>
      </c>
    </row>
    <row r="18" spans="2:23" x14ac:dyDescent="0.2">
      <c r="B18" s="5" t="s">
        <v>36</v>
      </c>
      <c r="C18" s="25" t="s">
        <v>37</v>
      </c>
      <c r="D18" s="26">
        <v>36.71</v>
      </c>
      <c r="E18" s="27">
        <f>+D18*[15]Main!$M$3</f>
        <v>46254.6</v>
      </c>
      <c r="F18" s="27">
        <f>+[15]Main!$M$5-[15]Main!$M$6</f>
        <v>6335.1410000000005</v>
      </c>
      <c r="G18" s="27">
        <f t="shared" si="2"/>
        <v>39919.458999999995</v>
      </c>
      <c r="H18" s="27"/>
      <c r="I18" s="28" t="s">
        <v>14</v>
      </c>
    </row>
    <row r="19" spans="2:23" x14ac:dyDescent="0.2">
      <c r="B19" s="5" t="s">
        <v>44</v>
      </c>
      <c r="C19" s="25" t="s">
        <v>45</v>
      </c>
      <c r="D19" s="26">
        <v>135.57</v>
      </c>
      <c r="E19" s="27">
        <f>+D19*[16]Main!$M$3</f>
        <v>42617.920769999997</v>
      </c>
      <c r="F19" s="27">
        <f>+[16]Main!$M$5-[16]Main!$M$6</f>
        <v>5027.4579999999996</v>
      </c>
      <c r="G19" s="27">
        <f>E19-F19</f>
        <v>37590.462769999998</v>
      </c>
      <c r="H19" s="27">
        <f>+[16]Main!$M$3</f>
        <v>314.36099999999999</v>
      </c>
      <c r="I19" s="43" t="s">
        <v>14</v>
      </c>
    </row>
    <row r="20" spans="2:23" x14ac:dyDescent="0.2">
      <c r="B20" s="5" t="s">
        <v>38</v>
      </c>
      <c r="C20" s="25" t="s">
        <v>39</v>
      </c>
      <c r="D20" s="26">
        <v>152.88</v>
      </c>
      <c r="E20" s="27">
        <f>+D20*[17]Main!$L$3</f>
        <v>52877.369999999995</v>
      </c>
      <c r="F20" s="27">
        <f>([17]Main!$L$5-[17]Main!$L$6)/RMB</f>
        <v>25459.792284866468</v>
      </c>
      <c r="G20" s="27">
        <f t="shared" si="2"/>
        <v>27417.577715133528</v>
      </c>
      <c r="H20" s="27">
        <f>+[17]Main!$L$3</f>
        <v>345.875</v>
      </c>
      <c r="I20" s="28" t="s">
        <v>14</v>
      </c>
      <c r="W20" s="25">
        <v>2000</v>
      </c>
    </row>
    <row r="21" spans="2:23" x14ac:dyDescent="0.2">
      <c r="B21" s="25" t="s">
        <v>46</v>
      </c>
      <c r="C21" s="25" t="s">
        <v>47</v>
      </c>
      <c r="D21" s="26">
        <v>203.73</v>
      </c>
      <c r="E21" s="27">
        <v>45530</v>
      </c>
    </row>
    <row r="22" spans="2:23" x14ac:dyDescent="0.2">
      <c r="B22" s="25" t="s">
        <v>48</v>
      </c>
      <c r="C22" s="25" t="s">
        <v>49</v>
      </c>
      <c r="D22" s="26">
        <v>159.93</v>
      </c>
      <c r="E22" s="27">
        <v>44900</v>
      </c>
    </row>
    <row r="23" spans="2:23" x14ac:dyDescent="0.2">
      <c r="B23" s="25" t="s">
        <v>193</v>
      </c>
      <c r="C23" s="25" t="s">
        <v>194</v>
      </c>
    </row>
    <row r="24" spans="2:23" x14ac:dyDescent="0.2">
      <c r="B24" s="25" t="s">
        <v>50</v>
      </c>
      <c r="C24" s="25" t="s">
        <v>51</v>
      </c>
      <c r="D24" s="26">
        <v>160.03</v>
      </c>
      <c r="E24" s="27">
        <v>40648</v>
      </c>
    </row>
    <row r="25" spans="2:23" x14ac:dyDescent="0.2">
      <c r="B25" s="25" t="s">
        <v>191</v>
      </c>
      <c r="C25" s="25" t="s">
        <v>192</v>
      </c>
    </row>
    <row r="26" spans="2:23" x14ac:dyDescent="0.2">
      <c r="B26" s="25" t="s">
        <v>184</v>
      </c>
      <c r="C26" s="25" t="s">
        <v>185</v>
      </c>
    </row>
    <row r="27" spans="2:23" x14ac:dyDescent="0.2">
      <c r="B27" s="25" t="s">
        <v>186</v>
      </c>
      <c r="C27" s="25" t="s">
        <v>187</v>
      </c>
    </row>
    <row r="28" spans="2:23" x14ac:dyDescent="0.2">
      <c r="B28" s="25" t="s">
        <v>52</v>
      </c>
      <c r="C28" s="25" t="s">
        <v>53</v>
      </c>
      <c r="D28" s="26">
        <v>107.93</v>
      </c>
      <c r="E28" s="27">
        <v>34000</v>
      </c>
    </row>
    <row r="29" spans="2:23" x14ac:dyDescent="0.2">
      <c r="B29" s="25" t="s">
        <v>55</v>
      </c>
      <c r="E29" s="27">
        <v>30000</v>
      </c>
    </row>
    <row r="30" spans="2:23" x14ac:dyDescent="0.2">
      <c r="B30" s="25" t="s">
        <v>56</v>
      </c>
      <c r="C30" s="25" t="s">
        <v>57</v>
      </c>
      <c r="D30" s="26">
        <v>54.71</v>
      </c>
      <c r="E30" s="27">
        <v>28410</v>
      </c>
    </row>
    <row r="31" spans="2:23" x14ac:dyDescent="0.2">
      <c r="B31" s="25" t="s">
        <v>58</v>
      </c>
      <c r="E31" s="27">
        <v>27000</v>
      </c>
    </row>
    <row r="32" spans="2:23" x14ac:dyDescent="0.2">
      <c r="B32" s="25" t="s">
        <v>62</v>
      </c>
      <c r="C32" s="25" t="s">
        <v>63</v>
      </c>
      <c r="D32" s="26">
        <v>236.61</v>
      </c>
      <c r="E32" s="27">
        <v>23190</v>
      </c>
    </row>
    <row r="33" spans="2:9" x14ac:dyDescent="0.2">
      <c r="B33" s="25" t="s">
        <v>64</v>
      </c>
      <c r="E33" s="27">
        <v>22000</v>
      </c>
    </row>
    <row r="34" spans="2:9" x14ac:dyDescent="0.2">
      <c r="B34" s="5" t="s">
        <v>154</v>
      </c>
      <c r="C34" s="25" t="s">
        <v>155</v>
      </c>
      <c r="D34" s="26">
        <v>9.35</v>
      </c>
      <c r="E34" s="27">
        <f>D34*[18]Main!$L$3</f>
        <v>19036.599999999999</v>
      </c>
      <c r="F34" s="27">
        <f>[18]Main!$L$5-[18]Main!$L$6</f>
        <v>2585</v>
      </c>
      <c r="G34" s="27">
        <f>E34-F34</f>
        <v>16451.599999999999</v>
      </c>
      <c r="H34" s="27"/>
      <c r="I34" s="28" t="s">
        <v>14</v>
      </c>
    </row>
    <row r="35" spans="2:9" x14ac:dyDescent="0.2">
      <c r="B35" s="25" t="s">
        <v>65</v>
      </c>
      <c r="C35" s="25" t="s">
        <v>66</v>
      </c>
      <c r="D35" s="26">
        <v>312</v>
      </c>
      <c r="E35" s="27">
        <v>19090</v>
      </c>
    </row>
    <row r="36" spans="2:9" x14ac:dyDescent="0.2">
      <c r="B36" s="25" t="s">
        <v>67</v>
      </c>
      <c r="C36" s="25" t="s">
        <v>68</v>
      </c>
      <c r="D36" s="26">
        <v>90.1</v>
      </c>
      <c r="E36" s="27">
        <v>18840</v>
      </c>
    </row>
    <row r="37" spans="2:9" x14ac:dyDescent="0.2">
      <c r="B37" s="25" t="s">
        <v>69</v>
      </c>
      <c r="C37" s="25" t="s">
        <v>70</v>
      </c>
      <c r="D37" s="26">
        <v>360.34</v>
      </c>
      <c r="E37" s="27">
        <v>18140</v>
      </c>
    </row>
    <row r="38" spans="2:9" x14ac:dyDescent="0.2">
      <c r="B38" s="25" t="s">
        <v>73</v>
      </c>
      <c r="C38" s="25" t="s">
        <v>74</v>
      </c>
      <c r="D38" s="26">
        <v>43.75</v>
      </c>
      <c r="E38" s="27">
        <v>17180</v>
      </c>
    </row>
    <row r="39" spans="2:9" x14ac:dyDescent="0.2">
      <c r="B39" s="5" t="s">
        <v>75</v>
      </c>
      <c r="C39" s="25" t="s">
        <v>76</v>
      </c>
      <c r="D39" s="26">
        <v>102.23</v>
      </c>
      <c r="E39" s="27">
        <f>+D39*[19]Main!$K$3</f>
        <v>20147.20788088</v>
      </c>
      <c r="F39" s="27">
        <f>+[19]Main!$K$5-[19]Main!$K$6</f>
        <v>3155</v>
      </c>
      <c r="G39" s="27">
        <f>E39-F39</f>
        <v>16992.20788088</v>
      </c>
      <c r="H39" s="27"/>
      <c r="I39" s="28" t="s">
        <v>14</v>
      </c>
    </row>
    <row r="40" spans="2:9" x14ac:dyDescent="0.2">
      <c r="B40" s="25" t="s">
        <v>79</v>
      </c>
      <c r="C40" s="25" t="s">
        <v>80</v>
      </c>
      <c r="D40" s="26">
        <v>40.44</v>
      </c>
      <c r="E40" s="27">
        <v>16810</v>
      </c>
    </row>
    <row r="41" spans="2:9" x14ac:dyDescent="0.2">
      <c r="B41" s="25" t="s">
        <v>195</v>
      </c>
      <c r="C41" s="25" t="s">
        <v>196</v>
      </c>
    </row>
    <row r="42" spans="2:9" x14ac:dyDescent="0.2">
      <c r="B42" s="25" t="s">
        <v>83</v>
      </c>
      <c r="C42" s="25" t="s">
        <v>84</v>
      </c>
      <c r="D42" s="26">
        <v>63.5</v>
      </c>
      <c r="E42" s="27">
        <v>16440</v>
      </c>
    </row>
    <row r="43" spans="2:9" x14ac:dyDescent="0.2">
      <c r="B43" s="25" t="s">
        <v>197</v>
      </c>
      <c r="C43" s="25" t="s">
        <v>198</v>
      </c>
    </row>
    <row r="44" spans="2:9" x14ac:dyDescent="0.2">
      <c r="B44" s="25" t="s">
        <v>199</v>
      </c>
      <c r="C44" s="25" t="s">
        <v>200</v>
      </c>
    </row>
    <row r="45" spans="2:9" x14ac:dyDescent="0.2">
      <c r="B45" s="25" t="s">
        <v>85</v>
      </c>
      <c r="C45" s="25" t="s">
        <v>86</v>
      </c>
      <c r="D45" s="26">
        <v>363.45</v>
      </c>
      <c r="E45" s="27">
        <v>15250</v>
      </c>
    </row>
    <row r="46" spans="2:9" x14ac:dyDescent="0.2">
      <c r="B46" s="25" t="s">
        <v>79</v>
      </c>
      <c r="C46" s="25" t="s">
        <v>188</v>
      </c>
    </row>
    <row r="47" spans="2:9" x14ac:dyDescent="0.2">
      <c r="B47" s="25" t="s">
        <v>174</v>
      </c>
      <c r="C47" s="25" t="s">
        <v>175</v>
      </c>
    </row>
    <row r="48" spans="2:9" x14ac:dyDescent="0.2">
      <c r="B48" s="25" t="s">
        <v>201</v>
      </c>
      <c r="C48" s="25" t="s">
        <v>202</v>
      </c>
    </row>
    <row r="49" spans="2:5" x14ac:dyDescent="0.2">
      <c r="B49" s="25" t="s">
        <v>207</v>
      </c>
      <c r="C49" s="25" t="s">
        <v>208</v>
      </c>
    </row>
    <row r="50" spans="2:5" x14ac:dyDescent="0.2">
      <c r="B50" s="25" t="s">
        <v>205</v>
      </c>
      <c r="C50" s="25" t="s">
        <v>206</v>
      </c>
    </row>
    <row r="51" spans="2:5" x14ac:dyDescent="0.2">
      <c r="B51" s="25" t="s">
        <v>90</v>
      </c>
      <c r="C51" s="25" t="s">
        <v>91</v>
      </c>
      <c r="D51" s="26">
        <v>135.02000000000001</v>
      </c>
      <c r="E51" s="27">
        <v>14050</v>
      </c>
    </row>
    <row r="52" spans="2:5" x14ac:dyDescent="0.2">
      <c r="B52" s="25" t="s">
        <v>92</v>
      </c>
      <c r="C52" s="25" t="s">
        <v>93</v>
      </c>
      <c r="D52" s="26">
        <v>206.61</v>
      </c>
      <c r="E52" s="27">
        <v>13880</v>
      </c>
    </row>
    <row r="53" spans="2:5" x14ac:dyDescent="0.2">
      <c r="B53" s="25" t="s">
        <v>94</v>
      </c>
      <c r="C53" s="25" t="s">
        <v>94</v>
      </c>
      <c r="D53" s="26">
        <v>115.52</v>
      </c>
      <c r="E53" s="27">
        <v>13640</v>
      </c>
    </row>
    <row r="54" spans="2:5" x14ac:dyDescent="0.2">
      <c r="B54" s="25" t="s">
        <v>95</v>
      </c>
      <c r="C54" s="25" t="s">
        <v>95</v>
      </c>
      <c r="D54" s="26">
        <v>206.68</v>
      </c>
      <c r="E54" s="27">
        <v>12990</v>
      </c>
    </row>
    <row r="55" spans="2:5" x14ac:dyDescent="0.2">
      <c r="B55" s="25" t="s">
        <v>96</v>
      </c>
      <c r="C55" s="25" t="s">
        <v>97</v>
      </c>
      <c r="D55" s="26">
        <v>43.77</v>
      </c>
      <c r="E55" s="27">
        <v>12660</v>
      </c>
    </row>
    <row r="56" spans="2:5" x14ac:dyDescent="0.2">
      <c r="B56" s="25" t="s">
        <v>100</v>
      </c>
      <c r="C56" s="25" t="s">
        <v>101</v>
      </c>
      <c r="D56" s="26">
        <v>98.74</v>
      </c>
      <c r="E56" s="27">
        <v>12490</v>
      </c>
    </row>
    <row r="57" spans="2:5" x14ac:dyDescent="0.2">
      <c r="B57" s="25" t="s">
        <v>102</v>
      </c>
      <c r="C57" s="25" t="s">
        <v>103</v>
      </c>
      <c r="D57" s="26">
        <v>40.369999999999997</v>
      </c>
      <c r="E57" s="27">
        <v>11000</v>
      </c>
    </row>
    <row r="58" spans="2:5" x14ac:dyDescent="0.2">
      <c r="B58" s="25" t="s">
        <v>104</v>
      </c>
      <c r="C58" s="25" t="s">
        <v>105</v>
      </c>
      <c r="D58" s="26">
        <v>408.48</v>
      </c>
      <c r="E58" s="27">
        <v>10570</v>
      </c>
    </row>
    <row r="59" spans="2:5" x14ac:dyDescent="0.2">
      <c r="B59" s="25" t="s">
        <v>108</v>
      </c>
      <c r="C59" s="25" t="s">
        <v>109</v>
      </c>
      <c r="D59" s="26">
        <v>80.52</v>
      </c>
      <c r="E59" s="27">
        <v>10310</v>
      </c>
    </row>
    <row r="60" spans="2:5" x14ac:dyDescent="0.2">
      <c r="B60" s="25" t="s">
        <v>110</v>
      </c>
      <c r="C60" s="25" t="s">
        <v>111</v>
      </c>
      <c r="D60" s="26">
        <v>35.200000000000003</v>
      </c>
      <c r="E60" s="27">
        <v>10210</v>
      </c>
    </row>
    <row r="61" spans="2:5" x14ac:dyDescent="0.2">
      <c r="B61" s="25" t="s">
        <v>112</v>
      </c>
      <c r="E61" s="27">
        <v>10000</v>
      </c>
    </row>
    <row r="62" spans="2:5" x14ac:dyDescent="0.2">
      <c r="B62" s="25" t="s">
        <v>113</v>
      </c>
      <c r="C62" s="25" t="s">
        <v>114</v>
      </c>
      <c r="D62" s="26">
        <v>8.17</v>
      </c>
      <c r="E62" s="27">
        <v>9320</v>
      </c>
    </row>
    <row r="63" spans="2:5" x14ac:dyDescent="0.2">
      <c r="B63" s="25" t="s">
        <v>115</v>
      </c>
      <c r="C63" s="25" t="s">
        <v>116</v>
      </c>
      <c r="D63" s="26">
        <v>14.73</v>
      </c>
      <c r="E63" s="27">
        <v>9140</v>
      </c>
    </row>
    <row r="64" spans="2:5" x14ac:dyDescent="0.2">
      <c r="B64" s="25" t="s">
        <v>117</v>
      </c>
      <c r="C64" s="25" t="s">
        <v>118</v>
      </c>
      <c r="D64" s="26">
        <v>56.9</v>
      </c>
      <c r="E64" s="27">
        <v>9000</v>
      </c>
    </row>
    <row r="65" spans="2:5" x14ac:dyDescent="0.2">
      <c r="B65" s="25" t="s">
        <v>119</v>
      </c>
      <c r="C65" s="25" t="s">
        <v>120</v>
      </c>
      <c r="D65" s="26">
        <v>203.42</v>
      </c>
      <c r="E65" s="27">
        <v>8580</v>
      </c>
    </row>
    <row r="66" spans="2:5" x14ac:dyDescent="0.2">
      <c r="B66" s="25" t="s">
        <v>122</v>
      </c>
      <c r="C66" s="25" t="s">
        <v>123</v>
      </c>
      <c r="D66" s="26">
        <v>126.81</v>
      </c>
      <c r="E66" s="27">
        <v>8200</v>
      </c>
    </row>
    <row r="67" spans="2:5" x14ac:dyDescent="0.2">
      <c r="B67" s="25" t="s">
        <v>124</v>
      </c>
      <c r="C67" s="25" t="s">
        <v>125</v>
      </c>
      <c r="D67" s="26">
        <v>50.35</v>
      </c>
      <c r="E67" s="27">
        <v>8150</v>
      </c>
    </row>
    <row r="68" spans="2:5" x14ac:dyDescent="0.2">
      <c r="B68" s="25" t="s">
        <v>126</v>
      </c>
      <c r="E68" s="27">
        <v>8000</v>
      </c>
    </row>
    <row r="69" spans="2:5" x14ac:dyDescent="0.2">
      <c r="B69" s="25" t="s">
        <v>127</v>
      </c>
      <c r="C69" s="25" t="s">
        <v>128</v>
      </c>
      <c r="D69" s="26">
        <v>88.7</v>
      </c>
      <c r="E69" s="27">
        <v>7910</v>
      </c>
    </row>
    <row r="70" spans="2:5" x14ac:dyDescent="0.2">
      <c r="B70" s="25" t="s">
        <v>129</v>
      </c>
      <c r="C70" s="25" t="s">
        <v>130</v>
      </c>
      <c r="D70" s="26">
        <v>78.3</v>
      </c>
      <c r="E70" s="27">
        <v>7580</v>
      </c>
    </row>
    <row r="71" spans="2:5" x14ac:dyDescent="0.2">
      <c r="B71" s="25" t="s">
        <v>131</v>
      </c>
      <c r="C71" s="25" t="s">
        <v>132</v>
      </c>
      <c r="D71" s="26">
        <v>50.36</v>
      </c>
      <c r="E71" s="27">
        <v>7140</v>
      </c>
    </row>
    <row r="72" spans="2:5" x14ac:dyDescent="0.2">
      <c r="B72" s="25" t="s">
        <v>133</v>
      </c>
      <c r="C72" s="25" t="s">
        <v>134</v>
      </c>
      <c r="D72" s="26">
        <v>80.58</v>
      </c>
      <c r="E72" s="27">
        <v>6930</v>
      </c>
    </row>
    <row r="73" spans="2:5" x14ac:dyDescent="0.2">
      <c r="B73" s="25" t="s">
        <v>135</v>
      </c>
      <c r="C73" s="25" t="s">
        <v>136</v>
      </c>
      <c r="D73" s="26">
        <v>32.869999999999997</v>
      </c>
      <c r="E73" s="27">
        <v>6880</v>
      </c>
    </row>
    <row r="74" spans="2:5" x14ac:dyDescent="0.2">
      <c r="B74" s="25" t="s">
        <v>137</v>
      </c>
      <c r="C74" s="25" t="s">
        <v>138</v>
      </c>
      <c r="D74" s="26">
        <v>17.63</v>
      </c>
      <c r="E74" s="27">
        <v>6480</v>
      </c>
    </row>
    <row r="75" spans="2:5" x14ac:dyDescent="0.2">
      <c r="B75" s="25" t="s">
        <v>139</v>
      </c>
      <c r="C75" s="25" t="s">
        <v>140</v>
      </c>
      <c r="D75" s="26">
        <v>54.6</v>
      </c>
      <c r="E75" s="27">
        <v>6370</v>
      </c>
    </row>
    <row r="76" spans="2:5" x14ac:dyDescent="0.2">
      <c r="B76" s="25" t="s">
        <v>141</v>
      </c>
      <c r="C76" s="25" t="s">
        <v>142</v>
      </c>
      <c r="D76" s="26">
        <v>62.59</v>
      </c>
      <c r="E76" s="27">
        <v>6350</v>
      </c>
    </row>
    <row r="77" spans="2:5" x14ac:dyDescent="0.2">
      <c r="B77" s="25" t="s">
        <v>143</v>
      </c>
      <c r="C77" s="25" t="s">
        <v>143</v>
      </c>
      <c r="D77" s="26">
        <v>62.71</v>
      </c>
      <c r="E77" s="27">
        <v>3603</v>
      </c>
    </row>
    <row r="78" spans="2:5" x14ac:dyDescent="0.2">
      <c r="B78" s="25" t="s">
        <v>144</v>
      </c>
      <c r="C78" s="25" t="s">
        <v>145</v>
      </c>
      <c r="D78" s="26">
        <v>21.19</v>
      </c>
      <c r="E78" s="27">
        <v>2965</v>
      </c>
    </row>
    <row r="79" spans="2:5" x14ac:dyDescent="0.2">
      <c r="B79" s="25" t="s">
        <v>149</v>
      </c>
      <c r="C79" s="25" t="s">
        <v>150</v>
      </c>
      <c r="D79" s="26">
        <v>26.99</v>
      </c>
      <c r="E79" s="27">
        <v>1400</v>
      </c>
    </row>
    <row r="80" spans="2:5" x14ac:dyDescent="0.2">
      <c r="B80" s="42" t="s">
        <v>229</v>
      </c>
      <c r="C80" s="42" t="s">
        <v>230</v>
      </c>
    </row>
    <row r="81" spans="2:3" x14ac:dyDescent="0.2">
      <c r="B81" s="42" t="s">
        <v>231</v>
      </c>
      <c r="C81" s="42" t="s">
        <v>232</v>
      </c>
    </row>
  </sheetData>
  <hyperlinks>
    <hyperlink ref="B39" r:id="rId1" xr:uid="{B43B07AD-918B-4E3C-B6FF-2D0A1726D08C}"/>
    <hyperlink ref="B11" r:id="rId2" xr:uid="{28EBE119-EF9F-470C-849F-27EA6116229F}"/>
    <hyperlink ref="B7" r:id="rId3" xr:uid="{56FB4D51-12B3-48A8-96E9-6D3FB77E2D06}"/>
    <hyperlink ref="B12" r:id="rId4" xr:uid="{2F922258-68B1-42ED-ABCA-72C5091FFD3C}"/>
    <hyperlink ref="B9" r:id="rId5" xr:uid="{8490DBEA-18EF-431F-AAE9-5080FB55647A}"/>
    <hyperlink ref="B13" r:id="rId6" xr:uid="{F9C613E1-1B52-417A-BBCE-88AAEB91F9C1}"/>
    <hyperlink ref="B4" r:id="rId7" xr:uid="{44B0624D-C533-4289-A102-E1BCAF398274}"/>
    <hyperlink ref="B5" r:id="rId8" xr:uid="{3019DEB6-D8CA-4815-8BF6-407E9419A3F9}"/>
    <hyperlink ref="B6" r:id="rId9" xr:uid="{D0A6A308-9256-4523-8FDF-BCE2AFB11B6E}"/>
    <hyperlink ref="B8" r:id="rId10" xr:uid="{AFA39CB9-3127-4BCA-A3CE-D903EA36E6C7}"/>
    <hyperlink ref="B14" r:id="rId11" xr:uid="{B2FAC7EC-CB56-42A3-96CC-14E909698321}"/>
    <hyperlink ref="B10" r:id="rId12" xr:uid="{EBAD1208-6B7E-4686-85C8-90DFDB7B9D36}"/>
    <hyperlink ref="B34" r:id="rId13" xr:uid="{5A1A0BF1-1F9D-453A-8615-32812BE41A68}"/>
    <hyperlink ref="B15" r:id="rId14" xr:uid="{8967E115-2924-419A-9BD1-6441F95A80FF}"/>
    <hyperlink ref="B16" r:id="rId15" xr:uid="{A7E983F7-BC7A-4B3D-8444-6070EF708DDF}"/>
    <hyperlink ref="B18" r:id="rId16" xr:uid="{CB288269-AD44-4B2E-90F5-6FB8081BF962}"/>
    <hyperlink ref="B20" r:id="rId17" xr:uid="{831B52E7-EF7A-4831-8425-59EAD7D0F934}"/>
    <hyperlink ref="B17" r:id="rId18" xr:uid="{2AE55E96-1BEF-428E-AB42-3AD9978D13D8}"/>
    <hyperlink ref="B19" r:id="rId19" xr:uid="{DC9040DF-9172-464B-9C24-1B175E7FEE7E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H1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3.7109375" style="14" customWidth="1"/>
    <col min="3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3</v>
      </c>
      <c r="E2" s="14" t="s">
        <v>172</v>
      </c>
    </row>
    <row r="3" spans="1:8" x14ac:dyDescent="0.2">
      <c r="B3" s="14" t="s">
        <v>7</v>
      </c>
      <c r="C3" s="14" t="s">
        <v>8</v>
      </c>
    </row>
    <row r="4" spans="1:8" x14ac:dyDescent="0.2">
      <c r="B4" s="14" t="s">
        <v>173</v>
      </c>
      <c r="C4" s="14" t="s">
        <v>16</v>
      </c>
    </row>
    <row r="5" spans="1:8" x14ac:dyDescent="0.2">
      <c r="B5" s="1" t="s">
        <v>54</v>
      </c>
      <c r="C5" s="1"/>
      <c r="D5" s="2"/>
      <c r="E5" s="3">
        <v>31500</v>
      </c>
    </row>
    <row r="6" spans="1:8" s="1" customFormat="1" x14ac:dyDescent="0.2">
      <c r="B6" s="5" t="s">
        <v>77</v>
      </c>
      <c r="C6" s="1" t="s">
        <v>78</v>
      </c>
      <c r="D6" s="2">
        <v>27.7</v>
      </c>
      <c r="E6" s="3">
        <f>+D6*[20]Main!$K$3</f>
        <v>16302.031699999998</v>
      </c>
      <c r="F6" s="3">
        <f>+[20]Main!$K$5-[20]Main!$K$6</f>
        <v>2144.9299999999998</v>
      </c>
      <c r="G6" s="3">
        <f>+E6-F6</f>
        <v>14157.101699999997</v>
      </c>
      <c r="H6" s="4" t="s">
        <v>14</v>
      </c>
    </row>
    <row r="7" spans="1:8" s="1" customFormat="1" x14ac:dyDescent="0.2">
      <c r="B7" s="1" t="s">
        <v>88</v>
      </c>
      <c r="C7" s="1" t="s">
        <v>89</v>
      </c>
      <c r="D7" s="2">
        <v>45.8</v>
      </c>
      <c r="E7" s="3">
        <v>14330</v>
      </c>
      <c r="F7" s="4"/>
      <c r="G7" s="4"/>
      <c r="H7" s="4"/>
    </row>
    <row r="8" spans="1:8" x14ac:dyDescent="0.2">
      <c r="B8" s="14" t="s">
        <v>176</v>
      </c>
      <c r="C8" s="14" t="s">
        <v>177</v>
      </c>
    </row>
    <row r="9" spans="1:8" x14ac:dyDescent="0.2">
      <c r="B9" s="14" t="s">
        <v>178</v>
      </c>
      <c r="C9" s="14" t="s">
        <v>179</v>
      </c>
    </row>
    <row r="10" spans="1:8" x14ac:dyDescent="0.2">
      <c r="B10" s="14" t="s">
        <v>180</v>
      </c>
      <c r="C10" s="14" t="s">
        <v>181</v>
      </c>
    </row>
    <row r="11" spans="1:8" x14ac:dyDescent="0.2">
      <c r="B11" s="14" t="s">
        <v>182</v>
      </c>
      <c r="C11" s="14" t="s">
        <v>183</v>
      </c>
    </row>
  </sheetData>
  <hyperlinks>
    <hyperlink ref="A1" location="Main!A1" display="Main" xr:uid="{B2E999A0-B9C6-426F-B868-4B47C66D3C76}"/>
    <hyperlink ref="B6" r:id="rId1" xr:uid="{4D4AAA00-BFE8-4498-9D01-136889AF20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E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2" width="12" style="14" customWidth="1"/>
    <col min="3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167</v>
      </c>
      <c r="C3" s="14" t="s">
        <v>168</v>
      </c>
    </row>
    <row r="4" spans="1:5" x14ac:dyDescent="0.2">
      <c r="B4" s="1" t="s">
        <v>31</v>
      </c>
      <c r="C4" s="1" t="s">
        <v>32</v>
      </c>
      <c r="D4" s="2">
        <v>87.2</v>
      </c>
      <c r="E4" s="3">
        <v>100981</v>
      </c>
    </row>
    <row r="5" spans="1:5" x14ac:dyDescent="0.2">
      <c r="B5" s="11" t="s">
        <v>33</v>
      </c>
      <c r="C5" s="11" t="s">
        <v>156</v>
      </c>
      <c r="D5" s="12">
        <v>0</v>
      </c>
      <c r="E5" s="13">
        <v>100000</v>
      </c>
    </row>
    <row r="6" spans="1:5" x14ac:dyDescent="0.2">
      <c r="B6" s="14" t="s">
        <v>169</v>
      </c>
      <c r="C6" s="14" t="s">
        <v>170</v>
      </c>
    </row>
    <row r="7" spans="1:5" x14ac:dyDescent="0.2">
      <c r="B7" s="14" t="s">
        <v>171</v>
      </c>
      <c r="C7" s="14" t="s">
        <v>3</v>
      </c>
    </row>
    <row r="8" spans="1:5" x14ac:dyDescent="0.2">
      <c r="B8" s="1" t="s">
        <v>71</v>
      </c>
      <c r="C8" s="1" t="s">
        <v>72</v>
      </c>
      <c r="D8" s="2">
        <v>68.930000000000007</v>
      </c>
      <c r="E8" s="3">
        <v>18053</v>
      </c>
    </row>
    <row r="9" spans="1:5" x14ac:dyDescent="0.2">
      <c r="B9" s="1" t="s">
        <v>59</v>
      </c>
      <c r="C9" s="1"/>
      <c r="D9" s="2"/>
      <c r="E9" s="3">
        <v>26000</v>
      </c>
    </row>
    <row r="10" spans="1:5" x14ac:dyDescent="0.2">
      <c r="B10" s="1" t="s">
        <v>87</v>
      </c>
      <c r="C10" s="1"/>
      <c r="D10" s="2"/>
      <c r="E10" s="3">
        <v>15000</v>
      </c>
    </row>
    <row r="11" spans="1:5" x14ac:dyDescent="0.2">
      <c r="B11" s="1" t="s">
        <v>106</v>
      </c>
      <c r="C11" s="1" t="s">
        <v>107</v>
      </c>
      <c r="D11" s="2">
        <v>184.44</v>
      </c>
      <c r="E11" s="3">
        <v>10400</v>
      </c>
    </row>
    <row r="12" spans="1:5" x14ac:dyDescent="0.2">
      <c r="B12" s="14" t="s">
        <v>83</v>
      </c>
      <c r="C12" s="14" t="s">
        <v>84</v>
      </c>
    </row>
  </sheetData>
  <hyperlinks>
    <hyperlink ref="A1" location="Main!A1" display="Main" xr:uid="{A1A6C7BE-B827-4E66-8B30-A4C4FF1A42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4899-E1C4-403E-8D7D-CC58F434A3F6}">
  <dimension ref="A1:E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5" x14ac:dyDescent="0.2">
      <c r="A1" s="5" t="s">
        <v>148</v>
      </c>
    </row>
    <row r="2" spans="1:5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5" x14ac:dyDescent="0.2">
      <c r="B3" s="14" t="s">
        <v>42</v>
      </c>
      <c r="C3" s="14" t="s">
        <v>43</v>
      </c>
    </row>
    <row r="4" spans="1:5" x14ac:dyDescent="0.2">
      <c r="B4" s="14" t="s">
        <v>34</v>
      </c>
      <c r="C4" s="14" t="s">
        <v>35</v>
      </c>
    </row>
    <row r="5" spans="1:5" x14ac:dyDescent="0.2">
      <c r="B5" s="1" t="s">
        <v>98</v>
      </c>
      <c r="C5" s="1" t="s">
        <v>99</v>
      </c>
      <c r="D5" s="2">
        <v>2.5099999999999998</v>
      </c>
      <c r="E5" s="3">
        <v>12580</v>
      </c>
    </row>
    <row r="6" spans="1:5" x14ac:dyDescent="0.2">
      <c r="B6" s="1" t="s">
        <v>60</v>
      </c>
      <c r="C6" s="1" t="s">
        <v>61</v>
      </c>
      <c r="D6" s="2">
        <v>71.66</v>
      </c>
      <c r="E6" s="3">
        <v>25171</v>
      </c>
    </row>
    <row r="7" spans="1:5" x14ac:dyDescent="0.2">
      <c r="B7" s="1" t="s">
        <v>121</v>
      </c>
      <c r="C7" s="1"/>
      <c r="D7" s="2"/>
      <c r="E7" s="3">
        <v>8333</v>
      </c>
    </row>
  </sheetData>
  <hyperlinks>
    <hyperlink ref="A1" location="Main!A1" display="Main" xr:uid="{D9BC8D23-E3B6-418F-A0C0-7DB8B8F7723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H9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"/>
  <cols>
    <col min="1" max="1" width="5" style="14" bestFit="1" customWidth="1"/>
    <col min="2" max="16384" width="9.140625" style="14"/>
  </cols>
  <sheetData>
    <row r="1" spans="1:8" x14ac:dyDescent="0.2">
      <c r="A1" s="5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5" t="s">
        <v>11</v>
      </c>
      <c r="C3" s="1" t="s">
        <v>12</v>
      </c>
      <c r="D3" s="2">
        <v>121.12</v>
      </c>
      <c r="E3" s="3">
        <v>1232000</v>
      </c>
      <c r="F3" s="3">
        <f>[3]Main!$K$5-[3]Main!$K$6</f>
        <v>18829</v>
      </c>
      <c r="G3" s="3">
        <f>+E3-F3</f>
        <v>1213171</v>
      </c>
      <c r="H3" s="4" t="s">
        <v>14</v>
      </c>
    </row>
    <row r="4" spans="1:8" x14ac:dyDescent="0.2">
      <c r="B4" s="14" t="s">
        <v>163</v>
      </c>
      <c r="C4" s="14" t="s">
        <v>164</v>
      </c>
    </row>
    <row r="5" spans="1:8" x14ac:dyDescent="0.2">
      <c r="B5" s="14" t="s">
        <v>165</v>
      </c>
      <c r="C5" s="14" t="s">
        <v>166</v>
      </c>
    </row>
    <row r="6" spans="1:8" x14ac:dyDescent="0.2">
      <c r="B6" s="1" t="s">
        <v>28</v>
      </c>
      <c r="C6" s="1" t="s">
        <v>28</v>
      </c>
      <c r="D6" s="2">
        <v>65.180000000000007</v>
      </c>
      <c r="E6" s="3">
        <v>101795</v>
      </c>
    </row>
    <row r="7" spans="1:8" x14ac:dyDescent="0.2">
      <c r="B7" s="5" t="s">
        <v>17</v>
      </c>
      <c r="C7" s="1" t="s">
        <v>18</v>
      </c>
      <c r="D7" s="2">
        <v>115.9</v>
      </c>
      <c r="E7" s="3">
        <f>D7*[7]Main!$L$3</f>
        <v>310046.98749999999</v>
      </c>
      <c r="F7" s="3" cm="1">
        <f t="array" ref="F7">([7]Main!$L$5-[7]Main!$L$6)/RMB</f>
        <v>119719.43620178041</v>
      </c>
      <c r="G7" s="3">
        <f>+E7-F7</f>
        <v>190327.55129821959</v>
      </c>
      <c r="H7" s="4" t="s">
        <v>14</v>
      </c>
    </row>
    <row r="8" spans="1:8" x14ac:dyDescent="0.2">
      <c r="B8" s="15" t="s">
        <v>210</v>
      </c>
      <c r="C8" s="15" t="s">
        <v>211</v>
      </c>
    </row>
    <row r="9" spans="1:8" x14ac:dyDescent="0.2">
      <c r="B9" s="15" t="s">
        <v>212</v>
      </c>
      <c r="C9" s="15" t="s">
        <v>213</v>
      </c>
    </row>
  </sheetData>
  <hyperlinks>
    <hyperlink ref="A1" location="Main!A1" display="Main" xr:uid="{5E6A4119-6CB3-4DE8-85D8-71624588AB5F}"/>
    <hyperlink ref="B7" r:id="rId1" xr:uid="{1DBE1AD0-E144-4B11-A369-C38208461D50}"/>
    <hyperlink ref="B3" r:id="rId2" xr:uid="{9E979F32-3FB9-4155-8C38-6368365757C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8" sqref="A8"/>
    </sheetView>
  </sheetViews>
  <sheetFormatPr defaultRowHeight="12.75" x14ac:dyDescent="0.2"/>
  <cols>
    <col min="1" max="1" width="5" style="14" bestFit="1" customWidth="1"/>
    <col min="2" max="2" width="17" style="14" bestFit="1" customWidth="1"/>
    <col min="3" max="16384" width="9.140625" style="14"/>
  </cols>
  <sheetData>
    <row r="1" spans="1:8" x14ac:dyDescent="0.2">
      <c r="A1" s="14" t="s">
        <v>148</v>
      </c>
    </row>
    <row r="2" spans="1:8" x14ac:dyDescent="0.2">
      <c r="B2" s="14" t="s">
        <v>0</v>
      </c>
      <c r="C2" s="14" t="s">
        <v>1</v>
      </c>
      <c r="D2" s="14" t="s">
        <v>2</v>
      </c>
      <c r="E2" s="14" t="s">
        <v>3</v>
      </c>
    </row>
    <row r="3" spans="1:8" x14ac:dyDescent="0.2">
      <c r="B3" s="14" t="s">
        <v>157</v>
      </c>
      <c r="C3" s="14" t="s">
        <v>158</v>
      </c>
    </row>
    <row r="4" spans="1:8" x14ac:dyDescent="0.2">
      <c r="B4" s="14" t="s">
        <v>159</v>
      </c>
      <c r="C4" s="14" t="s">
        <v>160</v>
      </c>
    </row>
    <row r="5" spans="1:8" x14ac:dyDescent="0.2">
      <c r="B5" s="14" t="s">
        <v>162</v>
      </c>
      <c r="C5" s="14" t="s">
        <v>161</v>
      </c>
    </row>
    <row r="6" spans="1:8" s="1" customFormat="1" x14ac:dyDescent="0.2">
      <c r="B6" s="1" t="s">
        <v>81</v>
      </c>
      <c r="C6" s="1" t="s">
        <v>82</v>
      </c>
      <c r="D6" s="2">
        <v>128.05000000000001</v>
      </c>
      <c r="E6" s="3">
        <v>16470</v>
      </c>
      <c r="F6" s="4"/>
      <c r="G6" s="4"/>
      <c r="H6" s="4"/>
    </row>
    <row r="7" spans="1:8" x14ac:dyDescent="0.2">
      <c r="B7" s="14" t="s">
        <v>203</v>
      </c>
      <c r="C7" s="14" t="s">
        <v>204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B2:C4"/>
  <sheetViews>
    <sheetView workbookViewId="0">
      <selection activeCell="B44" sqref="B44"/>
    </sheetView>
  </sheetViews>
  <sheetFormatPr defaultRowHeight="12.75" x14ac:dyDescent="0.2"/>
  <cols>
    <col min="1" max="16384" width="9.140625" style="8"/>
  </cols>
  <sheetData>
    <row r="2" spans="2:3" x14ac:dyDescent="0.2">
      <c r="B2" s="8" t="s">
        <v>152</v>
      </c>
      <c r="C2" s="8">
        <v>7.8498000000000001</v>
      </c>
    </row>
    <row r="3" spans="2:3" x14ac:dyDescent="0.2">
      <c r="B3" s="9" t="s">
        <v>153</v>
      </c>
      <c r="C3" s="8">
        <v>6.74</v>
      </c>
    </row>
    <row r="4" spans="2:3" x14ac:dyDescent="0.2">
      <c r="B4" s="16" t="s">
        <v>221</v>
      </c>
      <c r="C4" s="8">
        <v>1.01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D8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4" x14ac:dyDescent="0.2">
      <c r="A1" s="5" t="s">
        <v>148</v>
      </c>
    </row>
    <row r="2" spans="1:4" x14ac:dyDescent="0.2">
      <c r="B2" s="6" t="s">
        <v>0</v>
      </c>
      <c r="C2" s="7" t="s">
        <v>151</v>
      </c>
      <c r="D2" s="16" t="s">
        <v>217</v>
      </c>
    </row>
    <row r="3" spans="1:4" x14ac:dyDescent="0.2">
      <c r="B3" s="10" t="s">
        <v>33</v>
      </c>
      <c r="C3" s="7">
        <v>100000</v>
      </c>
      <c r="D3" s="16" t="s">
        <v>218</v>
      </c>
    </row>
    <row r="4" spans="1:4" x14ac:dyDescent="0.2">
      <c r="B4" s="6" t="s">
        <v>87</v>
      </c>
      <c r="C4" s="7">
        <v>15000</v>
      </c>
      <c r="D4" s="16" t="s">
        <v>218</v>
      </c>
    </row>
    <row r="5" spans="1:4" x14ac:dyDescent="0.2">
      <c r="B5" s="6" t="s">
        <v>126</v>
      </c>
      <c r="D5" s="16" t="s">
        <v>219</v>
      </c>
    </row>
    <row r="6" spans="1:4" x14ac:dyDescent="0.2">
      <c r="B6" s="6" t="s">
        <v>146</v>
      </c>
      <c r="D6" s="16" t="s">
        <v>220</v>
      </c>
    </row>
    <row r="7" spans="1:4" x14ac:dyDescent="0.2">
      <c r="B7" s="6" t="s">
        <v>147</v>
      </c>
      <c r="D7" s="16" t="s">
        <v>220</v>
      </c>
    </row>
    <row r="8" spans="1:4" x14ac:dyDescent="0.2">
      <c r="B8" s="16" t="s">
        <v>215</v>
      </c>
      <c r="D8" s="16" t="s">
        <v>216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Main</vt:lpstr>
      <vt:lpstr>Media-Games-Design</vt:lpstr>
      <vt:lpstr>Fintech</vt:lpstr>
      <vt:lpstr>Gig</vt:lpstr>
      <vt:lpstr>Ecommerce</vt:lpstr>
      <vt:lpstr>Security</vt:lpstr>
      <vt:lpstr>FX</vt:lpstr>
      <vt:lpstr>Private</vt:lpstr>
      <vt:lpstr>EUR</vt:lpstr>
      <vt:lpstr>HKD</vt:lpstr>
      <vt:lpstr>RMB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2022-07-29T15:20:12Z</dcterms:modified>
  <cp:category/>
  <cp:contentStatus/>
</cp:coreProperties>
</file>