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C33B254-29E0-4DC9-A670-5B4D4BCB89DF}" xr6:coauthVersionLast="47" xr6:coauthVersionMax="47" xr10:uidLastSave="{00000000-0000-0000-0000-000000000000}"/>
  <bookViews>
    <workbookView xWindow="-39555" yWindow="705" windowWidth="33960" windowHeight="19260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27" i="1" l="1"/>
  <c r="BX27" i="1"/>
  <c r="BW27" i="1"/>
  <c r="BV27" i="1"/>
  <c r="BU27" i="1"/>
  <c r="BT27" i="1"/>
  <c r="BS49" i="1"/>
  <c r="BS48" i="1"/>
  <c r="BS44" i="1"/>
  <c r="BS29" i="1"/>
  <c r="BS28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5" i="1"/>
  <c r="BR29" i="1"/>
  <c r="BR28" i="1"/>
  <c r="BR5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44" i="1"/>
  <c r="BR46" i="1"/>
  <c r="BR48" i="1"/>
  <c r="BR49" i="1"/>
  <c r="BR50" i="1"/>
  <c r="BR52" i="1"/>
  <c r="BR54" i="1"/>
  <c r="BR57" i="1"/>
  <c r="BS57" i="1"/>
  <c r="BB49" i="1"/>
  <c r="BB50" i="1" s="1"/>
  <c r="BA49" i="1"/>
  <c r="AZ49" i="1"/>
  <c r="BB48" i="1"/>
  <c r="BA48" i="1"/>
  <c r="AZ48" i="1"/>
  <c r="BB52" i="1"/>
  <c r="BA52" i="1"/>
  <c r="AZ52" i="1"/>
  <c r="AY52" i="1"/>
  <c r="BA50" i="1"/>
  <c r="AZ50" i="1"/>
  <c r="BA57" i="1"/>
  <c r="BB57" i="1" s="1"/>
  <c r="AZ57" i="1"/>
  <c r="BB67" i="1"/>
  <c r="BA67" i="1"/>
  <c r="AZ67" i="1"/>
  <c r="BB66" i="1"/>
  <c r="BA66" i="1"/>
  <c r="AZ66" i="1"/>
  <c r="BB65" i="1"/>
  <c r="BA65" i="1"/>
  <c r="AZ65" i="1"/>
  <c r="BB64" i="1"/>
  <c r="BA64" i="1"/>
  <c r="AZ64" i="1"/>
  <c r="BB63" i="1"/>
  <c r="BA63" i="1"/>
  <c r="AZ63" i="1"/>
  <c r="BB62" i="1"/>
  <c r="BA62" i="1"/>
  <c r="AZ62" i="1"/>
  <c r="BB61" i="1"/>
  <c r="BA61" i="1"/>
  <c r="AZ61" i="1"/>
  <c r="BB5" i="1"/>
  <c r="BA5" i="1"/>
  <c r="BA3" i="1" s="1"/>
  <c r="AZ5" i="1"/>
  <c r="BB29" i="1"/>
  <c r="BA29" i="1"/>
  <c r="AZ29" i="1"/>
  <c r="BB28" i="1"/>
  <c r="BA28" i="1"/>
  <c r="AZ28" i="1"/>
  <c r="BA27" i="1"/>
  <c r="BB27" i="1" s="1"/>
  <c r="BS27" i="1" s="1"/>
  <c r="BB26" i="1"/>
  <c r="BA26" i="1"/>
  <c r="AZ26" i="1"/>
  <c r="BB25" i="1"/>
  <c r="BA25" i="1"/>
  <c r="AZ25" i="1"/>
  <c r="BB24" i="1"/>
  <c r="BA24" i="1"/>
  <c r="AZ24" i="1"/>
  <c r="BB23" i="1"/>
  <c r="BA23" i="1"/>
  <c r="AZ23" i="1"/>
  <c r="BB22" i="1"/>
  <c r="BA22" i="1"/>
  <c r="AZ22" i="1"/>
  <c r="BB21" i="1"/>
  <c r="BA21" i="1"/>
  <c r="AZ21" i="1"/>
  <c r="BB20" i="1"/>
  <c r="BA20" i="1"/>
  <c r="AZ20" i="1"/>
  <c r="BB19" i="1"/>
  <c r="BA19" i="1"/>
  <c r="AZ19" i="1"/>
  <c r="BB17" i="1"/>
  <c r="BA17" i="1"/>
  <c r="AZ17" i="1"/>
  <c r="BB18" i="1"/>
  <c r="BA18" i="1"/>
  <c r="AZ18" i="1"/>
  <c r="BB16" i="1"/>
  <c r="BA16" i="1"/>
  <c r="AZ16" i="1"/>
  <c r="BB15" i="1"/>
  <c r="BA15" i="1"/>
  <c r="AZ15" i="1"/>
  <c r="BB14" i="1"/>
  <c r="BA14" i="1"/>
  <c r="AZ14" i="1"/>
  <c r="BB13" i="1"/>
  <c r="BA13" i="1"/>
  <c r="AZ13" i="1"/>
  <c r="BB12" i="1"/>
  <c r="BB3" i="1" s="1"/>
  <c r="BA12" i="1"/>
  <c r="AZ12" i="1"/>
  <c r="BB11" i="1"/>
  <c r="BA11" i="1"/>
  <c r="AZ11" i="1"/>
  <c r="BB10" i="1"/>
  <c r="BA10" i="1"/>
  <c r="AZ10" i="1"/>
  <c r="BB9" i="1"/>
  <c r="BA9" i="1"/>
  <c r="AZ9" i="1"/>
  <c r="BB8" i="1"/>
  <c r="BA8" i="1"/>
  <c r="AZ8" i="1"/>
  <c r="BB7" i="1"/>
  <c r="BA7" i="1"/>
  <c r="AZ7" i="1"/>
  <c r="BB44" i="1"/>
  <c r="BA44" i="1"/>
  <c r="AZ44" i="1"/>
  <c r="AX112" i="1"/>
  <c r="AX110" i="1"/>
  <c r="AX109" i="1"/>
  <c r="AX108" i="1"/>
  <c r="AX107" i="1"/>
  <c r="AX106" i="1"/>
  <c r="AX105" i="1"/>
  <c r="AX102" i="1"/>
  <c r="AX103" i="1" s="1"/>
  <c r="AX101" i="1"/>
  <c r="AX99" i="1"/>
  <c r="AX98" i="1"/>
  <c r="AX97" i="1"/>
  <c r="AX96" i="1"/>
  <c r="AX95" i="1"/>
  <c r="AX94" i="1"/>
  <c r="AX93" i="1"/>
  <c r="AX92" i="1"/>
  <c r="AX91" i="1"/>
  <c r="AX90" i="1"/>
  <c r="AX89" i="1"/>
  <c r="AX87" i="1"/>
  <c r="AX82" i="1"/>
  <c r="AX80" i="1"/>
  <c r="AX78" i="1"/>
  <c r="AX73" i="1"/>
  <c r="AX44" i="1"/>
  <c r="AX10" i="1"/>
  <c r="AX9" i="1"/>
  <c r="AX54" i="1"/>
  <c r="AX52" i="1"/>
  <c r="AW54" i="1"/>
  <c r="AW52" i="1"/>
  <c r="AW47" i="1"/>
  <c r="AS18" i="1"/>
  <c r="AW112" i="1"/>
  <c r="AW110" i="1"/>
  <c r="AW109" i="1"/>
  <c r="AW108" i="1"/>
  <c r="AW107" i="1"/>
  <c r="AW106" i="1"/>
  <c r="AW105" i="1"/>
  <c r="AW102" i="1"/>
  <c r="AW101" i="1"/>
  <c r="AW99" i="1"/>
  <c r="AW98" i="1"/>
  <c r="AW97" i="1"/>
  <c r="AW96" i="1"/>
  <c r="AW95" i="1"/>
  <c r="AW94" i="1"/>
  <c r="AW93" i="1"/>
  <c r="AW92" i="1"/>
  <c r="AW91" i="1"/>
  <c r="AW90" i="1"/>
  <c r="AW87" i="1"/>
  <c r="AW82" i="1"/>
  <c r="AW80" i="1"/>
  <c r="AW78" i="1"/>
  <c r="AW73" i="1"/>
  <c r="AV113" i="1"/>
  <c r="AV112" i="1"/>
  <c r="AV111" i="1"/>
  <c r="AV110" i="1"/>
  <c r="AV109" i="1"/>
  <c r="AV108" i="1"/>
  <c r="AV107" i="1"/>
  <c r="AV106" i="1"/>
  <c r="AV105" i="1"/>
  <c r="AV101" i="1"/>
  <c r="AV103" i="1"/>
  <c r="AV102" i="1"/>
  <c r="AV99" i="1"/>
  <c r="AV98" i="1"/>
  <c r="AV97" i="1"/>
  <c r="AV96" i="1"/>
  <c r="AV95" i="1"/>
  <c r="AV94" i="1"/>
  <c r="AV93" i="1"/>
  <c r="AV92" i="1"/>
  <c r="AV91" i="1"/>
  <c r="AV90" i="1"/>
  <c r="AV87" i="1"/>
  <c r="AV82" i="1"/>
  <c r="AV73" i="1"/>
  <c r="AV78" i="1"/>
  <c r="AV80" i="1"/>
  <c r="AV72" i="1"/>
  <c r="AX72" i="1"/>
  <c r="AW72" i="1"/>
  <c r="AV54" i="1"/>
  <c r="AV52" i="1"/>
  <c r="AU113" i="1"/>
  <c r="AU111" i="1"/>
  <c r="AU103" i="1"/>
  <c r="AU101" i="1"/>
  <c r="AU96" i="1"/>
  <c r="AU99" i="1"/>
  <c r="AU98" i="1"/>
  <c r="AU89" i="1"/>
  <c r="AU82" i="1"/>
  <c r="AU87" i="1" s="1"/>
  <c r="AU78" i="1"/>
  <c r="AU80" i="1" s="1"/>
  <c r="AU73" i="1"/>
  <c r="AY50" i="1"/>
  <c r="AY47" i="1"/>
  <c r="AY67" i="1"/>
  <c r="AY66" i="1"/>
  <c r="AY65" i="1"/>
  <c r="AY64" i="1"/>
  <c r="AY63" i="1"/>
  <c r="AY62" i="1"/>
  <c r="AY61" i="1"/>
  <c r="AY45" i="1"/>
  <c r="AY3" i="1"/>
  <c r="AY82" i="1"/>
  <c r="AY87" i="1" s="1"/>
  <c r="AY73" i="1"/>
  <c r="AY78" i="1"/>
  <c r="AU3" i="1"/>
  <c r="AU54" i="1"/>
  <c r="AT72" i="1"/>
  <c r="BM57" i="1"/>
  <c r="BM54" i="1"/>
  <c r="BM49" i="1"/>
  <c r="BM48" i="1"/>
  <c r="BM50" i="1" s="1"/>
  <c r="BM46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AE62" i="1"/>
  <c r="AE61" i="1"/>
  <c r="W52" i="1"/>
  <c r="W50" i="1"/>
  <c r="W47" i="1"/>
  <c r="AA44" i="1"/>
  <c r="AA3" i="1"/>
  <c r="AA59" i="1"/>
  <c r="AF3" i="1"/>
  <c r="AE3" i="1"/>
  <c r="AE64" i="1" s="1"/>
  <c r="AD3" i="1"/>
  <c r="AC3" i="1"/>
  <c r="AB3" i="1"/>
  <c r="AL3" i="1"/>
  <c r="AK3" i="1"/>
  <c r="AJ3" i="1"/>
  <c r="AI3" i="1"/>
  <c r="AI64" i="1" s="1"/>
  <c r="AH3" i="1"/>
  <c r="AG3" i="1"/>
  <c r="AS3" i="1"/>
  <c r="AR3" i="1"/>
  <c r="AQ3" i="1"/>
  <c r="AP3" i="1"/>
  <c r="AO3" i="1"/>
  <c r="AN3" i="1"/>
  <c r="AM3" i="1"/>
  <c r="AT3" i="1"/>
  <c r="AF62" i="1"/>
  <c r="AG62" i="1"/>
  <c r="AH62" i="1"/>
  <c r="AF61" i="1"/>
  <c r="AG61" i="1"/>
  <c r="AH61" i="1"/>
  <c r="X50" i="1"/>
  <c r="X47" i="1"/>
  <c r="X51" i="1" s="1"/>
  <c r="X53" i="1" s="1"/>
  <c r="X55" i="1" s="1"/>
  <c r="X56" i="1" s="1"/>
  <c r="AB45" i="1"/>
  <c r="AB59" i="1" s="1"/>
  <c r="Y52" i="1"/>
  <c r="Y50" i="1"/>
  <c r="Y47" i="1"/>
  <c r="AC45" i="1"/>
  <c r="AC59" i="1" s="1"/>
  <c r="Z52" i="1"/>
  <c r="AA52" i="1"/>
  <c r="AD52" i="1"/>
  <c r="Z50" i="1"/>
  <c r="Z47" i="1"/>
  <c r="AD44" i="1"/>
  <c r="BN57" i="1"/>
  <c r="BO57" i="1"/>
  <c r="BO54" i="1"/>
  <c r="BN54" i="1"/>
  <c r="BO49" i="1"/>
  <c r="BN49" i="1"/>
  <c r="BO48" i="1"/>
  <c r="BO50" i="1" s="1"/>
  <c r="BN48" i="1"/>
  <c r="BO46" i="1"/>
  <c r="BN46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AE52" i="1"/>
  <c r="AI62" i="1"/>
  <c r="AI61" i="1"/>
  <c r="AA50" i="1"/>
  <c r="AA47" i="1"/>
  <c r="AA69" i="1" s="1"/>
  <c r="AE44" i="1"/>
  <c r="AB52" i="1"/>
  <c r="AJ63" i="1"/>
  <c r="AJ62" i="1"/>
  <c r="AJ61" i="1"/>
  <c r="AB50" i="1"/>
  <c r="AF45" i="1"/>
  <c r="AF59" i="1" s="1"/>
  <c r="AT61" i="1"/>
  <c r="AQ105" i="1"/>
  <c r="AQ111" i="1" s="1"/>
  <c r="AQ101" i="1"/>
  <c r="AQ103" i="1" s="1"/>
  <c r="AQ98" i="1"/>
  <c r="AQ99" i="1" s="1"/>
  <c r="AS67" i="1"/>
  <c r="AS66" i="1"/>
  <c r="AS65" i="1"/>
  <c r="AS63" i="1"/>
  <c r="AS62" i="1"/>
  <c r="AS61" i="1"/>
  <c r="AS82" i="1"/>
  <c r="AS87" i="1" s="1"/>
  <c r="AS78" i="1"/>
  <c r="AS73" i="1"/>
  <c r="AY51" i="1" l="1"/>
  <c r="AY53" i="1" s="1"/>
  <c r="BA45" i="1"/>
  <c r="AZ45" i="1"/>
  <c r="BB45" i="1"/>
  <c r="AZ3" i="1"/>
  <c r="AX111" i="1"/>
  <c r="AX113" i="1"/>
  <c r="AW111" i="1"/>
  <c r="AW113" i="1" s="1"/>
  <c r="AW103" i="1"/>
  <c r="AY55" i="1"/>
  <c r="AY70" i="1"/>
  <c r="AY69" i="1"/>
  <c r="AY59" i="1"/>
  <c r="AU72" i="1"/>
  <c r="AS80" i="1"/>
  <c r="AY80" i="1"/>
  <c r="Z51" i="1"/>
  <c r="AT64" i="1"/>
  <c r="AY72" i="1"/>
  <c r="AQ64" i="1"/>
  <c r="Z53" i="1"/>
  <c r="BM44" i="1"/>
  <c r="BN3" i="1"/>
  <c r="AL64" i="1"/>
  <c r="AK64" i="1"/>
  <c r="BN50" i="1"/>
  <c r="AR64" i="1"/>
  <c r="AO64" i="1"/>
  <c r="AS64" i="1"/>
  <c r="AN64" i="1"/>
  <c r="AJ64" i="1"/>
  <c r="AU64" i="1"/>
  <c r="BN62" i="1"/>
  <c r="AP64" i="1"/>
  <c r="AM64" i="1"/>
  <c r="BM45" i="1"/>
  <c r="BM47" i="1" s="1"/>
  <c r="BM69" i="1" s="1"/>
  <c r="AD45" i="1"/>
  <c r="AD59" i="1" s="1"/>
  <c r="Y51" i="1"/>
  <c r="Y53" i="1" s="1"/>
  <c r="Y55" i="1" s="1"/>
  <c r="Y56" i="1" s="1"/>
  <c r="BN61" i="1"/>
  <c r="AG64" i="1"/>
  <c r="AH64" i="1"/>
  <c r="BM3" i="1"/>
  <c r="W51" i="1"/>
  <c r="W53" i="1" s="1"/>
  <c r="W55" i="1" s="1"/>
  <c r="W56" i="1" s="1"/>
  <c r="AF64" i="1"/>
  <c r="Y69" i="1"/>
  <c r="Z55" i="1"/>
  <c r="Z56" i="1" s="1"/>
  <c r="Z70" i="1"/>
  <c r="Z69" i="1"/>
  <c r="AQ113" i="1"/>
  <c r="AS72" i="1"/>
  <c r="AE45" i="1"/>
  <c r="AE59" i="1" s="1"/>
  <c r="AB47" i="1"/>
  <c r="AB69" i="1" s="1"/>
  <c r="AA51" i="1"/>
  <c r="AA53" i="1" s="1"/>
  <c r="AU50" i="1"/>
  <c r="AV50" i="1"/>
  <c r="AW50" i="1"/>
  <c r="AX67" i="1"/>
  <c r="AW67" i="1"/>
  <c r="AV67" i="1"/>
  <c r="AX66" i="1"/>
  <c r="AW66" i="1"/>
  <c r="AV66" i="1"/>
  <c r="AX65" i="1"/>
  <c r="AW65" i="1"/>
  <c r="AV65" i="1"/>
  <c r="AX63" i="1"/>
  <c r="AW63" i="1"/>
  <c r="AV63" i="1"/>
  <c r="AX62" i="1"/>
  <c r="AW62" i="1"/>
  <c r="AV62" i="1"/>
  <c r="AU62" i="1"/>
  <c r="AS52" i="1"/>
  <c r="AU67" i="1"/>
  <c r="AU66" i="1"/>
  <c r="AU65" i="1"/>
  <c r="AU63" i="1"/>
  <c r="AS45" i="1"/>
  <c r="AS47" i="1" s="1"/>
  <c r="AS69" i="1" s="1"/>
  <c r="AR52" i="1"/>
  <c r="AK67" i="1"/>
  <c r="AL67" i="1"/>
  <c r="AM67" i="1"/>
  <c r="AN67" i="1"/>
  <c r="AO67" i="1"/>
  <c r="AP67" i="1"/>
  <c r="AQ67" i="1"/>
  <c r="AR67" i="1"/>
  <c r="BO9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8" i="1"/>
  <c r="BO63" i="1" s="1"/>
  <c r="BO7" i="1"/>
  <c r="BO62" i="1" s="1"/>
  <c r="BO5" i="1"/>
  <c r="BO61" i="1" s="1"/>
  <c r="AC52" i="1"/>
  <c r="BM52" i="1" s="1"/>
  <c r="AG52" i="1"/>
  <c r="AK63" i="1"/>
  <c r="AK62" i="1"/>
  <c r="AK61" i="1"/>
  <c r="AC50" i="1"/>
  <c r="AC47" i="1"/>
  <c r="AC69" i="1" s="1"/>
  <c r="AG44" i="1"/>
  <c r="AG45" i="1" s="1"/>
  <c r="AG50" i="1"/>
  <c r="AH52" i="1"/>
  <c r="AD50" i="1"/>
  <c r="AL63" i="1"/>
  <c r="AL62" i="1"/>
  <c r="AL61" i="1"/>
  <c r="AH50" i="1"/>
  <c r="AH44" i="1"/>
  <c r="AH45" i="1" s="1"/>
  <c r="AH47" i="1" s="1"/>
  <c r="AH69" i="1" s="1"/>
  <c r="AE50" i="1"/>
  <c r="AI52" i="1"/>
  <c r="AM63" i="1"/>
  <c r="AM62" i="1"/>
  <c r="AM61" i="1"/>
  <c r="AI50" i="1"/>
  <c r="AI44" i="1"/>
  <c r="AF52" i="1"/>
  <c r="AF50" i="1"/>
  <c r="AF47" i="1"/>
  <c r="AF69" i="1" s="1"/>
  <c r="AJ52" i="1"/>
  <c r="AN66" i="1"/>
  <c r="AN65" i="1"/>
  <c r="AN63" i="1"/>
  <c r="AN62" i="1"/>
  <c r="AN61" i="1"/>
  <c r="AJ50" i="1"/>
  <c r="AJ44" i="1"/>
  <c r="AJ45" i="1" s="1"/>
  <c r="AJ47" i="1" s="1"/>
  <c r="AJ69" i="1" s="1"/>
  <c r="AR82" i="1"/>
  <c r="AR87" i="1" s="1"/>
  <c r="AR78" i="1"/>
  <c r="AR73" i="1"/>
  <c r="BP57" i="1"/>
  <c r="BP52" i="1"/>
  <c r="BP49" i="1"/>
  <c r="BP48" i="1"/>
  <c r="BP46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5" i="1"/>
  <c r="BQ26" i="1"/>
  <c r="BT26" i="1" s="1"/>
  <c r="BU26" i="1" s="1"/>
  <c r="BV26" i="1" s="1"/>
  <c r="BW26" i="1" s="1"/>
  <c r="BX26" i="1" s="1"/>
  <c r="BY26" i="1" s="1"/>
  <c r="BQ22" i="1"/>
  <c r="BT22" i="1" s="1"/>
  <c r="BU22" i="1" s="1"/>
  <c r="BV22" i="1" s="1"/>
  <c r="BW22" i="1" s="1"/>
  <c r="BX22" i="1" s="1"/>
  <c r="BY22" i="1" s="1"/>
  <c r="BQ20" i="1"/>
  <c r="BT20" i="1" s="1"/>
  <c r="BU20" i="1" s="1"/>
  <c r="BV20" i="1" s="1"/>
  <c r="BW20" i="1" s="1"/>
  <c r="BX20" i="1" s="1"/>
  <c r="BY20" i="1" s="1"/>
  <c r="BQ19" i="1"/>
  <c r="BT19" i="1" s="1"/>
  <c r="BU19" i="1" s="1"/>
  <c r="BV19" i="1" s="1"/>
  <c r="BW19" i="1" s="1"/>
  <c r="BX19" i="1" s="1"/>
  <c r="BY19" i="1" s="1"/>
  <c r="BQ18" i="1"/>
  <c r="BT18" i="1" s="1"/>
  <c r="BU18" i="1" s="1"/>
  <c r="BV18" i="1" s="1"/>
  <c r="BW18" i="1" s="1"/>
  <c r="BX18" i="1" s="1"/>
  <c r="BY18" i="1" s="1"/>
  <c r="BQ17" i="1"/>
  <c r="BT17" i="1" s="1"/>
  <c r="BU17" i="1" s="1"/>
  <c r="BV17" i="1" s="1"/>
  <c r="BW17" i="1" s="1"/>
  <c r="BX17" i="1" s="1"/>
  <c r="BY17" i="1" s="1"/>
  <c r="BQ13" i="1"/>
  <c r="BT13" i="1" s="1"/>
  <c r="BU13" i="1" s="1"/>
  <c r="BV13" i="1" s="1"/>
  <c r="BW13" i="1" s="1"/>
  <c r="BX13" i="1" s="1"/>
  <c r="BY13" i="1" s="1"/>
  <c r="AT67" i="1"/>
  <c r="AT49" i="1"/>
  <c r="BQ49" i="1"/>
  <c r="AT48" i="1"/>
  <c r="AX50" i="1" s="1"/>
  <c r="AT57" i="1"/>
  <c r="AQ66" i="1"/>
  <c r="AP66" i="1"/>
  <c r="AO66" i="1"/>
  <c r="AQ65" i="1"/>
  <c r="AP65" i="1"/>
  <c r="AO65" i="1"/>
  <c r="AR66" i="1"/>
  <c r="AR65" i="1"/>
  <c r="AT66" i="1"/>
  <c r="AT65" i="1"/>
  <c r="AT63" i="1"/>
  <c r="AT62" i="1"/>
  <c r="AR63" i="1"/>
  <c r="AR62" i="1"/>
  <c r="AR61" i="1"/>
  <c r="AR50" i="1"/>
  <c r="AR44" i="1"/>
  <c r="AR45" i="1" s="1"/>
  <c r="AR47" i="1" s="1"/>
  <c r="AR69" i="1" s="1"/>
  <c r="AO63" i="1"/>
  <c r="AO62" i="1"/>
  <c r="AO61" i="1"/>
  <c r="AK50" i="1"/>
  <c r="AK44" i="1"/>
  <c r="AK45" i="1" s="1"/>
  <c r="AP63" i="1"/>
  <c r="AP62" i="1"/>
  <c r="AQ62" i="1"/>
  <c r="AQ63" i="1"/>
  <c r="AP61" i="1"/>
  <c r="AL50" i="1"/>
  <c r="AL44" i="1"/>
  <c r="AL45" i="1" s="1"/>
  <c r="AL47" i="1" s="1"/>
  <c r="AM44" i="1"/>
  <c r="AQ61" i="1"/>
  <c r="AN54" i="1"/>
  <c r="AN50" i="1"/>
  <c r="AN44" i="1"/>
  <c r="AN45" i="1" s="1"/>
  <c r="AZ59" i="1" l="1"/>
  <c r="AZ47" i="1"/>
  <c r="AZ46" i="1" s="1"/>
  <c r="BB47" i="1"/>
  <c r="BB59" i="1"/>
  <c r="BA59" i="1"/>
  <c r="BA46" i="1"/>
  <c r="BA47" i="1"/>
  <c r="AY56" i="1"/>
  <c r="BP62" i="1"/>
  <c r="BP63" i="1"/>
  <c r="Y70" i="1"/>
  <c r="BN64" i="1"/>
  <c r="BP61" i="1"/>
  <c r="BN52" i="1"/>
  <c r="AV3" i="1"/>
  <c r="AV64" i="1" s="1"/>
  <c r="AW3" i="1"/>
  <c r="AW64" i="1" s="1"/>
  <c r="AT52" i="1"/>
  <c r="AX61" i="1"/>
  <c r="AX3" i="1"/>
  <c r="AX64" i="1" s="1"/>
  <c r="AV61" i="1"/>
  <c r="AE47" i="1"/>
  <c r="AE69" i="1" s="1"/>
  <c r="BM51" i="1"/>
  <c r="BM53" i="1" s="1"/>
  <c r="AW61" i="1"/>
  <c r="AD47" i="1"/>
  <c r="AD69" i="1" s="1"/>
  <c r="AB51" i="1"/>
  <c r="AB53" i="1" s="1"/>
  <c r="AB70" i="1" s="1"/>
  <c r="AI45" i="1"/>
  <c r="AI47" i="1" s="1"/>
  <c r="AI69" i="1" s="1"/>
  <c r="BO44" i="1"/>
  <c r="AV45" i="1"/>
  <c r="BP3" i="1"/>
  <c r="BO3" i="1"/>
  <c r="BO64" i="1" s="1"/>
  <c r="BO45" i="1"/>
  <c r="BN44" i="1"/>
  <c r="BN45" i="1" s="1"/>
  <c r="BO52" i="1"/>
  <c r="AA55" i="1"/>
  <c r="AA56" i="1" s="1"/>
  <c r="AA70" i="1"/>
  <c r="AW45" i="1"/>
  <c r="AW59" i="1" s="1"/>
  <c r="AX45" i="1"/>
  <c r="AX47" i="1" s="1"/>
  <c r="AU61" i="1"/>
  <c r="AF51" i="1"/>
  <c r="AF53" i="1" s="1"/>
  <c r="AL59" i="1"/>
  <c r="AJ59" i="1"/>
  <c r="AH59" i="1"/>
  <c r="AG47" i="1"/>
  <c r="AG69" i="1" s="1"/>
  <c r="AG59" i="1"/>
  <c r="AK59" i="1"/>
  <c r="BQ48" i="1"/>
  <c r="BQ50" i="1" s="1"/>
  <c r="BQ21" i="1"/>
  <c r="BT21" i="1" s="1"/>
  <c r="BU21" i="1" s="1"/>
  <c r="BV21" i="1" s="1"/>
  <c r="BW21" i="1" s="1"/>
  <c r="BX21" i="1" s="1"/>
  <c r="BY21" i="1" s="1"/>
  <c r="AC51" i="1"/>
  <c r="AC53" i="1" s="1"/>
  <c r="AH51" i="1"/>
  <c r="AH53" i="1" s="1"/>
  <c r="AD51" i="1"/>
  <c r="AD53" i="1" s="1"/>
  <c r="AE51" i="1"/>
  <c r="AE53" i="1" s="1"/>
  <c r="AN47" i="1"/>
  <c r="AN69" i="1" s="1"/>
  <c r="AN59" i="1"/>
  <c r="AR72" i="1"/>
  <c r="BQ11" i="1"/>
  <c r="BT11" i="1" s="1"/>
  <c r="BU11" i="1" s="1"/>
  <c r="BV11" i="1" s="1"/>
  <c r="BW11" i="1" s="1"/>
  <c r="BX11" i="1" s="1"/>
  <c r="BY11" i="1" s="1"/>
  <c r="BQ24" i="1"/>
  <c r="BT24" i="1" s="1"/>
  <c r="BU24" i="1" s="1"/>
  <c r="BV24" i="1" s="1"/>
  <c r="BW24" i="1" s="1"/>
  <c r="BX24" i="1" s="1"/>
  <c r="BY24" i="1" s="1"/>
  <c r="AJ51" i="1"/>
  <c r="AJ53" i="1" s="1"/>
  <c r="BQ12" i="1"/>
  <c r="BT12" i="1" s="1"/>
  <c r="BU12" i="1" s="1"/>
  <c r="BV12" i="1" s="1"/>
  <c r="BW12" i="1" s="1"/>
  <c r="BX12" i="1" s="1"/>
  <c r="BY12" i="1" s="1"/>
  <c r="BQ14" i="1"/>
  <c r="BT14" i="1" s="1"/>
  <c r="BU14" i="1" s="1"/>
  <c r="BV14" i="1" s="1"/>
  <c r="BW14" i="1" s="1"/>
  <c r="BX14" i="1" s="1"/>
  <c r="BY14" i="1" s="1"/>
  <c r="BP50" i="1"/>
  <c r="AT50" i="1"/>
  <c r="BQ15" i="1"/>
  <c r="BT15" i="1" s="1"/>
  <c r="BU15" i="1" s="1"/>
  <c r="BV15" i="1" s="1"/>
  <c r="BW15" i="1" s="1"/>
  <c r="BX15" i="1" s="1"/>
  <c r="BY15" i="1" s="1"/>
  <c r="BQ16" i="1"/>
  <c r="BT16" i="1" s="1"/>
  <c r="BU16" i="1" s="1"/>
  <c r="BV16" i="1" s="1"/>
  <c r="BW16" i="1" s="1"/>
  <c r="BX16" i="1" s="1"/>
  <c r="BY16" i="1" s="1"/>
  <c r="BQ57" i="1"/>
  <c r="BT57" i="1" s="1"/>
  <c r="BU57" i="1" s="1"/>
  <c r="BQ7" i="1"/>
  <c r="AS50" i="1"/>
  <c r="AL51" i="1"/>
  <c r="AL53" i="1" s="1"/>
  <c r="AL69" i="1"/>
  <c r="BQ8" i="1"/>
  <c r="BQ10" i="1"/>
  <c r="BQ9" i="1"/>
  <c r="BT9" i="1" s="1"/>
  <c r="BU9" i="1" s="1"/>
  <c r="BV9" i="1" s="1"/>
  <c r="BW9" i="1" s="1"/>
  <c r="BX9" i="1" s="1"/>
  <c r="BY9" i="1" s="1"/>
  <c r="BQ23" i="1"/>
  <c r="BT23" i="1" s="1"/>
  <c r="BU23" i="1" s="1"/>
  <c r="BV23" i="1" s="1"/>
  <c r="BW23" i="1" s="1"/>
  <c r="BX23" i="1" s="1"/>
  <c r="BY23" i="1" s="1"/>
  <c r="BQ25" i="1"/>
  <c r="BT25" i="1" s="1"/>
  <c r="BU25" i="1" s="1"/>
  <c r="BV25" i="1" s="1"/>
  <c r="BW25" i="1" s="1"/>
  <c r="BX25" i="1" s="1"/>
  <c r="BY25" i="1" s="1"/>
  <c r="AR80" i="1"/>
  <c r="BQ5" i="1"/>
  <c r="BQ61" i="1" s="1"/>
  <c r="AR59" i="1"/>
  <c r="AR51" i="1"/>
  <c r="AR53" i="1" s="1"/>
  <c r="AK47" i="1"/>
  <c r="AN51" i="1"/>
  <c r="AN53" i="1" s="1"/>
  <c r="AO54" i="1"/>
  <c r="AO50" i="1"/>
  <c r="AO44" i="1"/>
  <c r="AP54" i="1"/>
  <c r="AP50" i="1"/>
  <c r="AM50" i="1"/>
  <c r="AP44" i="1"/>
  <c r="AP45" i="1" s="1"/>
  <c r="AQ82" i="1"/>
  <c r="AQ87" i="1" s="1"/>
  <c r="AQ78" i="1"/>
  <c r="AQ73" i="1"/>
  <c r="AM45" i="1"/>
  <c r="AQ52" i="1"/>
  <c r="BQ52" i="1" s="1"/>
  <c r="BS52" i="1" s="1"/>
  <c r="BT52" i="1" s="1"/>
  <c r="BU52" i="1" s="1"/>
  <c r="BV52" i="1" s="1"/>
  <c r="BW52" i="1" s="1"/>
  <c r="BX52" i="1" s="1"/>
  <c r="BY52" i="1" s="1"/>
  <c r="AQ50" i="1"/>
  <c r="AQ44" i="1"/>
  <c r="L48" i="1"/>
  <c r="L46" i="1"/>
  <c r="L49" i="1"/>
  <c r="L52" i="1"/>
  <c r="L43" i="1"/>
  <c r="L44" i="1" s="1"/>
  <c r="BI2" i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B69" i="1" l="1"/>
  <c r="BB51" i="1"/>
  <c r="BB53" i="1" s="1"/>
  <c r="BB46" i="1"/>
  <c r="BA69" i="1"/>
  <c r="BA51" i="1"/>
  <c r="BA53" i="1" s="1"/>
  <c r="AZ69" i="1"/>
  <c r="AZ51" i="1"/>
  <c r="AZ53" i="1" s="1"/>
  <c r="AV59" i="1"/>
  <c r="AV47" i="1"/>
  <c r="BN47" i="1"/>
  <c r="BN51" i="1" s="1"/>
  <c r="BN53" i="1" s="1"/>
  <c r="BN59" i="1"/>
  <c r="AB55" i="1"/>
  <c r="AB56" i="1" s="1"/>
  <c r="AI59" i="1"/>
  <c r="BM55" i="1"/>
  <c r="BM56" i="1" s="1"/>
  <c r="BM70" i="1"/>
  <c r="BP64" i="1"/>
  <c r="BQ63" i="1"/>
  <c r="BQ62" i="1"/>
  <c r="AF55" i="1"/>
  <c r="AF56" i="1" s="1"/>
  <c r="AF70" i="1"/>
  <c r="AD55" i="1"/>
  <c r="AD56" i="1" s="1"/>
  <c r="AD70" i="1"/>
  <c r="AG51" i="1"/>
  <c r="AG53" i="1" s="1"/>
  <c r="BO47" i="1"/>
  <c r="BO59" i="1"/>
  <c r="AQ45" i="1"/>
  <c r="AQ59" i="1" s="1"/>
  <c r="AU45" i="1"/>
  <c r="AC55" i="1"/>
  <c r="AC56" i="1" s="1"/>
  <c r="AC70" i="1"/>
  <c r="AE55" i="1"/>
  <c r="AE56" i="1" s="1"/>
  <c r="AE70" i="1"/>
  <c r="AV51" i="1"/>
  <c r="AV53" i="1" s="1"/>
  <c r="AV70" i="1" s="1"/>
  <c r="AW51" i="1"/>
  <c r="AW53" i="1" s="1"/>
  <c r="AX51" i="1"/>
  <c r="AX53" i="1" s="1"/>
  <c r="BR61" i="1"/>
  <c r="BQ3" i="1"/>
  <c r="BQ64" i="1" s="1"/>
  <c r="AI51" i="1"/>
  <c r="AI53" i="1" s="1"/>
  <c r="BV57" i="1"/>
  <c r="BT10" i="1"/>
  <c r="AM47" i="1"/>
  <c r="AM69" i="1" s="1"/>
  <c r="AM59" i="1"/>
  <c r="AH55" i="1"/>
  <c r="AH56" i="1" s="1"/>
  <c r="AH70" i="1"/>
  <c r="AI55" i="1"/>
  <c r="AI56" i="1" s="1"/>
  <c r="AI70" i="1"/>
  <c r="AJ55" i="1"/>
  <c r="AJ56" i="1" s="1"/>
  <c r="AJ70" i="1"/>
  <c r="AO45" i="1"/>
  <c r="AR55" i="1"/>
  <c r="AR56" i="1" s="1"/>
  <c r="AR70" i="1"/>
  <c r="AN55" i="1"/>
  <c r="AN56" i="1" s="1"/>
  <c r="AN70" i="1"/>
  <c r="BP54" i="1"/>
  <c r="BP44" i="1"/>
  <c r="BP45" i="1" s="1"/>
  <c r="AL55" i="1"/>
  <c r="AL56" i="1" s="1"/>
  <c r="AL70" i="1"/>
  <c r="BQ44" i="1"/>
  <c r="AT45" i="1"/>
  <c r="AK51" i="1"/>
  <c r="AK53" i="1" s="1"/>
  <c r="AK69" i="1"/>
  <c r="AQ80" i="1"/>
  <c r="AP47" i="1"/>
  <c r="AP69" i="1" s="1"/>
  <c r="AP59" i="1"/>
  <c r="AQ72" i="1"/>
  <c r="L50" i="1"/>
  <c r="L45" i="1"/>
  <c r="L47" i="1" s="1"/>
  <c r="AZ54" i="1" l="1"/>
  <c r="AZ70" i="1" s="1"/>
  <c r="AZ55" i="1"/>
  <c r="BB54" i="1"/>
  <c r="BB70" i="1" s="1"/>
  <c r="BA54" i="1"/>
  <c r="BA70" i="1" s="1"/>
  <c r="BA55" i="1"/>
  <c r="BA56" i="1" s="1"/>
  <c r="BN69" i="1"/>
  <c r="AM51" i="1"/>
  <c r="AM53" i="1" s="1"/>
  <c r="AU59" i="1"/>
  <c r="AU47" i="1"/>
  <c r="AV55" i="1"/>
  <c r="BR62" i="1"/>
  <c r="BR63" i="1"/>
  <c r="AQ47" i="1"/>
  <c r="BP47" i="1"/>
  <c r="BP51" i="1" s="1"/>
  <c r="BP53" i="1" s="1"/>
  <c r="BP59" i="1"/>
  <c r="BN55" i="1"/>
  <c r="BN56" i="1" s="1"/>
  <c r="BN70" i="1"/>
  <c r="AO47" i="1"/>
  <c r="AO69" i="1" s="1"/>
  <c r="AS59" i="1"/>
  <c r="BO69" i="1"/>
  <c r="BO51" i="1"/>
  <c r="BO53" i="1" s="1"/>
  <c r="AG55" i="1"/>
  <c r="AG56" i="1" s="1"/>
  <c r="AG70" i="1"/>
  <c r="AV69" i="1"/>
  <c r="AW69" i="1"/>
  <c r="AW70" i="1"/>
  <c r="AX70" i="1"/>
  <c r="AX69" i="1"/>
  <c r="AT47" i="1"/>
  <c r="AT46" i="1" s="1"/>
  <c r="BQ46" i="1" s="1"/>
  <c r="AX59" i="1"/>
  <c r="BS61" i="1"/>
  <c r="BR3" i="1"/>
  <c r="BR64" i="1" s="1"/>
  <c r="BQ45" i="1"/>
  <c r="BQ59" i="1" s="1"/>
  <c r="BW57" i="1"/>
  <c r="BU10" i="1"/>
  <c r="AO59" i="1"/>
  <c r="AQ69" i="1"/>
  <c r="AQ51" i="1"/>
  <c r="AQ53" i="1" s="1"/>
  <c r="AP51" i="1"/>
  <c r="AP53" i="1" s="1"/>
  <c r="AT59" i="1"/>
  <c r="AM55" i="1"/>
  <c r="AM56" i="1" s="1"/>
  <c r="AM70" i="1"/>
  <c r="AK55" i="1"/>
  <c r="AK56" i="1" s="1"/>
  <c r="AK70" i="1"/>
  <c r="AS51" i="1"/>
  <c r="AS53" i="1" s="1"/>
  <c r="AS70" i="1" s="1"/>
  <c r="L51" i="1"/>
  <c r="L53" i="1" s="1"/>
  <c r="L55" i="1" s="1"/>
  <c r="L56" i="1" s="1"/>
  <c r="I52" i="1"/>
  <c r="I50" i="1"/>
  <c r="E43" i="1"/>
  <c r="E45" i="1" s="1"/>
  <c r="I43" i="1"/>
  <c r="I45" i="1" s="1"/>
  <c r="I47" i="1" s="1"/>
  <c r="AZ56" i="1" l="1"/>
  <c r="AZ72" i="1"/>
  <c r="BA72" i="1" s="1"/>
  <c r="BB72" i="1" s="1"/>
  <c r="BB55" i="1"/>
  <c r="BB56" i="1" s="1"/>
  <c r="AV56" i="1"/>
  <c r="AV89" i="1"/>
  <c r="BP55" i="1"/>
  <c r="BP56" i="1" s="1"/>
  <c r="BP70" i="1"/>
  <c r="BT7" i="1"/>
  <c r="BS62" i="1"/>
  <c r="AO51" i="1"/>
  <c r="AO53" i="1" s="1"/>
  <c r="BT8" i="1"/>
  <c r="BS63" i="1"/>
  <c r="BP69" i="1"/>
  <c r="AU51" i="1"/>
  <c r="AU53" i="1" s="1"/>
  <c r="AU70" i="1" s="1"/>
  <c r="AU69" i="1"/>
  <c r="BO55" i="1"/>
  <c r="BO56" i="1" s="1"/>
  <c r="BO70" i="1"/>
  <c r="AW55" i="1"/>
  <c r="AX55" i="1"/>
  <c r="AX56" i="1" s="1"/>
  <c r="AT51" i="1"/>
  <c r="AT53" i="1" s="1"/>
  <c r="AT54" i="1" s="1"/>
  <c r="AT70" i="1" s="1"/>
  <c r="AT69" i="1"/>
  <c r="BT5" i="1"/>
  <c r="BT61" i="1" s="1"/>
  <c r="BS3" i="1"/>
  <c r="BS64" i="1" s="1"/>
  <c r="BQ47" i="1"/>
  <c r="BQ51" i="1" s="1"/>
  <c r="BQ53" i="1" s="1"/>
  <c r="BR45" i="1"/>
  <c r="BR47" i="1" s="1"/>
  <c r="BX57" i="1"/>
  <c r="BV10" i="1"/>
  <c r="AQ55" i="1"/>
  <c r="AQ70" i="1"/>
  <c r="AP55" i="1"/>
  <c r="AP56" i="1" s="1"/>
  <c r="AP70" i="1"/>
  <c r="I51" i="1"/>
  <c r="I53" i="1" s="1"/>
  <c r="I55" i="1" s="1"/>
  <c r="I56" i="1" s="1"/>
  <c r="K4" i="2"/>
  <c r="K7" i="2" s="1"/>
  <c r="AW56" i="1" l="1"/>
  <c r="AW89" i="1"/>
  <c r="BU7" i="1"/>
  <c r="BT62" i="1"/>
  <c r="AO55" i="1"/>
  <c r="AO56" i="1" s="1"/>
  <c r="AO70" i="1"/>
  <c r="BU8" i="1"/>
  <c r="BT63" i="1"/>
  <c r="AU55" i="1"/>
  <c r="AU56" i="1" s="1"/>
  <c r="AQ56" i="1"/>
  <c r="AQ89" i="1"/>
  <c r="BU5" i="1"/>
  <c r="BU61" i="1" s="1"/>
  <c r="BT3" i="1"/>
  <c r="BT64" i="1" s="1"/>
  <c r="BQ69" i="1"/>
  <c r="BT44" i="1"/>
  <c r="BS45" i="1"/>
  <c r="BR69" i="1"/>
  <c r="BR59" i="1"/>
  <c r="BY57" i="1"/>
  <c r="BW10" i="1"/>
  <c r="BQ54" i="1"/>
  <c r="AT55" i="1"/>
  <c r="AT56" i="1" s="1"/>
  <c r="AS55" i="1"/>
  <c r="AS56" i="1" s="1"/>
  <c r="G52" i="1"/>
  <c r="G50" i="1"/>
  <c r="G47" i="1"/>
  <c r="G43" i="1"/>
  <c r="G44" i="1" s="1"/>
  <c r="BV8" i="1" l="1"/>
  <c r="BU63" i="1"/>
  <c r="BV7" i="1"/>
  <c r="BU62" i="1"/>
  <c r="BQ55" i="1"/>
  <c r="BQ56" i="1" s="1"/>
  <c r="BQ70" i="1"/>
  <c r="BV5" i="1"/>
  <c r="BV61" i="1" s="1"/>
  <c r="BU3" i="1"/>
  <c r="BU64" i="1" s="1"/>
  <c r="BU44" i="1"/>
  <c r="BT45" i="1"/>
  <c r="BR51" i="1"/>
  <c r="BR53" i="1" s="1"/>
  <c r="BS50" i="1"/>
  <c r="BS59" i="1"/>
  <c r="BS47" i="1"/>
  <c r="BS69" i="1" s="1"/>
  <c r="BX10" i="1"/>
  <c r="G51" i="1"/>
  <c r="G53" i="1" s="1"/>
  <c r="G55" i="1" s="1"/>
  <c r="G56" i="1" s="1"/>
  <c r="BW7" i="1" l="1"/>
  <c r="BV62" i="1"/>
  <c r="BW8" i="1"/>
  <c r="BV63" i="1"/>
  <c r="BR55" i="1"/>
  <c r="BR56" i="1" s="1"/>
  <c r="BR70" i="1"/>
  <c r="BW5" i="1"/>
  <c r="BW61" i="1" s="1"/>
  <c r="BV3" i="1"/>
  <c r="BV64" i="1" s="1"/>
  <c r="BS46" i="1"/>
  <c r="BS51" i="1"/>
  <c r="BS53" i="1" s="1"/>
  <c r="BS54" i="1" s="1"/>
  <c r="BT59" i="1"/>
  <c r="BT48" i="1"/>
  <c r="BT50" i="1" s="1"/>
  <c r="BT47" i="1"/>
  <c r="BT69" i="1" s="1"/>
  <c r="BV44" i="1"/>
  <c r="BU45" i="1"/>
  <c r="BY10" i="1"/>
  <c r="BX8" i="1" l="1"/>
  <c r="BW63" i="1"/>
  <c r="BX7" i="1"/>
  <c r="BW62" i="1"/>
  <c r="BS55" i="1"/>
  <c r="BS56" i="1" s="1"/>
  <c r="BS70" i="1"/>
  <c r="BX5" i="1"/>
  <c r="BX61" i="1" s="1"/>
  <c r="BW3" i="1"/>
  <c r="BW64" i="1" s="1"/>
  <c r="BU59" i="1"/>
  <c r="BU47" i="1"/>
  <c r="BU69" i="1" s="1"/>
  <c r="BU48" i="1"/>
  <c r="BU50" i="1" s="1"/>
  <c r="BW44" i="1"/>
  <c r="BV45" i="1"/>
  <c r="BT46" i="1"/>
  <c r="BT51" i="1"/>
  <c r="BT53" i="1" s="1"/>
  <c r="BT54" i="1" s="1"/>
  <c r="BY7" i="1" l="1"/>
  <c r="BY62" i="1" s="1"/>
  <c r="BX62" i="1"/>
  <c r="BY8" i="1"/>
  <c r="BY63" i="1" s="1"/>
  <c r="BX63" i="1"/>
  <c r="BT55" i="1"/>
  <c r="BT56" i="1" s="1"/>
  <c r="BT70" i="1"/>
  <c r="BY5" i="1"/>
  <c r="BX3" i="1"/>
  <c r="BX64" i="1" s="1"/>
  <c r="BV48" i="1"/>
  <c r="BV50" i="1" s="1"/>
  <c r="BV47" i="1"/>
  <c r="BV69" i="1" s="1"/>
  <c r="BV59" i="1"/>
  <c r="BX44" i="1"/>
  <c r="BW45" i="1"/>
  <c r="BU46" i="1"/>
  <c r="BU51" i="1"/>
  <c r="BU53" i="1" s="1"/>
  <c r="BU54" i="1" s="1"/>
  <c r="BY3" i="1" l="1"/>
  <c r="BY64" i="1" s="1"/>
  <c r="BY61" i="1"/>
  <c r="BU55" i="1"/>
  <c r="BU56" i="1" s="1"/>
  <c r="BU70" i="1"/>
  <c r="BY44" i="1"/>
  <c r="BY45" i="1" s="1"/>
  <c r="BX45" i="1"/>
  <c r="BW59" i="1"/>
  <c r="BW48" i="1"/>
  <c r="BW50" i="1" s="1"/>
  <c r="BW47" i="1"/>
  <c r="BV46" i="1"/>
  <c r="BV51" i="1"/>
  <c r="BV53" i="1" s="1"/>
  <c r="BV54" i="1" s="1"/>
  <c r="BV55" i="1" l="1"/>
  <c r="BV56" i="1" s="1"/>
  <c r="BV70" i="1"/>
  <c r="BW46" i="1"/>
  <c r="BW51" i="1"/>
  <c r="BW53" i="1" s="1"/>
  <c r="BW54" i="1" s="1"/>
  <c r="BW55" i="1" s="1"/>
  <c r="BW56" i="1" s="1"/>
  <c r="BX48" i="1"/>
  <c r="BX50" i="1" s="1"/>
  <c r="BX47" i="1"/>
  <c r="BX59" i="1"/>
  <c r="BY48" i="1"/>
  <c r="BY50" i="1" s="1"/>
  <c r="BY47" i="1"/>
  <c r="BY59" i="1"/>
  <c r="BY46" i="1" l="1"/>
  <c r="BY51" i="1"/>
  <c r="BY53" i="1" s="1"/>
  <c r="BY54" i="1" s="1"/>
  <c r="BY55" i="1" s="1"/>
  <c r="BX46" i="1"/>
  <c r="BX51" i="1"/>
  <c r="BX53" i="1" s="1"/>
  <c r="BX54" i="1" s="1"/>
  <c r="BX55" i="1" s="1"/>
  <c r="BX56" i="1" l="1"/>
  <c r="BY56" i="1"/>
  <c r="BZ55" i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CB61" i="1" l="1"/>
  <c r="CB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tc={1495FD4C-6EA2-462D-A285-0CE1207F95E3}</author>
    <author>tc={4684B382-7B1E-4F51-8AE6-3C2F21BB4B83}</author>
    <author>tc={664741F6-5634-463A-B649-C44AD48AAA09}</author>
    <author>tc={A4B38560-E0C3-4F72-B4F8-127C423939FF}</author>
    <author>tc={02664013-DB26-4B95-A2F2-AE1243BDA9A3}</author>
  </authors>
  <commentList>
    <comment ref="AM45" authorId="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AS56" authorId="1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BQ56" authorId="2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BR56" authorId="3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BS56" authorId="4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Q124: raises to 11.13-11.33 from 10.97-11.17 including 0.08 IPR&amp;D</t>
      </text>
    </comment>
  </commentList>
</comments>
</file>

<file path=xl/sharedStrings.xml><?xml version="1.0" encoding="utf-8"?>
<sst xmlns="http://schemas.openxmlformats.org/spreadsheetml/2006/main" count="573" uniqueCount="404">
  <si>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</si>
  <si>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</si>
  <si>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</si>
  <si>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</si>
  <si>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</si>
  <si>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</si>
  <si>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</si>
  <si>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</si>
  <si>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</si>
  <si>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</si>
  <si>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</si>
  <si>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</si>
  <si>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</si>
  <si>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</si>
  <si>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</si>
  <si>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</si>
  <si>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</si>
  <si>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</si>
  <si>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</si>
  <si>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</si>
  <si>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</si>
  <si>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</si>
  <si>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</si>
  <si>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</si>
  <si>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</si>
  <si>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</si>
  <si>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</si>
  <si>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</si>
  <si>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</si>
  <si>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</si>
  <si>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</si>
  <si>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</si>
  <si>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</si>
  <si>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</si>
  <si>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</si>
  <si>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</si>
  <si>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</si>
  <si>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</si>
  <si>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</si>
  <si>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</si>
  <si>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</si>
  <si>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</si>
  <si>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</si>
  <si>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</si>
  <si>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</si>
  <si>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</si>
  <si>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</si>
  <si>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</si>
  <si>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</si>
  <si>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</si>
  <si>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</si>
  <si>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</si>
  <si>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</si>
  <si>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</si>
  <si>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</si>
  <si>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</si>
  <si>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</si>
  <si>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</si>
  <si>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</si>
  <si>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</si>
  <si>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</si>
  <si>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</si>
  <si>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</si>
  <si>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</si>
  <si>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</si>
  <si>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</si>
  <si>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</si>
  <si>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</si>
  <si>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</si>
  <si>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</si>
  <si>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</si>
  <si>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</si>
  <si>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</si>
  <si>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</si>
  <si>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</si>
  <si>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</si>
  <si>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</si>
  <si>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</si>
  <si>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</si>
  <si>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</si>
  <si>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</si>
  <si>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</si>
  <si>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</si>
  <si>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</si>
  <si>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</si>
  <si>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</si>
  <si>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</si>
  <si>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</si>
  <si>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</si>
  <si>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</si>
  <si>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</si>
  <si>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</si>
  <si>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</si>
  <si>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</si>
  <si>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</si>
  <si>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</si>
  <si>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</si>
  <si>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</si>
  <si>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</si>
  <si>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</si>
  <si>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</si>
  <si>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</si>
  <si>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</si>
  <si>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</si>
  <si>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</si>
  <si>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</si>
  <si>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</si>
  <si>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</si>
  <si>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</si>
  <si>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</si>
  <si>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</si>
  <si>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</si>
  <si>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</si>
  <si>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</si>
  <si>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</si>
  <si>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</si>
  <si>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</si>
  <si>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</si>
  <si>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</si>
  <si>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</si>
  <si>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</si>
  <si>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</si>
  <si>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</si>
  <si>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</si>
  <si>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</si>
  <si>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</si>
  <si>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</si>
  <si>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</si>
  <si>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</si>
  <si>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</si>
  <si>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</si>
  <si>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</si>
  <si>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</si>
  <si>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</si>
  <si>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</si>
  <si>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</si>
  <si>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</si>
  <si>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</si>
  <si>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</si>
  <si>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</si>
  <si>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</si>
  <si>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</si>
  <si>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</si>
  <si>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</si>
  <si>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</si>
  <si>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</si>
  <si>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</si>
  <si>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</si>
  <si>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</si>
  <si>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</si>
  <si>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</si>
  <si>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</si>
  <si>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</si>
  <si>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</si>
  <si>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</si>
  <si>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</si>
  <si>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</si>
  <si>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</si>
  <si>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</si>
  <si>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</si>
  <si>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</si>
  <si>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</si>
  <si>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</si>
  <si>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</si>
  <si>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</si>
  <si>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</si>
  <si>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</si>
  <si>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</si>
  <si>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</si>
  <si>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</si>
  <si>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</si>
  <si>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</si>
  <si>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</si>
  <si>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</si>
  <si>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</si>
  <si>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</si>
  <si>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</si>
  <si>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</si>
  <si>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</si>
  <si>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</si>
  <si>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</si>
  <si>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</si>
  <si>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</si>
  <si>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</si>
  <si>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</si>
  <si>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</si>
  <si>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</si>
  <si>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</si>
  <si>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</si>
  <si>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</si>
  <si>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</si>
  <si>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</si>
  <si>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</si>
  <si>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</si>
  <si>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</si>
  <si>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</si>
  <si>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</si>
  <si>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</si>
  <si>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</si>
  <si>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</si>
  <si>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</si>
  <si>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</si>
  <si>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</si>
  <si>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</si>
  <si>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</si>
  <si>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</si>
  <si>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CEO: Richard Gonzalez</t>
  </si>
  <si>
    <t>Parkinson's Disease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</si>
  <si>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</si>
  <si>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</si>
  <si>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</si>
  <si>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</si>
  <si>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</si>
  <si>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</si>
  <si>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</si>
  <si>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</si>
  <si>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</si>
  <si>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</si>
  <si>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GCA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</si>
  <si>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</si>
  <si>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</si>
  <si>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</si>
  <si>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</si>
  <si>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</si>
  <si>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</si>
  <si>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</si>
  <si>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</si>
  <si>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Crohn's, Psoriasis, Psoriatic Arthritis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</si>
  <si>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</si>
  <si>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</si>
  <si>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</si>
  <si>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</si>
  <si>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</si>
  <si>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</si>
  <si>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</si>
  <si>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</si>
  <si>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</si>
  <si>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</si>
  <si>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</si>
  <si>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</si>
  <si>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</si>
  <si>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</si>
  <si>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</si>
  <si>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</si>
  <si>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</si>
  <si>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</si>
  <si>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</si>
  <si>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</si>
  <si>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</si>
  <si>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</si>
  <si>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</si>
  <si>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</si>
  <si>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</si>
  <si>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</si>
  <si>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</si>
  <si>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</si>
  <si>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</si>
  <si>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</si>
  <si>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</si>
  <si>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</si>
  <si>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</si>
  <si>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</si>
  <si>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</si>
  <si>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</si>
  <si>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</si>
  <si>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</si>
  <si>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</si>
  <si>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</si>
  <si>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</si>
  <si>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</si>
  <si>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</si>
  <si>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</si>
  <si>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</si>
  <si>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</si>
  <si>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</si>
  <si>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</si>
  <si>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</si>
  <si>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</si>
  <si>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</si>
  <si>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</si>
  <si>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</si>
  <si>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</si>
  <si>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</si>
  <si>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</si>
  <si>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</si>
  <si>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</si>
  <si>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</si>
  <si>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</si>
  <si>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</si>
  <si>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</si>
  <si>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</si>
  <si>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</si>
  <si>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</si>
  <si>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</si>
  <si>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</si>
  <si>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Botox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</si>
  <si>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</si>
  <si>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</si>
  <si>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</si>
  <si>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</si>
  <si>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</si>
  <si>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</si>
  <si>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</si>
  <si>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</si>
  <si>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</si>
  <si>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</si>
  <si>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</si>
  <si>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</si>
  <si>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</si>
  <si>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</si>
  <si>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</si>
  <si>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</si>
  <si>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</si>
  <si>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</si>
  <si>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</si>
  <si>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</si>
  <si>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</si>
  <si>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</si>
  <si>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</si>
  <si>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</si>
  <si>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</si>
  <si>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</si>
  <si>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</si>
  <si>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</si>
  <si>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</si>
  <si>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</si>
  <si>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</si>
  <si>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</si>
  <si>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</si>
  <si>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</si>
  <si>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</si>
  <si>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</si>
  <si>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</si>
  <si>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</si>
  <si>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</si>
  <si>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</si>
  <si>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</si>
  <si>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</si>
  <si>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</si>
  <si>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</si>
  <si>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</si>
  <si>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ADC</t>
  </si>
  <si>
    <t>Epkinly (epcoritamab)</t>
  </si>
  <si>
    <t>DLBCL</t>
  </si>
  <si>
    <t>US only</t>
  </si>
  <si>
    <t>1,494</t>
  </si>
  <si>
    <t>1,435</t>
  </si>
  <si>
    <t>1,372</t>
  </si>
  <si>
    <t>1,496</t>
  </si>
  <si>
    <t>5,673</t>
  </si>
  <si>
    <t>2/12/24: ImmunoGen closes.</t>
  </si>
  <si>
    <t>mirvetuximab soravtansine</t>
  </si>
  <si>
    <t>Phase III "MIRASOL"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</si>
  <si>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</si>
  <si>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</si>
  <si>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</si>
  <si>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</si>
  <si>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</si>
  <si>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</si>
  <si>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</si>
  <si>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</si>
  <si>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</si>
  <si>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</si>
  <si>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</si>
  <si>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</si>
  <si>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</si>
  <si>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</si>
  <si>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AD</t>
  </si>
  <si>
    <t>ABBV-552</t>
  </si>
  <si>
    <t>SV2A</t>
  </si>
  <si>
    <t>ABBV-916</t>
  </si>
  <si>
    <t>aBeta-pE3 mab</t>
  </si>
  <si>
    <t>ABBV-932</t>
  </si>
  <si>
    <t>Bipolar</t>
  </si>
  <si>
    <t>D3</t>
  </si>
  <si>
    <t>Gedeon Richter</t>
  </si>
  <si>
    <t>ABBV-CLS-7262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</si>
  <si>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</si>
  <si>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</si>
  <si>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</si>
  <si>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</si>
  <si>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</si>
  <si>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</si>
  <si>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</si>
  <si>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</si>
  <si>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</si>
  <si>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</si>
  <si>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</si>
  <si>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</si>
  <si>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</si>
  <si>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</si>
  <si>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</si>
  <si>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</si>
  <si>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</si>
  <si>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</si>
  <si>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</si>
  <si>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ABBV-383</t>
  </si>
  <si>
    <t>Multiple Myeloma</t>
  </si>
  <si>
    <t>BCMA/CD3</t>
  </si>
  <si>
    <t>III</t>
  </si>
  <si>
    <t>cMet ADC</t>
  </si>
  <si>
    <t>ABT-981 (lutikizumab)</t>
  </si>
  <si>
    <t>HS (was OA)</t>
  </si>
  <si>
    <t>ABT-333, dasabuvir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</si>
</sst>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90"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right"/>
    </xf>
    <xf numFmtId="4" fontId="17" fillId="0" borderId="0" xfId="0" applyNumberFormat="1" applyFont="1" applyAlignment="1">
      <alignment horizontal="right"/>
    </xf>
    <xf numFmtId="0" fontId="17" fillId="0" borderId="1" xfId="0" applyFont="1" applyBorder="1"/>
    <xf numFmtId="0" fontId="17" fillId="0" borderId="3" xfId="0" applyFont="1" applyBorder="1"/>
    <xf numFmtId="0" fontId="17" fillId="0" borderId="6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0" xfId="0" applyFont="1" applyAlignment="1">
      <alignment horizontal="center"/>
    </xf>
    <xf numFmtId="9" fontId="17" fillId="0" borderId="0" xfId="0" applyNumberFormat="1" applyFont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4" fontId="17" fillId="0" borderId="0" xfId="0" applyNumberFormat="1" applyFont="1"/>
    <xf numFmtId="3" fontId="17" fillId="0" borderId="0" xfId="0" applyNumberFormat="1" applyFont="1"/>
    <xf numFmtId="3" fontId="17" fillId="0" borderId="0" xfId="0" applyNumberFormat="1" applyFont="1" applyAlignment="1">
      <alignment horizontal="right"/>
    </xf>
    <xf numFmtId="3" fontId="18" fillId="0" borderId="0" xfId="0" applyNumberFormat="1" applyFont="1"/>
    <xf numFmtId="3" fontId="18" fillId="0" borderId="0" xfId="0" applyNumberFormat="1" applyFont="1" applyAlignment="1">
      <alignment horizontal="right"/>
    </xf>
    <xf numFmtId="14" fontId="17" fillId="0" borderId="0" xfId="0" applyNumberFormat="1" applyFont="1" applyAlignment="1">
      <alignment horizontal="center"/>
    </xf>
    <xf numFmtId="0" fontId="20" fillId="0" borderId="0" xfId="1" applyFont="1"/>
    <xf numFmtId="0" fontId="20" fillId="0" borderId="1" xfId="1" applyFont="1" applyBorder="1"/>
    <xf numFmtId="0" fontId="16" fillId="0" borderId="0" xfId="0" applyFont="1" applyAlignment="1">
      <alignment horizontal="right"/>
    </xf>
    <xf numFmtId="3" fontId="16" fillId="0" borderId="0" xfId="0" applyNumberFormat="1" applyFont="1"/>
    <xf numFmtId="3" fontId="16" fillId="0" borderId="0" xfId="0" quotePrefix="1" applyNumberFormat="1" applyFont="1" applyAlignment="1">
      <alignment horizontal="right"/>
    </xf>
    <xf numFmtId="0" fontId="16" fillId="0" borderId="0" xfId="0" applyFont="1"/>
    <xf numFmtId="0" fontId="15" fillId="0" borderId="0" xfId="0" applyFont="1"/>
    <xf numFmtId="0" fontId="14" fillId="0" borderId="0" xfId="0" applyFont="1"/>
    <xf numFmtId="3" fontId="14" fillId="0" borderId="0" xfId="0" quotePrefix="1" applyNumberFormat="1" applyFont="1" applyAlignment="1">
      <alignment horizontal="right"/>
    </xf>
    <xf numFmtId="9" fontId="17" fillId="0" borderId="0" xfId="0" applyNumberFormat="1" applyFont="1"/>
    <xf numFmtId="9" fontId="17" fillId="0" borderId="0" xfId="0" applyNumberFormat="1" applyFont="1" applyAlignment="1">
      <alignment horizontal="right"/>
    </xf>
    <xf numFmtId="9" fontId="14" fillId="0" borderId="0" xfId="0" applyNumberFormat="1" applyFont="1"/>
    <xf numFmtId="9" fontId="18" fillId="0" borderId="0" xfId="0" applyNumberFormat="1" applyFont="1"/>
    <xf numFmtId="9" fontId="18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center"/>
    </xf>
    <xf numFmtId="0" fontId="11" fillId="0" borderId="1" xfId="0" applyFont="1" applyBorder="1"/>
    <xf numFmtId="0" fontId="11" fillId="0" borderId="7" xfId="0" applyFont="1" applyBorder="1" applyAlignment="1">
      <alignment horizontal="center"/>
    </xf>
    <xf numFmtId="0" fontId="11" fillId="0" borderId="0" xfId="0" applyFont="1"/>
    <xf numFmtId="3" fontId="11" fillId="0" borderId="0" xfId="0" quotePrefix="1" applyNumberFormat="1" applyFont="1" applyAlignment="1">
      <alignment horizontal="right"/>
    </xf>
    <xf numFmtId="9" fontId="11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3" fontId="10" fillId="0" borderId="0" xfId="0" quotePrefix="1" applyNumberFormat="1" applyFont="1" applyAlignment="1">
      <alignment horizontal="right"/>
    </xf>
    <xf numFmtId="3" fontId="10" fillId="0" borderId="0" xfId="0" applyNumberFormat="1" applyFont="1"/>
    <xf numFmtId="3" fontId="17" fillId="2" borderId="0" xfId="0" applyNumberFormat="1" applyFont="1" applyFill="1" applyAlignment="1">
      <alignment horizontal="right"/>
    </xf>
    <xf numFmtId="9" fontId="10" fillId="0" borderId="0" xfId="0" applyNumberFormat="1" applyFont="1" applyAlignment="1">
      <alignment horizontal="right"/>
    </xf>
    <xf numFmtId="9" fontId="10" fillId="0" borderId="0" xfId="0" applyNumberFormat="1" applyFont="1"/>
    <xf numFmtId="3" fontId="9" fillId="0" borderId="0" xfId="0" quotePrefix="1" applyNumberFormat="1" applyFont="1" applyAlignment="1">
      <alignment horizontal="right"/>
    </xf>
    <xf numFmtId="9" fontId="9" fillId="0" borderId="0" xfId="0" applyNumberFormat="1" applyFont="1"/>
    <xf numFmtId="9" fontId="9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19" fillId="0" borderId="0" xfId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9" fontId="7" fillId="0" borderId="0" xfId="0" applyNumberFormat="1" applyFont="1" applyAlignment="1">
      <alignment horizontal="center"/>
    </xf>
    <xf numFmtId="14" fontId="17" fillId="0" borderId="2" xfId="0" applyNumberFormat="1" applyFont="1" applyBorder="1" applyAlignment="1">
      <alignment horizontal="center"/>
    </xf>
    <xf numFmtId="0" fontId="7" fillId="0" borderId="1" xfId="0" applyFont="1" applyBorder="1"/>
    <xf numFmtId="0" fontId="6" fillId="0" borderId="0" xfId="0" applyFont="1"/>
    <xf numFmtId="14" fontId="6" fillId="0" borderId="0" xfId="0" applyNumberFormat="1" applyFont="1"/>
    <xf numFmtId="14" fontId="6" fillId="0" borderId="0" xfId="0" applyNumberFormat="1" applyFont="1" applyAlignment="1">
      <alignment horizontal="center"/>
    </xf>
    <xf numFmtId="3" fontId="6" fillId="0" borderId="0" xfId="0" applyNumberFormat="1" applyFont="1"/>
    <xf numFmtId="0" fontId="6" fillId="0" borderId="1" xfId="0" applyFont="1" applyBorder="1"/>
    <xf numFmtId="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9" fontId="5" fillId="0" borderId="0" xfId="0" applyNumberFormat="1" applyFont="1" applyAlignment="1">
      <alignment horizontal="right"/>
    </xf>
    <xf numFmtId="9" fontId="5" fillId="0" borderId="0" xfId="0" applyNumberFormat="1" applyFont="1"/>
    <xf numFmtId="3" fontId="16" fillId="0" borderId="0" xfId="0" applyNumberFormat="1" applyFont="1" applyAlignment="1">
      <alignment horizontal="right"/>
    </xf>
    <xf numFmtId="3" fontId="5" fillId="0" borderId="0" xfId="0" quotePrefix="1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3" fontId="4" fillId="0" borderId="0" xfId="0" applyNumberFormat="1" applyFont="1"/>
    <xf numFmtId="0" fontId="4" fillId="0" borderId="1" xfId="0" applyFont="1" applyBorder="1"/>
    <xf numFmtId="3" fontId="3" fillId="0" borderId="0" xfId="0" applyNumberFormat="1" applyFont="1"/>
    <xf numFmtId="0" fontId="3" fillId="0" borderId="1" xfId="0" applyFont="1" applyBorder="1"/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2" fillId="0" borderId="0" xfId="0" quotePrefix="1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22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33087</xdr:colOff>
      <xdr:row>0</xdr:row>
      <xdr:rowOff>0</xdr:rowOff>
    </xdr:from>
    <xdr:to>
      <xdr:col>51</xdr:col>
      <xdr:colOff>33087</xdr:colOff>
      <xdr:row>117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1641048" y="0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7330</xdr:colOff>
      <xdr:row>0</xdr:row>
      <xdr:rowOff>3759</xdr:rowOff>
    </xdr:from>
    <xdr:to>
      <xdr:col>70</xdr:col>
      <xdr:colOff>7330</xdr:colOff>
      <xdr:row>117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5906</xdr:colOff>
      <xdr:row>15</xdr:row>
      <xdr:rowOff>147537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45" dT="2023-02-08T20:32:20.25" personId="{FC08182D-8126-43D2-AFE1-095FC8F8A0A3}" id="{1495FD4C-6EA2-462D-A285-0CE1207F95E3}">
    <text>13010 10-Q</text>
  </threadedComment>
  <threadedComment ref="AS56" dT="2023-01-03T05:48:05.07" personId="{FC08182D-8126-43D2-AFE1-095FC8F8A0A3}" id="{4684B382-7B1E-4F51-8AE6-3C2F21BB4B83}">
    <text>ADJ EPS 3.66</text>
  </threadedComment>
  <threadedComment ref="BQ56" dT="2022-07-29T13:57:20.53" personId="{FC08182D-8126-43D2-AFE1-095FC8F8A0A3}" id="{664741F6-5634-463A-B649-C44AD48AAA09}">
    <text>Q222 guidance: 13.78-13.98 reaffirmed
Q322 guidance: 13.84-13.88</text>
  </threadedComment>
  <threadedComment ref="BR56" dT="2023-02-14T04:07:40.83" personId="{FC08182D-8126-43D2-AFE1-095FC8F8A0A3}" id="{A4B38560-E0C3-4F72-B4F8-127C423939FF}">
    <text>Q422: 2023 guidance of 10.70-11.10</text>
  </threadedComment>
  <threadedComment ref="BS56" dT="2024-05-27T03:06:54.34" personId="{FC08182D-8126-43D2-AFE1-095FC8F8A0A3}" id="{02664013-DB26-4B95-A2F2-AE1243BDA9A3}">
    <text>Q124: raises to 11.13-11.33 from 10.97-11.17 including 0.08 IPR&amp;D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74</v>
      </c>
    </row>
    <row r="2" spans="1:6" x14ac:dyDescent="0.2">
      <c r="A2" s="20"/>
      <c r="B2" s="27" t="s">
        <v>147</v>
      </c>
      <c r="C2" s="41" t="s">
        <v>190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148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199</v>
      </c>
      <c r="C6" s="41" t="s">
        <v>200</v>
      </c>
      <c r="D6" s="31">
        <v>1</v>
      </c>
      <c r="E6" s="41" t="s">
        <v>68</v>
      </c>
      <c r="F6" s="41" t="s">
        <v>178</v>
      </c>
    </row>
    <row r="7" spans="1:6" x14ac:dyDescent="0.2">
      <c r="A7" s="20"/>
      <c r="B7" s="27" t="s">
        <v>54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149</v>
      </c>
    </row>
    <row r="10" spans="1:6" x14ac:dyDescent="0.2">
      <c r="B10" s="37" t="s">
        <v>167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189</v>
      </c>
    </row>
    <row r="13" spans="1:6" x14ac:dyDescent="0.2">
      <c r="B13" s="41" t="s">
        <v>191</v>
      </c>
      <c r="C13" s="41" t="s">
        <v>192</v>
      </c>
    </row>
    <row r="18" spans="2:6" x14ac:dyDescent="0.2">
      <c r="C18" s="27" t="s">
        <v>28</v>
      </c>
      <c r="D18" s="27" t="s">
        <v>150</v>
      </c>
      <c r="E18" s="37" t="s">
        <v>172</v>
      </c>
    </row>
    <row r="19" spans="2:6" x14ac:dyDescent="0.2">
      <c r="B19" s="37" t="s">
        <v>171</v>
      </c>
      <c r="C19" s="37" t="s">
        <v>173</v>
      </c>
      <c r="E19" s="37" t="s">
        <v>30</v>
      </c>
      <c r="F19" s="37" t="s">
        <v>174</v>
      </c>
    </row>
    <row r="20" spans="2:6" x14ac:dyDescent="0.2">
      <c r="B20" s="37" t="s">
        <v>29</v>
      </c>
      <c r="E20" s="37" t="s">
        <v>46</v>
      </c>
      <c r="F20" s="37" t="s">
        <v>66</v>
      </c>
    </row>
    <row r="21" spans="2:6" x14ac:dyDescent="0.2">
      <c r="B21" s="41" t="s">
        <v>69</v>
      </c>
      <c r="E21" s="41" t="s">
        <v>196</v>
      </c>
      <c r="F21" s="41" t="s">
        <v>197</v>
      </c>
    </row>
    <row r="22" spans="2:6" x14ac:dyDescent="0.2">
      <c r="B22" s="41" t="s">
        <v>67</v>
      </c>
      <c r="E22" s="41" t="s">
        <v>224</v>
      </c>
      <c r="F22" s="41" t="s">
        <v>223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3"/>
  <sheetViews>
    <sheetView tabSelected="1" topLeftCell="A31" zoomScale="190" zoomScaleNormal="190" workbookViewId="0">
      <selection activeCell="B44" sqref="B44"/>
    </sheetView>
  </sheetViews>
  <sheetFormatPr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5703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186</v>
      </c>
      <c r="H2" s="8" t="s">
        <v>53</v>
      </c>
      <c r="J2" s="1" t="s">
        <v>48</v>
      </c>
      <c r="K2" s="14">
        <v>157.06</v>
      </c>
    </row>
    <row r="3" spans="2:12" x14ac:dyDescent="0.2">
      <c r="B3" s="21" t="s">
        <v>73</v>
      </c>
      <c r="C3" s="46" t="s">
        <v>233</v>
      </c>
      <c r="D3" s="19">
        <v>37621</v>
      </c>
      <c r="E3" s="9" t="s">
        <v>32</v>
      </c>
      <c r="F3" s="10">
        <v>1</v>
      </c>
      <c r="G3" s="38" t="s">
        <v>187</v>
      </c>
      <c r="H3" s="11">
        <v>2024</v>
      </c>
      <c r="J3" s="1" t="s">
        <v>14</v>
      </c>
      <c r="K3" s="15">
        <v>1765.8677809999999</v>
      </c>
      <c r="L3" s="79" t="s">
        <v>331</v>
      </c>
    </row>
    <row r="4" spans="2:12" x14ac:dyDescent="0.2">
      <c r="B4" s="21" t="s">
        <v>211</v>
      </c>
      <c r="C4" s="58" t="s">
        <v>273</v>
      </c>
      <c r="D4" s="65">
        <v>33581</v>
      </c>
      <c r="E4" s="58" t="s">
        <v>274</v>
      </c>
      <c r="F4" s="10">
        <v>1</v>
      </c>
      <c r="G4" s="58" t="s">
        <v>187</v>
      </c>
      <c r="H4" s="59" t="s">
        <v>275</v>
      </c>
      <c r="J4" s="1" t="s">
        <v>49</v>
      </c>
      <c r="K4" s="15">
        <f>+K3*K2</f>
        <v>277347.19368386001</v>
      </c>
      <c r="L4" s="2"/>
    </row>
    <row r="5" spans="2:12" x14ac:dyDescent="0.2">
      <c r="B5" s="21" t="s">
        <v>160</v>
      </c>
      <c r="C5" s="58" t="s">
        <v>270</v>
      </c>
      <c r="D5" s="19">
        <v>41591</v>
      </c>
      <c r="E5" s="58" t="s">
        <v>271</v>
      </c>
      <c r="F5" s="34" t="s">
        <v>162</v>
      </c>
      <c r="G5" s="38" t="s">
        <v>188</v>
      </c>
      <c r="H5" s="61">
        <v>46566</v>
      </c>
      <c r="J5" s="1" t="s">
        <v>50</v>
      </c>
      <c r="K5" s="15">
        <v>18374</v>
      </c>
      <c r="L5" s="88" t="s">
        <v>331</v>
      </c>
    </row>
    <row r="6" spans="2:12" x14ac:dyDescent="0.2">
      <c r="B6" s="21" t="s">
        <v>163</v>
      </c>
      <c r="C6" s="58" t="s">
        <v>263</v>
      </c>
      <c r="D6" s="19">
        <v>43578</v>
      </c>
      <c r="E6" s="38" t="s">
        <v>226</v>
      </c>
      <c r="F6" s="60" t="s">
        <v>264</v>
      </c>
      <c r="G6" s="58" t="s">
        <v>187</v>
      </c>
      <c r="H6" s="59" t="s">
        <v>72</v>
      </c>
      <c r="J6" s="1" t="s">
        <v>51</v>
      </c>
      <c r="K6" s="15">
        <v>74001</v>
      </c>
      <c r="L6" s="88" t="s">
        <v>331</v>
      </c>
    </row>
    <row r="7" spans="2:12" x14ac:dyDescent="0.2">
      <c r="B7" s="78" t="s">
        <v>164</v>
      </c>
      <c r="C7" s="36" t="s">
        <v>165</v>
      </c>
      <c r="D7" s="19">
        <v>42471</v>
      </c>
      <c r="E7" s="36" t="s">
        <v>31</v>
      </c>
      <c r="F7" s="36" t="s">
        <v>166</v>
      </c>
      <c r="G7" s="38" t="s">
        <v>188</v>
      </c>
      <c r="H7" s="59" t="s">
        <v>276</v>
      </c>
      <c r="J7" s="1" t="s">
        <v>52</v>
      </c>
      <c r="K7" s="15">
        <f>+K4-K5+K6</f>
        <v>332974.19368386001</v>
      </c>
    </row>
    <row r="8" spans="2:12" x14ac:dyDescent="0.2">
      <c r="B8" s="62" t="s">
        <v>277</v>
      </c>
      <c r="C8" s="58" t="s">
        <v>278</v>
      </c>
      <c r="D8" s="19">
        <v>32534</v>
      </c>
      <c r="E8" s="9"/>
      <c r="F8" s="58" t="s">
        <v>279</v>
      </c>
      <c r="G8" s="58" t="s">
        <v>280</v>
      </c>
      <c r="H8" s="11"/>
    </row>
    <row r="9" spans="2:12" x14ac:dyDescent="0.2">
      <c r="B9" s="21" t="s">
        <v>179</v>
      </c>
      <c r="C9" s="58" t="s">
        <v>257</v>
      </c>
      <c r="D9" s="19">
        <v>44636</v>
      </c>
      <c r="E9" s="38" t="s">
        <v>178</v>
      </c>
      <c r="F9" s="10">
        <v>1</v>
      </c>
      <c r="G9" s="38" t="s">
        <v>188</v>
      </c>
      <c r="H9" s="59" t="s">
        <v>258</v>
      </c>
    </row>
    <row r="10" spans="2:12" x14ac:dyDescent="0.2">
      <c r="B10" s="62" t="s">
        <v>281</v>
      </c>
      <c r="C10" s="58" t="s">
        <v>283</v>
      </c>
      <c r="D10" s="19">
        <v>37461</v>
      </c>
      <c r="E10" s="9"/>
      <c r="F10" s="85" t="s">
        <v>344</v>
      </c>
      <c r="G10" s="38" t="s">
        <v>188</v>
      </c>
      <c r="H10" s="11"/>
    </row>
    <row r="11" spans="2:12" x14ac:dyDescent="0.2">
      <c r="B11" s="78" t="s">
        <v>6</v>
      </c>
      <c r="C11" s="58" t="s">
        <v>282</v>
      </c>
      <c r="D11" s="9"/>
      <c r="E11" s="9"/>
      <c r="F11" s="85" t="s">
        <v>344</v>
      </c>
      <c r="G11" s="38" t="s">
        <v>188</v>
      </c>
      <c r="H11" s="11"/>
    </row>
    <row r="12" spans="2:12" x14ac:dyDescent="0.2">
      <c r="B12" s="62" t="s">
        <v>285</v>
      </c>
      <c r="C12" s="58" t="s">
        <v>286</v>
      </c>
      <c r="D12" s="9"/>
      <c r="E12" s="9"/>
      <c r="F12" s="9"/>
      <c r="G12" s="58" t="s">
        <v>288</v>
      </c>
      <c r="H12" s="11"/>
    </row>
    <row r="13" spans="2:12" x14ac:dyDescent="0.2">
      <c r="B13" s="62" t="s">
        <v>284</v>
      </c>
      <c r="C13" s="58" t="s">
        <v>207</v>
      </c>
      <c r="D13" s="9"/>
      <c r="E13" s="9"/>
      <c r="F13" s="9"/>
      <c r="G13" s="9"/>
      <c r="H13" s="11"/>
      <c r="J13" s="41" t="s">
        <v>206</v>
      </c>
    </row>
    <row r="14" spans="2:12" x14ac:dyDescent="0.2">
      <c r="B14" s="62" t="s">
        <v>272</v>
      </c>
      <c r="C14" s="9" t="s">
        <v>34</v>
      </c>
      <c r="D14" s="9"/>
      <c r="E14" s="9"/>
      <c r="F14" s="9" t="s">
        <v>35</v>
      </c>
      <c r="G14" s="38" t="s">
        <v>188</v>
      </c>
      <c r="H14" s="11"/>
      <c r="J14" s="63" t="s">
        <v>325</v>
      </c>
    </row>
    <row r="15" spans="2:12" x14ac:dyDescent="0.2">
      <c r="B15" s="39" t="s">
        <v>209</v>
      </c>
      <c r="C15" s="38" t="s">
        <v>210</v>
      </c>
      <c r="D15" s="9"/>
      <c r="E15" s="58" t="s">
        <v>287</v>
      </c>
      <c r="F15" s="10">
        <v>1</v>
      </c>
      <c r="G15" s="58" t="s">
        <v>188</v>
      </c>
      <c r="H15" s="11"/>
    </row>
    <row r="16" spans="2:12" x14ac:dyDescent="0.2">
      <c r="B16" s="39" t="s">
        <v>185</v>
      </c>
      <c r="C16" s="36" t="s">
        <v>39</v>
      </c>
      <c r="D16" s="9"/>
      <c r="E16" s="9"/>
      <c r="F16" s="10">
        <v>1</v>
      </c>
      <c r="G16" s="38" t="s">
        <v>188</v>
      </c>
      <c r="H16" s="11"/>
    </row>
    <row r="17" spans="2:8" x14ac:dyDescent="0.2">
      <c r="B17" s="21" t="s">
        <v>340</v>
      </c>
      <c r="C17" s="85" t="s">
        <v>65</v>
      </c>
      <c r="D17" s="9"/>
      <c r="E17" s="85" t="s">
        <v>341</v>
      </c>
      <c r="F17" s="10"/>
      <c r="G17" s="38"/>
      <c r="H17" s="11"/>
    </row>
    <row r="18" spans="2:8" x14ac:dyDescent="0.2">
      <c r="B18" s="39" t="s">
        <v>213</v>
      </c>
      <c r="C18" s="38" t="s">
        <v>214</v>
      </c>
      <c r="D18" s="9"/>
      <c r="E18" s="9"/>
      <c r="F18" s="10"/>
      <c r="G18" s="58" t="s">
        <v>288</v>
      </c>
      <c r="H18" s="11"/>
    </row>
    <row r="19" spans="2:8" x14ac:dyDescent="0.2">
      <c r="B19" s="84" t="s">
        <v>342</v>
      </c>
      <c r="C19" s="85" t="s">
        <v>343</v>
      </c>
      <c r="D19" s="36"/>
      <c r="E19" s="69" t="s">
        <v>320</v>
      </c>
      <c r="F19" s="68" t="s">
        <v>319</v>
      </c>
      <c r="G19" s="9"/>
      <c r="H19" s="11"/>
    </row>
    <row r="20" spans="2:8" x14ac:dyDescent="0.2">
      <c r="B20" s="62" t="s">
        <v>292</v>
      </c>
      <c r="C20" s="58" t="s">
        <v>293</v>
      </c>
      <c r="D20" s="9"/>
      <c r="E20" s="58" t="s">
        <v>294</v>
      </c>
      <c r="F20" s="10"/>
      <c r="G20" s="58"/>
      <c r="H20" s="11"/>
    </row>
    <row r="21" spans="2:8" x14ac:dyDescent="0.2">
      <c r="B21" s="39" t="s">
        <v>215</v>
      </c>
      <c r="C21" s="38" t="s">
        <v>216</v>
      </c>
      <c r="D21" s="9"/>
      <c r="E21" s="9"/>
      <c r="F21" s="10"/>
      <c r="G21" s="58" t="s">
        <v>288</v>
      </c>
      <c r="H21" s="11"/>
    </row>
    <row r="22" spans="2:8" x14ac:dyDescent="0.2">
      <c r="B22" s="39" t="s">
        <v>212</v>
      </c>
      <c r="C22" s="38" t="s">
        <v>180</v>
      </c>
      <c r="D22" s="9"/>
      <c r="E22" s="9"/>
      <c r="F22" s="9"/>
      <c r="G22" s="38" t="s">
        <v>188</v>
      </c>
      <c r="H22" s="11"/>
    </row>
    <row r="23" spans="2:8" x14ac:dyDescent="0.2">
      <c r="B23" s="6"/>
      <c r="C23" s="7"/>
      <c r="D23" s="7" t="s">
        <v>56</v>
      </c>
      <c r="E23" s="7"/>
      <c r="F23" s="7"/>
      <c r="G23" s="7"/>
      <c r="H23" s="8"/>
    </row>
    <row r="24" spans="2:8" x14ac:dyDescent="0.2">
      <c r="B24" s="39" t="s">
        <v>208</v>
      </c>
      <c r="C24" s="38" t="s">
        <v>207</v>
      </c>
      <c r="D24" s="85" t="s">
        <v>358</v>
      </c>
      <c r="E24" s="85" t="s">
        <v>359</v>
      </c>
      <c r="F24" s="10">
        <v>1</v>
      </c>
      <c r="G24" s="9"/>
      <c r="H24" s="11"/>
    </row>
    <row r="25" spans="2:8" x14ac:dyDescent="0.2">
      <c r="B25" s="67" t="s">
        <v>321</v>
      </c>
      <c r="C25" s="69" t="s">
        <v>322</v>
      </c>
      <c r="D25" s="85" t="s">
        <v>399</v>
      </c>
      <c r="E25" s="85" t="s">
        <v>400</v>
      </c>
      <c r="F25" s="68"/>
      <c r="G25" s="9"/>
      <c r="H25" s="11"/>
    </row>
    <row r="26" spans="2:8" x14ac:dyDescent="0.2">
      <c r="B26" s="84" t="s">
        <v>355</v>
      </c>
      <c r="C26" s="85" t="s">
        <v>356</v>
      </c>
      <c r="D26" s="85" t="s">
        <v>64</v>
      </c>
      <c r="E26" s="85" t="s">
        <v>357</v>
      </c>
      <c r="F26" s="68"/>
      <c r="G26" s="9"/>
      <c r="H26" s="11"/>
    </row>
    <row r="27" spans="2:8" x14ac:dyDescent="0.2">
      <c r="B27" s="67" t="s">
        <v>323</v>
      </c>
      <c r="C27" s="69" t="s">
        <v>324</v>
      </c>
      <c r="D27" s="85" t="s">
        <v>399</v>
      </c>
      <c r="E27" s="69"/>
      <c r="F27" s="68"/>
      <c r="G27" s="9"/>
      <c r="H27" s="11"/>
    </row>
    <row r="28" spans="2:8" x14ac:dyDescent="0.2">
      <c r="B28" s="35" t="s">
        <v>168</v>
      </c>
      <c r="C28" s="36" t="s">
        <v>170</v>
      </c>
      <c r="D28" s="36" t="s">
        <v>64</v>
      </c>
      <c r="E28" s="36" t="s">
        <v>169</v>
      </c>
      <c r="F28" s="10">
        <v>1</v>
      </c>
      <c r="G28" s="9"/>
      <c r="H28" s="11"/>
    </row>
    <row r="29" spans="2:8" x14ac:dyDescent="0.2">
      <c r="B29" s="35" t="s">
        <v>175</v>
      </c>
      <c r="C29" s="36" t="s">
        <v>176</v>
      </c>
      <c r="D29" s="36" t="s">
        <v>64</v>
      </c>
      <c r="E29" s="36" t="s">
        <v>161</v>
      </c>
      <c r="F29" s="10">
        <v>1</v>
      </c>
      <c r="G29" s="9"/>
      <c r="H29" s="11"/>
    </row>
    <row r="30" spans="2:8" x14ac:dyDescent="0.2">
      <c r="B30" s="76" t="s">
        <v>330</v>
      </c>
      <c r="C30" s="38" t="s">
        <v>176</v>
      </c>
      <c r="D30" s="38" t="s">
        <v>64</v>
      </c>
      <c r="E30" s="38" t="s">
        <v>177</v>
      </c>
      <c r="F30" s="10">
        <v>1</v>
      </c>
      <c r="G30" s="9"/>
      <c r="H30" s="11"/>
    </row>
    <row r="31" spans="2:8" x14ac:dyDescent="0.2">
      <c r="B31" s="84" t="s">
        <v>386</v>
      </c>
      <c r="C31" s="38"/>
      <c r="D31" s="38"/>
      <c r="E31" s="85" t="s">
        <v>161</v>
      </c>
      <c r="F31" s="10"/>
      <c r="G31" s="9"/>
      <c r="H31" s="11"/>
    </row>
    <row r="32" spans="2:8" x14ac:dyDescent="0.2">
      <c r="B32" s="39" t="s">
        <v>181</v>
      </c>
      <c r="C32" s="38" t="s">
        <v>184</v>
      </c>
      <c r="D32" s="85" t="s">
        <v>64</v>
      </c>
      <c r="E32" s="38" t="s">
        <v>182</v>
      </c>
      <c r="F32" s="10">
        <v>1</v>
      </c>
      <c r="G32" s="9"/>
      <c r="H32" s="11"/>
    </row>
    <row r="33" spans="2:8" x14ac:dyDescent="0.2">
      <c r="B33" s="39" t="s">
        <v>193</v>
      </c>
      <c r="C33" s="38" t="s">
        <v>176</v>
      </c>
      <c r="D33" s="38" t="s">
        <v>64</v>
      </c>
      <c r="E33" s="38" t="s">
        <v>195</v>
      </c>
      <c r="F33" s="38" t="s">
        <v>194</v>
      </c>
      <c r="G33" s="9"/>
      <c r="H33" s="11"/>
    </row>
    <row r="34" spans="2:8" x14ac:dyDescent="0.2">
      <c r="B34" s="84" t="s">
        <v>401</v>
      </c>
      <c r="C34" s="85" t="s">
        <v>402</v>
      </c>
      <c r="D34" s="38" t="s">
        <v>64</v>
      </c>
      <c r="E34" s="38" t="s">
        <v>198</v>
      </c>
      <c r="F34" s="10">
        <v>1</v>
      </c>
      <c r="G34" s="9"/>
      <c r="H34" s="11"/>
    </row>
    <row r="35" spans="2:8" x14ac:dyDescent="0.2">
      <c r="B35" s="39" t="s">
        <v>228</v>
      </c>
      <c r="C35" s="38" t="s">
        <v>207</v>
      </c>
      <c r="D35" s="38" t="s">
        <v>183</v>
      </c>
      <c r="E35" s="38" t="s">
        <v>229</v>
      </c>
      <c r="F35" s="10">
        <v>1</v>
      </c>
      <c r="G35" s="9"/>
      <c r="H35" s="11"/>
    </row>
    <row r="36" spans="2:8" x14ac:dyDescent="0.2">
      <c r="B36" s="84" t="s">
        <v>387</v>
      </c>
      <c r="C36" s="85" t="s">
        <v>196</v>
      </c>
      <c r="D36" s="85" t="s">
        <v>183</v>
      </c>
      <c r="E36" s="85" t="s">
        <v>388</v>
      </c>
      <c r="F36" s="10"/>
      <c r="G36" s="9"/>
      <c r="H36" s="11"/>
    </row>
    <row r="37" spans="2:8" x14ac:dyDescent="0.2">
      <c r="B37" s="84" t="s">
        <v>389</v>
      </c>
      <c r="C37" s="85" t="s">
        <v>196</v>
      </c>
      <c r="D37" s="85" t="s">
        <v>64</v>
      </c>
      <c r="E37" s="85" t="s">
        <v>390</v>
      </c>
      <c r="F37" s="10"/>
      <c r="G37" s="9"/>
      <c r="H37" s="11"/>
    </row>
    <row r="38" spans="2:8" x14ac:dyDescent="0.2">
      <c r="B38" s="84" t="s">
        <v>368</v>
      </c>
      <c r="C38" s="85" t="s">
        <v>46</v>
      </c>
      <c r="D38" s="85" t="s">
        <v>64</v>
      </c>
      <c r="E38" s="85" t="s">
        <v>369</v>
      </c>
      <c r="F38" s="10"/>
      <c r="G38" s="9"/>
      <c r="H38" s="11"/>
    </row>
    <row r="39" spans="2:8" x14ac:dyDescent="0.2">
      <c r="B39" s="84" t="s">
        <v>370</v>
      </c>
      <c r="C39" s="85" t="s">
        <v>46</v>
      </c>
      <c r="D39" s="85" t="s">
        <v>64</v>
      </c>
      <c r="E39" s="85" t="s">
        <v>371</v>
      </c>
      <c r="F39" s="10"/>
      <c r="G39" s="9"/>
      <c r="H39" s="11"/>
    </row>
    <row r="40" spans="2:8" x14ac:dyDescent="0.2">
      <c r="B40" s="84" t="s">
        <v>372</v>
      </c>
      <c r="C40" s="85" t="s">
        <v>373</v>
      </c>
      <c r="D40" s="85" t="s">
        <v>183</v>
      </c>
      <c r="E40" s="85" t="s">
        <v>374</v>
      </c>
      <c r="F40" s="89" t="s">
        <v>375</v>
      </c>
      <c r="G40" s="9"/>
      <c r="H40" s="11"/>
    </row>
    <row r="41" spans="2:8" x14ac:dyDescent="0.2">
      <c r="B41" s="84" t="s">
        <v>380</v>
      </c>
      <c r="C41" s="85" t="s">
        <v>46</v>
      </c>
      <c r="D41" s="85" t="s">
        <v>64</v>
      </c>
      <c r="E41" s="85" t="s">
        <v>381</v>
      </c>
      <c r="F41" s="89" t="s">
        <v>382</v>
      </c>
      <c r="G41" s="9"/>
      <c r="H41" s="11"/>
    </row>
    <row r="42" spans="2:8" x14ac:dyDescent="0.2">
      <c r="B42" s="84" t="s">
        <v>383</v>
      </c>
      <c r="C42" s="85" t="s">
        <v>384</v>
      </c>
      <c r="D42" s="85" t="s">
        <v>64</v>
      </c>
      <c r="E42" s="85" t="s">
        <v>385</v>
      </c>
      <c r="F42" s="89"/>
      <c r="G42" s="9"/>
      <c r="H42" s="11"/>
    </row>
    <row r="43" spans="2:8" x14ac:dyDescent="0.2">
      <c r="B43" s="84" t="s">
        <v>376</v>
      </c>
      <c r="C43" s="85" t="s">
        <v>377</v>
      </c>
      <c r="D43" s="85" t="s">
        <v>64</v>
      </c>
      <c r="E43" s="85" t="s">
        <v>378</v>
      </c>
      <c r="F43" s="89" t="s">
        <v>379</v>
      </c>
      <c r="G43" s="9"/>
      <c r="H43" s="11"/>
    </row>
    <row r="44" spans="2:8" x14ac:dyDescent="0.2">
      <c r="B44" s="84" t="s">
        <v>363</v>
      </c>
      <c r="C44" s="85" t="s">
        <v>176</v>
      </c>
      <c r="D44" s="9"/>
      <c r="E44" s="9"/>
      <c r="F44" s="9"/>
      <c r="G44" s="9"/>
      <c r="H44" s="11"/>
    </row>
    <row r="45" spans="2:8" x14ac:dyDescent="0.2">
      <c r="B45" s="84" t="s">
        <v>364</v>
      </c>
      <c r="C45" s="85" t="s">
        <v>367</v>
      </c>
      <c r="D45" s="85" t="s">
        <v>64</v>
      </c>
      <c r="E45" s="85" t="s">
        <v>365</v>
      </c>
      <c r="F45" s="85" t="s">
        <v>366</v>
      </c>
      <c r="G45" s="9"/>
      <c r="H45" s="11"/>
    </row>
    <row r="46" spans="2:8" x14ac:dyDescent="0.2">
      <c r="B46" s="84" t="s">
        <v>361</v>
      </c>
      <c r="C46" s="85" t="s">
        <v>362</v>
      </c>
      <c r="D46" s="9"/>
      <c r="E46" s="9"/>
      <c r="F46" s="9"/>
      <c r="G46" s="9"/>
      <c r="H46" s="11"/>
    </row>
    <row r="47" spans="2:8" x14ac:dyDescent="0.2">
      <c r="B47" s="4" t="s">
        <v>40</v>
      </c>
      <c r="C47" s="9" t="s">
        <v>41</v>
      </c>
      <c r="D47" s="9"/>
      <c r="E47" s="9"/>
      <c r="F47" s="9"/>
      <c r="G47" s="9"/>
      <c r="H47" s="11"/>
    </row>
    <row r="48" spans="2:8" x14ac:dyDescent="0.2">
      <c r="B48" s="62" t="s">
        <v>289</v>
      </c>
      <c r="C48" s="58" t="s">
        <v>290</v>
      </c>
      <c r="D48" s="58" t="s">
        <v>183</v>
      </c>
      <c r="E48" s="58" t="s">
        <v>291</v>
      </c>
      <c r="F48" s="10">
        <v>1</v>
      </c>
      <c r="G48" s="9"/>
      <c r="H48" s="11"/>
    </row>
    <row r="49" spans="2:8" x14ac:dyDescent="0.2">
      <c r="B49" s="4" t="s">
        <v>42</v>
      </c>
      <c r="C49" s="9" t="s">
        <v>65</v>
      </c>
      <c r="D49" s="9" t="s">
        <v>64</v>
      </c>
      <c r="E49" s="9" t="s">
        <v>43</v>
      </c>
      <c r="F49" s="10">
        <v>1</v>
      </c>
      <c r="G49" s="9"/>
      <c r="H49" s="11"/>
    </row>
    <row r="50" spans="2:8" x14ac:dyDescent="0.2">
      <c r="B50" s="84" t="s">
        <v>394</v>
      </c>
      <c r="C50" s="85" t="s">
        <v>196</v>
      </c>
      <c r="D50" s="85" t="s">
        <v>183</v>
      </c>
      <c r="E50" s="85" t="s">
        <v>395</v>
      </c>
      <c r="F50" s="9"/>
      <c r="G50" s="9"/>
      <c r="H50" s="11"/>
    </row>
    <row r="51" spans="2:8" x14ac:dyDescent="0.2">
      <c r="B51" s="84" t="s">
        <v>396</v>
      </c>
      <c r="C51" s="85" t="s">
        <v>397</v>
      </c>
      <c r="D51" s="85" t="s">
        <v>183</v>
      </c>
      <c r="E51" s="85" t="s">
        <v>398</v>
      </c>
      <c r="F51" s="9"/>
      <c r="G51" s="9"/>
      <c r="H51" s="11"/>
    </row>
    <row r="52" spans="2:8" x14ac:dyDescent="0.2">
      <c r="B52" s="84" t="s">
        <v>391</v>
      </c>
      <c r="C52" s="85" t="s">
        <v>196</v>
      </c>
      <c r="D52" s="9"/>
      <c r="E52" s="85" t="s">
        <v>392</v>
      </c>
      <c r="F52" s="85" t="s">
        <v>393</v>
      </c>
      <c r="G52" s="9"/>
      <c r="H52" s="11"/>
    </row>
    <row r="53" spans="2:8" x14ac:dyDescent="0.2">
      <c r="B53" s="4" t="s">
        <v>44</v>
      </c>
      <c r="C53" s="9" t="s">
        <v>45</v>
      </c>
      <c r="D53" s="9"/>
      <c r="E53" s="9"/>
      <c r="F53" s="9"/>
      <c r="G53" s="9"/>
      <c r="H53" s="11"/>
    </row>
    <row r="54" spans="2:8" x14ac:dyDescent="0.2">
      <c r="B54" s="5" t="s">
        <v>47</v>
      </c>
      <c r="C54" s="12"/>
      <c r="D54" s="12"/>
      <c r="E54" s="12"/>
      <c r="F54" s="12"/>
      <c r="G54" s="12"/>
      <c r="H54" s="13"/>
    </row>
    <row r="56" spans="2:8" x14ac:dyDescent="0.2">
      <c r="E56" s="86" t="s">
        <v>350</v>
      </c>
    </row>
    <row r="57" spans="2:8" x14ac:dyDescent="0.2">
      <c r="E57" s="86" t="s">
        <v>353</v>
      </c>
    </row>
    <row r="58" spans="2:8" x14ac:dyDescent="0.2">
      <c r="E58" s="86" t="s">
        <v>354</v>
      </c>
    </row>
    <row r="59" spans="2:8" x14ac:dyDescent="0.2">
      <c r="E59" s="56" t="s">
        <v>256</v>
      </c>
    </row>
    <row r="61" spans="2:8" x14ac:dyDescent="0.2">
      <c r="E61" s="87" t="s">
        <v>70</v>
      </c>
    </row>
    <row r="62" spans="2:8" x14ac:dyDescent="0.2">
      <c r="E62" s="86" t="s">
        <v>360</v>
      </c>
    </row>
    <row r="63" spans="2:8" x14ac:dyDescent="0.2">
      <c r="E63" s="86" t="s">
        <v>403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V113"/>
  <sheetViews>
    <sheetView zoomScale="190" zoomScaleNormal="190" workbookViewId="0">
      <pane xSplit="2" ySplit="2" topLeftCell="AV65" activePane="bottomRight" state="frozen"/>
      <selection pane="topRight" activeCell="C1" sqref="C1"/>
      <selection pane="bottomLeft" activeCell="A3" sqref="A3"/>
      <selection pane="bottomRight" activeCell="AY73" sqref="AY73"/>
    </sheetView>
  </sheetViews>
  <sheetFormatPr defaultRowHeight="12.75" x14ac:dyDescent="0.2"/>
  <cols>
    <col min="1" max="1" width="5" style="1" bestFit="1" customWidth="1"/>
    <col min="2" max="2" width="19.5703125" style="1" customWidth="1"/>
    <col min="3" max="76" width="9.140625" style="2"/>
    <col min="77" max="79" width="9.140625" style="1"/>
    <col min="80" max="80" width="12.28515625" style="1" bestFit="1" customWidth="1"/>
    <col min="81" max="16384" width="9.140625" style="1"/>
  </cols>
  <sheetData>
    <row r="1" spans="1:77" ht="15" x14ac:dyDescent="0.25">
      <c r="A1" s="57" t="s">
        <v>74</v>
      </c>
    </row>
    <row r="2" spans="1:77" x14ac:dyDescent="0.2">
      <c r="C2" s="2" t="s">
        <v>59</v>
      </c>
      <c r="D2" s="2" t="s">
        <v>60</v>
      </c>
      <c r="E2" s="2" t="s">
        <v>61</v>
      </c>
      <c r="F2" s="2" t="s">
        <v>62</v>
      </c>
      <c r="G2" s="2" t="s">
        <v>1</v>
      </c>
      <c r="H2" s="2" t="s">
        <v>58</v>
      </c>
      <c r="I2" s="2" t="s">
        <v>57</v>
      </c>
      <c r="J2" s="2" t="s">
        <v>78</v>
      </c>
      <c r="K2" s="2" t="s">
        <v>79</v>
      </c>
      <c r="L2" s="2" t="s">
        <v>71</v>
      </c>
      <c r="M2" s="2" t="s">
        <v>80</v>
      </c>
      <c r="N2" s="2" t="s">
        <v>81</v>
      </c>
      <c r="O2" s="2" t="s">
        <v>82</v>
      </c>
      <c r="P2" s="2" t="s">
        <v>83</v>
      </c>
      <c r="Q2" s="2" t="s">
        <v>84</v>
      </c>
      <c r="R2" s="2" t="s">
        <v>85</v>
      </c>
      <c r="S2" s="22" t="s">
        <v>86</v>
      </c>
      <c r="T2" s="22" t="s">
        <v>87</v>
      </c>
      <c r="U2" s="22" t="s">
        <v>88</v>
      </c>
      <c r="V2" s="22" t="s">
        <v>89</v>
      </c>
      <c r="W2" s="22" t="s">
        <v>90</v>
      </c>
      <c r="X2" s="22" t="s">
        <v>91</v>
      </c>
      <c r="Y2" s="22" t="s">
        <v>92</v>
      </c>
      <c r="Z2" s="22" t="s">
        <v>93</v>
      </c>
      <c r="AA2" s="22" t="s">
        <v>94</v>
      </c>
      <c r="AB2" s="22" t="s">
        <v>95</v>
      </c>
      <c r="AC2" s="22" t="s">
        <v>96</v>
      </c>
      <c r="AD2" s="22" t="s">
        <v>97</v>
      </c>
      <c r="AE2" s="22" t="s">
        <v>98</v>
      </c>
      <c r="AF2" s="22" t="s">
        <v>99</v>
      </c>
      <c r="AG2" s="22" t="s">
        <v>100</v>
      </c>
      <c r="AH2" s="22" t="s">
        <v>101</v>
      </c>
      <c r="AI2" s="22" t="s">
        <v>102</v>
      </c>
      <c r="AJ2" s="22" t="s">
        <v>103</v>
      </c>
      <c r="AK2" s="22" t="s">
        <v>104</v>
      </c>
      <c r="AL2" s="22" t="s">
        <v>105</v>
      </c>
      <c r="AM2" s="22" t="s">
        <v>106</v>
      </c>
      <c r="AN2" s="22" t="s">
        <v>107</v>
      </c>
      <c r="AO2" s="22" t="s">
        <v>108</v>
      </c>
      <c r="AP2" s="22" t="s">
        <v>109</v>
      </c>
      <c r="AQ2" s="22" t="s">
        <v>110</v>
      </c>
      <c r="AR2" s="22" t="s">
        <v>111</v>
      </c>
      <c r="AS2" s="22" t="s">
        <v>112</v>
      </c>
      <c r="AT2" s="22" t="s">
        <v>113</v>
      </c>
      <c r="AU2" s="44" t="s">
        <v>239</v>
      </c>
      <c r="AV2" s="44" t="s">
        <v>240</v>
      </c>
      <c r="AW2" s="44" t="s">
        <v>241</v>
      </c>
      <c r="AX2" s="44" t="s">
        <v>242</v>
      </c>
      <c r="AY2" s="79" t="s">
        <v>331</v>
      </c>
      <c r="AZ2" s="79" t="s">
        <v>332</v>
      </c>
      <c r="BA2" s="79" t="s">
        <v>334</v>
      </c>
      <c r="BB2" s="79" t="s">
        <v>333</v>
      </c>
      <c r="BC2" s="44"/>
      <c r="BD2" s="44"/>
      <c r="BE2" s="44"/>
      <c r="BF2" s="2">
        <v>2011</v>
      </c>
      <c r="BG2" s="2">
        <v>2012</v>
      </c>
      <c r="BH2" s="2">
        <v>2013</v>
      </c>
      <c r="BI2" s="2">
        <f>+BH2+1</f>
        <v>2014</v>
      </c>
      <c r="BJ2" s="2">
        <f t="shared" ref="BJ2:BX2" si="0">+BI2+1</f>
        <v>2015</v>
      </c>
      <c r="BK2" s="2">
        <f t="shared" si="0"/>
        <v>2016</v>
      </c>
      <c r="BL2" s="2">
        <f t="shared" si="0"/>
        <v>2017</v>
      </c>
      <c r="BM2" s="2">
        <f t="shared" si="0"/>
        <v>2018</v>
      </c>
      <c r="BN2" s="2">
        <f t="shared" si="0"/>
        <v>2019</v>
      </c>
      <c r="BO2" s="2">
        <f t="shared" si="0"/>
        <v>2020</v>
      </c>
      <c r="BP2" s="2">
        <f t="shared" si="0"/>
        <v>2021</v>
      </c>
      <c r="BQ2" s="2">
        <f t="shared" si="0"/>
        <v>2022</v>
      </c>
      <c r="BR2" s="2">
        <f t="shared" si="0"/>
        <v>2023</v>
      </c>
      <c r="BS2" s="2">
        <f t="shared" si="0"/>
        <v>2024</v>
      </c>
      <c r="BT2" s="2">
        <f t="shared" si="0"/>
        <v>2025</v>
      </c>
      <c r="BU2" s="2">
        <f t="shared" si="0"/>
        <v>2026</v>
      </c>
      <c r="BV2" s="2">
        <f t="shared" si="0"/>
        <v>2027</v>
      </c>
      <c r="BW2" s="2">
        <f t="shared" si="0"/>
        <v>2028</v>
      </c>
      <c r="BX2" s="2">
        <f t="shared" si="0"/>
        <v>2029</v>
      </c>
      <c r="BY2" s="1">
        <f>+BX2+1</f>
        <v>2030</v>
      </c>
    </row>
    <row r="3" spans="1:77" x14ac:dyDescent="0.2">
      <c r="B3" s="55" t="s">
        <v>254</v>
      </c>
      <c r="S3" s="22"/>
      <c r="T3" s="22"/>
      <c r="U3" s="22"/>
      <c r="V3" s="22"/>
      <c r="W3" s="22"/>
      <c r="X3" s="22"/>
      <c r="Y3" s="72"/>
      <c r="Z3" s="72"/>
      <c r="AA3" s="72">
        <f t="shared" ref="AA3:AF3" si="1">+AA5+AA8+AA12</f>
        <v>4709</v>
      </c>
      <c r="AB3" s="72">
        <f t="shared" si="1"/>
        <v>5185</v>
      </c>
      <c r="AC3" s="72">
        <f t="shared" si="1"/>
        <v>5124</v>
      </c>
      <c r="AD3" s="72">
        <f t="shared" si="1"/>
        <v>4918</v>
      </c>
      <c r="AE3" s="72">
        <f t="shared" si="1"/>
        <v>4446</v>
      </c>
      <c r="AF3" s="72">
        <f t="shared" si="1"/>
        <v>4918</v>
      </c>
      <c r="AG3" s="72">
        <f t="shared" ref="AG3:AL3" si="2">+AG5+AG8+AG12</f>
        <v>5041</v>
      </c>
      <c r="AH3" s="72">
        <f t="shared" si="2"/>
        <v>5166</v>
      </c>
      <c r="AI3" s="72">
        <f t="shared" si="2"/>
        <v>5089</v>
      </c>
      <c r="AJ3" s="72">
        <f t="shared" si="2"/>
        <v>5316</v>
      </c>
      <c r="AK3" s="72">
        <f t="shared" si="2"/>
        <v>5790</v>
      </c>
      <c r="AL3" s="72">
        <f t="shared" si="2"/>
        <v>5958</v>
      </c>
      <c r="AM3" s="72">
        <f t="shared" ref="AM3:AS3" si="3">+AM5+AM8+AM12</f>
        <v>5744</v>
      </c>
      <c r="AN3" s="72">
        <f t="shared" si="3"/>
        <v>6120</v>
      </c>
      <c r="AO3" s="72">
        <f t="shared" si="3"/>
        <v>6674</v>
      </c>
      <c r="AP3" s="72">
        <f t="shared" si="3"/>
        <v>6746</v>
      </c>
      <c r="AQ3" s="72">
        <f t="shared" si="3"/>
        <v>6141</v>
      </c>
      <c r="AR3" s="72">
        <f t="shared" si="3"/>
        <v>7207</v>
      </c>
      <c r="AS3" s="72">
        <f t="shared" si="3"/>
        <v>7651</v>
      </c>
      <c r="AT3" s="72">
        <f t="shared" ref="AT3:BB3" si="4">+AT5+AT8+AT12</f>
        <v>7925</v>
      </c>
      <c r="AU3" s="72">
        <f t="shared" si="4"/>
        <v>5587</v>
      </c>
      <c r="AV3" s="72">
        <f t="shared" si="4"/>
        <v>6813</v>
      </c>
      <c r="AW3" s="72">
        <f t="shared" si="4"/>
        <v>6783</v>
      </c>
      <c r="AX3" s="72">
        <f t="shared" si="4"/>
        <v>6953</v>
      </c>
      <c r="AY3" s="72">
        <f t="shared" si="4"/>
        <v>5371</v>
      </c>
      <c r="AZ3" s="72">
        <f t="shared" si="4"/>
        <v>5555.5</v>
      </c>
      <c r="BA3" s="72">
        <f t="shared" si="4"/>
        <v>6117.7</v>
      </c>
      <c r="BB3" s="72">
        <f t="shared" si="4"/>
        <v>6361.2</v>
      </c>
      <c r="BC3" s="72"/>
      <c r="BD3" s="44"/>
      <c r="BE3" s="44"/>
      <c r="BM3" s="16">
        <f>+BM5+BM8+BM12</f>
        <v>19936</v>
      </c>
      <c r="BN3" s="16">
        <f>+BN5+BN8+BN12</f>
        <v>19571</v>
      </c>
      <c r="BO3" s="16">
        <f>+BO5+BO8+BO12</f>
        <v>22153</v>
      </c>
      <c r="BP3" s="16">
        <f t="shared" ref="BP3:BY3" si="5">+BP5+BP8+BP12</f>
        <v>25284</v>
      </c>
      <c r="BQ3" s="16">
        <f t="shared" si="5"/>
        <v>28924</v>
      </c>
      <c r="BR3" s="16">
        <f t="shared" si="5"/>
        <v>26136</v>
      </c>
      <c r="BS3" s="16">
        <f t="shared" si="5"/>
        <v>23405.4</v>
      </c>
      <c r="BT3" s="16">
        <f t="shared" si="5"/>
        <v>25713.578000000001</v>
      </c>
      <c r="BU3" s="16">
        <f t="shared" si="5"/>
        <v>24748.959140000003</v>
      </c>
      <c r="BV3" s="16">
        <f t="shared" si="5"/>
        <v>24102.606954200004</v>
      </c>
      <c r="BW3" s="16">
        <f t="shared" si="5"/>
        <v>22265.423914826002</v>
      </c>
      <c r="BX3" s="16">
        <f t="shared" si="5"/>
        <v>21653.256008270782</v>
      </c>
      <c r="BY3" s="16">
        <f t="shared" si="5"/>
        <v>16237.017059639278</v>
      </c>
    </row>
    <row r="4" spans="1:77" x14ac:dyDescent="0.2"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</row>
    <row r="5" spans="1:77" s="15" customFormat="1" x14ac:dyDescent="0.2">
      <c r="B5" s="15" t="s">
        <v>0</v>
      </c>
      <c r="C5" s="16"/>
      <c r="D5" s="16"/>
      <c r="E5" s="16">
        <v>2326</v>
      </c>
      <c r="F5" s="16"/>
      <c r="G5" s="16">
        <v>2244</v>
      </c>
      <c r="H5" s="16"/>
      <c r="I5" s="16">
        <v>2770</v>
      </c>
      <c r="J5" s="16"/>
      <c r="K5" s="16"/>
      <c r="L5" s="16">
        <v>3288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>
        <v>4709</v>
      </c>
      <c r="AB5" s="16">
        <v>5185</v>
      </c>
      <c r="AC5" s="16">
        <v>5124</v>
      </c>
      <c r="AD5" s="16">
        <v>4918</v>
      </c>
      <c r="AE5" s="16">
        <v>4446</v>
      </c>
      <c r="AF5" s="16">
        <v>4870</v>
      </c>
      <c r="AG5" s="16">
        <v>4936</v>
      </c>
      <c r="AH5" s="16">
        <v>4917</v>
      </c>
      <c r="AI5" s="16">
        <v>4703</v>
      </c>
      <c r="AJ5" s="16">
        <v>4837</v>
      </c>
      <c r="AK5" s="16">
        <v>5140</v>
      </c>
      <c r="AL5" s="16">
        <v>5152</v>
      </c>
      <c r="AM5" s="16">
        <v>4867</v>
      </c>
      <c r="AN5" s="16">
        <v>5068</v>
      </c>
      <c r="AO5" s="16">
        <v>5425</v>
      </c>
      <c r="AP5" s="16">
        <v>5334</v>
      </c>
      <c r="AQ5" s="16">
        <v>4736</v>
      </c>
      <c r="AR5" s="16">
        <v>5363</v>
      </c>
      <c r="AS5" s="16">
        <v>5559</v>
      </c>
      <c r="AT5" s="16">
        <v>5579</v>
      </c>
      <c r="AU5" s="16">
        <v>3541</v>
      </c>
      <c r="AV5" s="16">
        <v>4012</v>
      </c>
      <c r="AW5" s="16">
        <v>3547</v>
      </c>
      <c r="AX5" s="16">
        <v>3304</v>
      </c>
      <c r="AY5" s="16">
        <v>2270</v>
      </c>
      <c r="AZ5" s="16">
        <f>+AV5*0.5</f>
        <v>2006</v>
      </c>
      <c r="BA5" s="16">
        <f>+AW5*0.6</f>
        <v>2128.1999999999998</v>
      </c>
      <c r="BB5" s="16">
        <f>+AX5*0.6</f>
        <v>1982.3999999999999</v>
      </c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>
        <f>SUM(AA5:AD5)</f>
        <v>19936</v>
      </c>
      <c r="BN5" s="16">
        <f>SUM(AE5:AH5)</f>
        <v>19169</v>
      </c>
      <c r="BO5" s="16">
        <f>SUM(AI5:AL5)</f>
        <v>19832</v>
      </c>
      <c r="BP5" s="16">
        <f>SUM(AM5:AP5)</f>
        <v>20694</v>
      </c>
      <c r="BQ5" s="16">
        <f>SUM(AQ5:AT5)</f>
        <v>21237</v>
      </c>
      <c r="BR5" s="16">
        <f>SUM(AU5:AX5)</f>
        <v>14404</v>
      </c>
      <c r="BS5" s="16">
        <f>SUM(AY5:BB5)</f>
        <v>8386.6</v>
      </c>
      <c r="BT5" s="16">
        <f>+BS5*0.9</f>
        <v>7547.9400000000005</v>
      </c>
      <c r="BU5" s="16">
        <f>+BT5*0.8</f>
        <v>6038.3520000000008</v>
      </c>
      <c r="BV5" s="16">
        <f>+BU5*0.8</f>
        <v>4830.6816000000008</v>
      </c>
      <c r="BW5" s="16">
        <f t="shared" ref="BW5:BY5" si="6">+BV5*0.5</f>
        <v>2415.3408000000004</v>
      </c>
      <c r="BX5" s="16">
        <f t="shared" si="6"/>
        <v>1207.6704000000002</v>
      </c>
      <c r="BY5" s="16">
        <f t="shared" si="6"/>
        <v>603.8352000000001</v>
      </c>
    </row>
    <row r="6" spans="1:77" s="15" customFormat="1" x14ac:dyDescent="0.2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47" t="s">
        <v>234</v>
      </c>
      <c r="AK6" s="42" t="s">
        <v>201</v>
      </c>
      <c r="AL6" s="28" t="s">
        <v>159</v>
      </c>
      <c r="AM6" s="28" t="s">
        <v>154</v>
      </c>
      <c r="AN6" s="28" t="s">
        <v>153</v>
      </c>
      <c r="AO6" s="28" t="s">
        <v>152</v>
      </c>
      <c r="AP6" s="28" t="s">
        <v>151</v>
      </c>
      <c r="AQ6" s="24" t="s">
        <v>122</v>
      </c>
      <c r="AR6" s="42" t="s">
        <v>202</v>
      </c>
      <c r="AS6" s="52" t="s">
        <v>252</v>
      </c>
      <c r="AT6" s="73" t="s">
        <v>327</v>
      </c>
      <c r="AU6" s="74" t="s">
        <v>328</v>
      </c>
      <c r="AV6" s="83" t="s">
        <v>339</v>
      </c>
      <c r="AW6" s="83" t="s">
        <v>338</v>
      </c>
      <c r="AX6" s="83" t="s">
        <v>345</v>
      </c>
      <c r="AY6" s="81" t="s">
        <v>337</v>
      </c>
      <c r="AZ6" s="83" t="s">
        <v>346</v>
      </c>
      <c r="BA6" s="83" t="s">
        <v>347</v>
      </c>
      <c r="BB6" s="83" t="s">
        <v>348</v>
      </c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>
        <f t="shared" ref="BM6:BM49" si="7">SUM(AA6:AD6)</f>
        <v>0</v>
      </c>
      <c r="BN6" s="16">
        <f t="shared" ref="BN6:BN43" si="8">SUM(AE6:AH6)</f>
        <v>0</v>
      </c>
      <c r="BO6" s="47" t="s">
        <v>243</v>
      </c>
      <c r="BP6" s="47" t="s">
        <v>244</v>
      </c>
      <c r="BQ6" s="47" t="s">
        <v>245</v>
      </c>
      <c r="BR6" s="83" t="s">
        <v>349</v>
      </c>
      <c r="BS6" s="16"/>
      <c r="BT6" s="16"/>
      <c r="BU6" s="16"/>
      <c r="BV6" s="16"/>
      <c r="BW6" s="16"/>
      <c r="BX6" s="16"/>
    </row>
    <row r="7" spans="1:77" s="15" customFormat="1" x14ac:dyDescent="0.2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>
        <v>762</v>
      </c>
      <c r="AB7" s="16">
        <v>850</v>
      </c>
      <c r="AC7" s="16">
        <v>972</v>
      </c>
      <c r="AD7" s="16">
        <v>1006</v>
      </c>
      <c r="AE7" s="16">
        <v>1022</v>
      </c>
      <c r="AF7" s="16">
        <v>1099</v>
      </c>
      <c r="AG7" s="16">
        <v>1257</v>
      </c>
      <c r="AH7" s="16">
        <v>1296</v>
      </c>
      <c r="AI7" s="16">
        <v>1232</v>
      </c>
      <c r="AJ7" s="16">
        <v>1288</v>
      </c>
      <c r="AK7" s="16">
        <v>1370</v>
      </c>
      <c r="AL7" s="16">
        <v>1424</v>
      </c>
      <c r="AM7" s="16">
        <v>1268</v>
      </c>
      <c r="AN7" s="16">
        <v>1381</v>
      </c>
      <c r="AO7" s="16">
        <v>1374</v>
      </c>
      <c r="AP7" s="16">
        <v>1385</v>
      </c>
      <c r="AQ7" s="16">
        <v>1173</v>
      </c>
      <c r="AR7" s="16">
        <v>1145</v>
      </c>
      <c r="AS7" s="16">
        <v>1135</v>
      </c>
      <c r="AT7" s="16">
        <v>1115</v>
      </c>
      <c r="AU7" s="16">
        <v>878</v>
      </c>
      <c r="AV7" s="16">
        <v>907</v>
      </c>
      <c r="AW7" s="16">
        <v>908</v>
      </c>
      <c r="AX7" s="16">
        <v>903</v>
      </c>
      <c r="AY7" s="16">
        <v>838</v>
      </c>
      <c r="AZ7" s="16">
        <f>+AV7*0.95</f>
        <v>861.65</v>
      </c>
      <c r="BA7" s="16">
        <f>+AW7*0.95</f>
        <v>862.59999999999991</v>
      </c>
      <c r="BB7" s="16">
        <f>+AX7*0.95</f>
        <v>857.84999999999991</v>
      </c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>
        <f t="shared" si="7"/>
        <v>3590</v>
      </c>
      <c r="BN7" s="16">
        <f t="shared" si="8"/>
        <v>4674</v>
      </c>
      <c r="BO7" s="16">
        <f t="shared" ref="BO7:BO43" si="9">SUM(AI7:AL7)</f>
        <v>5314</v>
      </c>
      <c r="BP7" s="16">
        <f t="shared" ref="BP7:BP44" si="10">SUM(AM7:AP7)</f>
        <v>5408</v>
      </c>
      <c r="BQ7" s="16">
        <f t="shared" ref="BQ7:BQ44" si="11">SUM(AQ7:AT7)</f>
        <v>4568</v>
      </c>
      <c r="BR7" s="16">
        <f>SUM(AU7:AX7)</f>
        <v>3596</v>
      </c>
      <c r="BS7" s="16">
        <f>SUM(AY7:BB7)</f>
        <v>3420.1</v>
      </c>
      <c r="BT7" s="16">
        <f t="shared" ref="BS7:BY7" si="12">+BS7*0.9</f>
        <v>3078.09</v>
      </c>
      <c r="BU7" s="16">
        <f t="shared" si="12"/>
        <v>2770.2810000000004</v>
      </c>
      <c r="BV7" s="16">
        <f t="shared" si="12"/>
        <v>2493.2529000000004</v>
      </c>
      <c r="BW7" s="16">
        <f t="shared" si="12"/>
        <v>2243.9276100000006</v>
      </c>
      <c r="BX7" s="16">
        <f t="shared" si="12"/>
        <v>2019.5348490000006</v>
      </c>
      <c r="BY7" s="16">
        <f t="shared" si="12"/>
        <v>1817.5813641000007</v>
      </c>
    </row>
    <row r="8" spans="1:77" s="15" customFormat="1" x14ac:dyDescent="0.2">
      <c r="B8" s="23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48</v>
      </c>
      <c r="AG8" s="16">
        <v>91</v>
      </c>
      <c r="AH8" s="16">
        <v>216</v>
      </c>
      <c r="AI8" s="16">
        <v>300</v>
      </c>
      <c r="AJ8" s="16">
        <v>330</v>
      </c>
      <c r="AK8" s="16">
        <v>435</v>
      </c>
      <c r="AL8" s="16">
        <v>525</v>
      </c>
      <c r="AM8" s="16">
        <v>574</v>
      </c>
      <c r="AN8" s="16">
        <v>674</v>
      </c>
      <c r="AO8" s="16">
        <v>796</v>
      </c>
      <c r="AP8" s="16">
        <v>895</v>
      </c>
      <c r="AQ8" s="16">
        <v>940</v>
      </c>
      <c r="AR8" s="16">
        <v>1252</v>
      </c>
      <c r="AS8" s="16">
        <v>1397</v>
      </c>
      <c r="AT8" s="16">
        <v>1576</v>
      </c>
      <c r="AU8" s="16">
        <v>1360</v>
      </c>
      <c r="AV8" s="16">
        <v>1883</v>
      </c>
      <c r="AW8" s="16">
        <v>2126</v>
      </c>
      <c r="AX8" s="16">
        <v>2394</v>
      </c>
      <c r="AY8" s="16">
        <v>2008</v>
      </c>
      <c r="AZ8" s="16">
        <f>+AV8*1.3</f>
        <v>2447.9</v>
      </c>
      <c r="BA8" s="16">
        <f>+AW8*1.25</f>
        <v>2657.5</v>
      </c>
      <c r="BB8" s="16">
        <f>+AX8*1.2</f>
        <v>2872.7999999999997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>
        <f t="shared" si="7"/>
        <v>0</v>
      </c>
      <c r="BN8" s="16">
        <f t="shared" si="8"/>
        <v>355</v>
      </c>
      <c r="BO8" s="16">
        <f t="shared" si="9"/>
        <v>1590</v>
      </c>
      <c r="BP8" s="16">
        <f t="shared" si="10"/>
        <v>2939</v>
      </c>
      <c r="BQ8" s="16">
        <f t="shared" si="11"/>
        <v>5165</v>
      </c>
      <c r="BR8" s="16">
        <f>SUM(AU8:AX8)</f>
        <v>7763</v>
      </c>
      <c r="BS8" s="16">
        <f>SUM(AY8:BB8)</f>
        <v>9986.1999999999989</v>
      </c>
      <c r="BT8" s="16">
        <f>+BS8*1.3</f>
        <v>12982.06</v>
      </c>
      <c r="BU8" s="16">
        <f>+BT8*1.03</f>
        <v>13371.5218</v>
      </c>
      <c r="BV8" s="16">
        <f t="shared" ref="BV8:BY8" si="13">+BU8*1.03</f>
        <v>13772.667454</v>
      </c>
      <c r="BW8" s="16">
        <f t="shared" si="13"/>
        <v>14185.84747762</v>
      </c>
      <c r="BX8" s="16">
        <f t="shared" si="13"/>
        <v>14611.422901948601</v>
      </c>
      <c r="BY8" s="16">
        <f t="shared" si="13"/>
        <v>15049.76558900706</v>
      </c>
    </row>
    <row r="9" spans="1:77" s="15" customFormat="1" x14ac:dyDescent="0.2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226</v>
      </c>
      <c r="AK9" s="16">
        <v>393</v>
      </c>
      <c r="AL9" s="16">
        <v>493</v>
      </c>
      <c r="AM9" s="16">
        <v>477</v>
      </c>
      <c r="AN9" s="16">
        <v>584</v>
      </c>
      <c r="AO9" s="16">
        <v>545</v>
      </c>
      <c r="AP9" s="16">
        <v>626</v>
      </c>
      <c r="AQ9" s="16">
        <v>641</v>
      </c>
      <c r="AR9" s="16">
        <v>695</v>
      </c>
      <c r="AS9" s="16">
        <v>637</v>
      </c>
      <c r="AT9" s="16">
        <v>642</v>
      </c>
      <c r="AU9" s="16">
        <v>659</v>
      </c>
      <c r="AV9" s="16">
        <v>685</v>
      </c>
      <c r="AW9" s="16">
        <v>620</v>
      </c>
      <c r="AX9" s="16">
        <f>2682-AW9-AV9-AU9</f>
        <v>718</v>
      </c>
      <c r="AY9" s="16">
        <v>633</v>
      </c>
      <c r="AZ9" s="16">
        <f>+AV9*0.97</f>
        <v>664.44999999999993</v>
      </c>
      <c r="BA9" s="16">
        <f>+AW9*0.97</f>
        <v>601.4</v>
      </c>
      <c r="BB9" s="16">
        <f>+AX9*0.97</f>
        <v>696.46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>
        <f t="shared" si="7"/>
        <v>0</v>
      </c>
      <c r="BN9" s="16">
        <f t="shared" si="8"/>
        <v>0</v>
      </c>
      <c r="BO9" s="16">
        <f t="shared" si="9"/>
        <v>1112</v>
      </c>
      <c r="BP9" s="16">
        <f t="shared" si="10"/>
        <v>2232</v>
      </c>
      <c r="BQ9" s="16">
        <f t="shared" si="11"/>
        <v>2615</v>
      </c>
      <c r="BR9" s="16">
        <f>SUM(AU9:AX9)</f>
        <v>2682</v>
      </c>
      <c r="BS9" s="16">
        <f>SUM(AY9:BB9)</f>
        <v>2595.31</v>
      </c>
      <c r="BT9" s="16">
        <f t="shared" ref="BS9:BY9" si="14">+BS9*1.05</f>
        <v>2725.0754999999999</v>
      </c>
      <c r="BU9" s="16">
        <f t="shared" si="14"/>
        <v>2861.3292750000001</v>
      </c>
      <c r="BV9" s="16">
        <f t="shared" si="14"/>
        <v>3004.39573875</v>
      </c>
      <c r="BW9" s="16">
        <f t="shared" si="14"/>
        <v>3154.6155256874999</v>
      </c>
      <c r="BX9" s="16">
        <f t="shared" si="14"/>
        <v>3312.3463019718752</v>
      </c>
      <c r="BY9" s="16">
        <f t="shared" si="14"/>
        <v>3477.9636170704689</v>
      </c>
    </row>
    <row r="10" spans="1:77" s="15" customFormat="1" x14ac:dyDescent="0.2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297</v>
      </c>
      <c r="AK10" s="16">
        <v>523</v>
      </c>
      <c r="AL10" s="16">
        <v>567</v>
      </c>
      <c r="AM10" s="16">
        <v>532</v>
      </c>
      <c r="AN10" s="16">
        <v>603</v>
      </c>
      <c r="AO10" s="16">
        <v>645</v>
      </c>
      <c r="AP10" s="16">
        <v>671</v>
      </c>
      <c r="AQ10" s="16">
        <v>614</v>
      </c>
      <c r="AR10" s="16">
        <v>678</v>
      </c>
      <c r="AS10" s="16">
        <v>699</v>
      </c>
      <c r="AT10" s="16">
        <v>728</v>
      </c>
      <c r="AU10" s="16">
        <v>719</v>
      </c>
      <c r="AV10" s="16">
        <v>748</v>
      </c>
      <c r="AW10" s="16">
        <v>748</v>
      </c>
      <c r="AX10" s="16">
        <f>2991-AW10-AV10-AU10</f>
        <v>776</v>
      </c>
      <c r="AY10" s="16">
        <v>748</v>
      </c>
      <c r="AZ10" s="16">
        <f>+AV10*1.03</f>
        <v>770.44</v>
      </c>
      <c r="BA10" s="16">
        <f>+AW10*1.03</f>
        <v>770.44</v>
      </c>
      <c r="BB10" s="16">
        <f>+AX10*1.03</f>
        <v>799.28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>
        <f t="shared" si="7"/>
        <v>0</v>
      </c>
      <c r="BN10" s="16">
        <f t="shared" si="8"/>
        <v>0</v>
      </c>
      <c r="BO10" s="16">
        <f t="shared" si="9"/>
        <v>1387</v>
      </c>
      <c r="BP10" s="16">
        <f t="shared" si="10"/>
        <v>2451</v>
      </c>
      <c r="BQ10" s="16">
        <f t="shared" si="11"/>
        <v>2719</v>
      </c>
      <c r="BR10" s="16">
        <f>SUM(AU10:AX10)</f>
        <v>2991</v>
      </c>
      <c r="BS10" s="16">
        <f>SUM(AY10:BB10)</f>
        <v>3088.16</v>
      </c>
      <c r="BT10" s="16">
        <f t="shared" ref="BR10:BY10" si="15">+BS10*1.05</f>
        <v>3242.5680000000002</v>
      </c>
      <c r="BU10" s="16">
        <f t="shared" si="15"/>
        <v>3404.6964000000003</v>
      </c>
      <c r="BV10" s="16">
        <f t="shared" si="15"/>
        <v>3574.9312200000004</v>
      </c>
      <c r="BW10" s="16">
        <f t="shared" si="15"/>
        <v>3753.6777810000008</v>
      </c>
      <c r="BX10" s="16">
        <f t="shared" si="15"/>
        <v>3941.3616700500011</v>
      </c>
      <c r="BY10" s="16">
        <f t="shared" si="15"/>
        <v>4138.4297535525011</v>
      </c>
    </row>
    <row r="11" spans="1:77" s="15" customFormat="1" x14ac:dyDescent="0.2">
      <c r="B11" s="77" t="s">
        <v>117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0</v>
      </c>
      <c r="AC11" s="16">
        <v>96</v>
      </c>
      <c r="AD11" s="16">
        <v>124</v>
      </c>
      <c r="AE11" s="16">
        <v>151</v>
      </c>
      <c r="AF11" s="16">
        <v>169</v>
      </c>
      <c r="AG11" s="16">
        <v>221</v>
      </c>
      <c r="AH11" s="16">
        <v>251</v>
      </c>
      <c r="AI11" s="16">
        <v>317</v>
      </c>
      <c r="AJ11" s="16">
        <v>303</v>
      </c>
      <c r="AK11" s="16">
        <v>352</v>
      </c>
      <c r="AL11" s="16">
        <v>365</v>
      </c>
      <c r="AM11" s="16">
        <v>405</v>
      </c>
      <c r="AN11" s="16">
        <v>435</v>
      </c>
      <c r="AO11" s="16">
        <v>492</v>
      </c>
      <c r="AP11" s="16">
        <v>488</v>
      </c>
      <c r="AQ11" s="16">
        <v>473</v>
      </c>
      <c r="AR11" s="16">
        <v>505</v>
      </c>
      <c r="AS11" s="16">
        <v>515</v>
      </c>
      <c r="AT11" s="16">
        <v>516</v>
      </c>
      <c r="AU11" s="16">
        <v>538</v>
      </c>
      <c r="AV11" s="16">
        <v>571</v>
      </c>
      <c r="AW11" s="16">
        <v>590</v>
      </c>
      <c r="AX11" s="16">
        <v>589</v>
      </c>
      <c r="AY11" s="16">
        <v>614</v>
      </c>
      <c r="AZ11" s="16">
        <f>+AV11*1.1</f>
        <v>628.1</v>
      </c>
      <c r="BA11" s="16">
        <f>+AW11*1.1</f>
        <v>649</v>
      </c>
      <c r="BB11" s="16">
        <f>+AX11*1.1</f>
        <v>647.90000000000009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>
        <f t="shared" si="7"/>
        <v>220</v>
      </c>
      <c r="BN11" s="16">
        <f t="shared" si="8"/>
        <v>792</v>
      </c>
      <c r="BO11" s="16">
        <f t="shared" si="9"/>
        <v>1337</v>
      </c>
      <c r="BP11" s="16">
        <f t="shared" si="10"/>
        <v>1820</v>
      </c>
      <c r="BQ11" s="16">
        <f t="shared" si="11"/>
        <v>2009</v>
      </c>
      <c r="BR11" s="16">
        <f>SUM(AU11:AX11)</f>
        <v>2288</v>
      </c>
      <c r="BS11" s="16">
        <f>SUM(AY11:BB11)</f>
        <v>2539</v>
      </c>
      <c r="BT11" s="16">
        <f t="shared" ref="BS11:BX11" si="16">+BS11*1.03</f>
        <v>2615.17</v>
      </c>
      <c r="BU11" s="16">
        <f t="shared" si="16"/>
        <v>2693.6251000000002</v>
      </c>
      <c r="BV11" s="16">
        <f t="shared" si="16"/>
        <v>2774.4338530000005</v>
      </c>
      <c r="BW11" s="16">
        <f t="shared" si="16"/>
        <v>2857.6668685900004</v>
      </c>
      <c r="BX11" s="16">
        <f t="shared" si="16"/>
        <v>2943.3968746477003</v>
      </c>
      <c r="BY11" s="15">
        <f>+BX11*0.1</f>
        <v>294.33968746477007</v>
      </c>
    </row>
    <row r="12" spans="1:77" s="15" customFormat="1" x14ac:dyDescent="0.2">
      <c r="B12" s="23" t="s">
        <v>115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14</v>
      </c>
      <c r="AH12" s="16">
        <v>33</v>
      </c>
      <c r="AI12" s="16">
        <v>86</v>
      </c>
      <c r="AJ12" s="16">
        <v>149</v>
      </c>
      <c r="AK12" s="16">
        <v>215</v>
      </c>
      <c r="AL12" s="16">
        <v>281</v>
      </c>
      <c r="AM12" s="16">
        <v>303</v>
      </c>
      <c r="AN12" s="16">
        <v>378</v>
      </c>
      <c r="AO12" s="16">
        <v>453</v>
      </c>
      <c r="AP12" s="16">
        <v>517</v>
      </c>
      <c r="AQ12" s="16">
        <v>465</v>
      </c>
      <c r="AR12" s="16">
        <v>592</v>
      </c>
      <c r="AS12" s="16">
        <v>695</v>
      </c>
      <c r="AT12" s="16">
        <v>770</v>
      </c>
      <c r="AU12" s="16">
        <v>686</v>
      </c>
      <c r="AV12" s="16">
        <v>918</v>
      </c>
      <c r="AW12" s="16">
        <v>1110</v>
      </c>
      <c r="AX12" s="16">
        <v>1255</v>
      </c>
      <c r="AY12" s="16">
        <v>1093</v>
      </c>
      <c r="AZ12" s="16">
        <f>+AV12*1.2</f>
        <v>1101.5999999999999</v>
      </c>
      <c r="BA12" s="16">
        <f>+AW12*1.2</f>
        <v>1332</v>
      </c>
      <c r="BB12" s="16">
        <f>+AX12*1.2</f>
        <v>1506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>
        <f t="shared" si="7"/>
        <v>0</v>
      </c>
      <c r="BN12" s="16">
        <f t="shared" si="8"/>
        <v>47</v>
      </c>
      <c r="BO12" s="16">
        <f t="shared" si="9"/>
        <v>731</v>
      </c>
      <c r="BP12" s="16">
        <f t="shared" si="10"/>
        <v>1651</v>
      </c>
      <c r="BQ12" s="16">
        <f t="shared" si="11"/>
        <v>2522</v>
      </c>
      <c r="BR12" s="16">
        <f>SUM(AU12:AX12)</f>
        <v>3969</v>
      </c>
      <c r="BS12" s="16">
        <f>SUM(AY12:BB12)</f>
        <v>5032.6000000000004</v>
      </c>
      <c r="BT12" s="16">
        <f t="shared" ref="BR12:BX12" si="17">+BS12*1.03</f>
        <v>5183.5780000000004</v>
      </c>
      <c r="BU12" s="16">
        <f t="shared" si="17"/>
        <v>5339.0853400000005</v>
      </c>
      <c r="BV12" s="16">
        <f t="shared" si="17"/>
        <v>5499.2579002000011</v>
      </c>
      <c r="BW12" s="16">
        <f t="shared" si="17"/>
        <v>5664.2356372060012</v>
      </c>
      <c r="BX12" s="16">
        <f t="shared" si="17"/>
        <v>5834.1627063221813</v>
      </c>
      <c r="BY12" s="15">
        <f t="shared" ref="BY12:BY13" si="18">+BX12*0.1</f>
        <v>583.41627063221813</v>
      </c>
    </row>
    <row r="13" spans="1:77" s="15" customFormat="1" x14ac:dyDescent="0.2">
      <c r="B13" s="23" t="s">
        <v>124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192</v>
      </c>
      <c r="AK13" s="16">
        <v>358</v>
      </c>
      <c r="AL13" s="16">
        <v>401</v>
      </c>
      <c r="AM13" s="16">
        <v>346</v>
      </c>
      <c r="AN13" s="16">
        <v>432</v>
      </c>
      <c r="AO13" s="16">
        <v>461</v>
      </c>
      <c r="AP13" s="16">
        <v>489</v>
      </c>
      <c r="AQ13" s="16">
        <v>427</v>
      </c>
      <c r="AR13" s="16">
        <v>492</v>
      </c>
      <c r="AS13" s="16">
        <v>554</v>
      </c>
      <c r="AT13" s="16">
        <v>565</v>
      </c>
      <c r="AU13" s="16">
        <v>561</v>
      </c>
      <c r="AV13" s="16">
        <v>658</v>
      </c>
      <c r="AW13" s="16">
        <v>751</v>
      </c>
      <c r="AX13" s="16">
        <v>789</v>
      </c>
      <c r="AY13" s="16">
        <v>694</v>
      </c>
      <c r="AZ13" s="16">
        <f>+AV13*1.05</f>
        <v>690.9</v>
      </c>
      <c r="BA13" s="16">
        <f>+AW13*1.05</f>
        <v>788.55000000000007</v>
      </c>
      <c r="BB13" s="16">
        <f>+AX13*1.05</f>
        <v>828.45</v>
      </c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>
        <f t="shared" si="7"/>
        <v>0</v>
      </c>
      <c r="BN13" s="16">
        <f t="shared" si="8"/>
        <v>0</v>
      </c>
      <c r="BO13" s="16">
        <f t="shared" si="9"/>
        <v>951</v>
      </c>
      <c r="BP13" s="16">
        <f t="shared" si="10"/>
        <v>1728</v>
      </c>
      <c r="BQ13" s="16">
        <f t="shared" si="11"/>
        <v>2038</v>
      </c>
      <c r="BR13" s="16">
        <f>SUM(AU13:AX13)</f>
        <v>2759</v>
      </c>
      <c r="BS13" s="16">
        <f>SUM(AY13:BB13)</f>
        <v>3001.9000000000005</v>
      </c>
      <c r="BT13" s="16">
        <f t="shared" ref="BR13:BX13" si="19">+BS13*1.03</f>
        <v>3091.9570000000008</v>
      </c>
      <c r="BU13" s="16">
        <f t="shared" si="19"/>
        <v>3184.7157100000009</v>
      </c>
      <c r="BV13" s="16">
        <f t="shared" si="19"/>
        <v>3280.2571813000009</v>
      </c>
      <c r="BW13" s="16">
        <f t="shared" si="19"/>
        <v>3378.6648967390011</v>
      </c>
      <c r="BX13" s="16">
        <f t="shared" si="19"/>
        <v>3480.0248436411712</v>
      </c>
      <c r="BY13" s="15">
        <f t="shared" si="18"/>
        <v>348.00248436411715</v>
      </c>
    </row>
    <row r="14" spans="1:77" s="15" customFormat="1" x14ac:dyDescent="0.2">
      <c r="B14" s="23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113</v>
      </c>
      <c r="AK14" s="16">
        <v>274</v>
      </c>
      <c r="AL14" s="16">
        <v>331</v>
      </c>
      <c r="AM14" s="16">
        <v>321</v>
      </c>
      <c r="AN14" s="16">
        <v>428</v>
      </c>
      <c r="AO14" s="16">
        <v>354</v>
      </c>
      <c r="AP14" s="16">
        <v>252</v>
      </c>
      <c r="AQ14" s="16">
        <v>410</v>
      </c>
      <c r="AR14" s="16">
        <v>344</v>
      </c>
      <c r="AS14" s="16">
        <v>352</v>
      </c>
      <c r="AT14" s="16">
        <v>322</v>
      </c>
      <c r="AU14" s="16">
        <v>355</v>
      </c>
      <c r="AV14" s="16">
        <v>368</v>
      </c>
      <c r="AW14" s="16">
        <v>321</v>
      </c>
      <c r="AX14" s="16">
        <v>334</v>
      </c>
      <c r="AY14" s="16">
        <v>297</v>
      </c>
      <c r="AZ14" s="16">
        <f>+AV14*0.9</f>
        <v>331.2</v>
      </c>
      <c r="BA14" s="16">
        <f>+AW14*0.9</f>
        <v>288.90000000000003</v>
      </c>
      <c r="BB14" s="16">
        <f>+AX14*0.9</f>
        <v>300.60000000000002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>
        <f t="shared" si="7"/>
        <v>0</v>
      </c>
      <c r="BN14" s="16">
        <f t="shared" si="8"/>
        <v>0</v>
      </c>
      <c r="BO14" s="16">
        <f t="shared" si="9"/>
        <v>718</v>
      </c>
      <c r="BP14" s="16">
        <f t="shared" si="10"/>
        <v>1355</v>
      </c>
      <c r="BQ14" s="16">
        <f t="shared" si="11"/>
        <v>1428</v>
      </c>
      <c r="BR14" s="16">
        <f>SUM(AU14:AX14)</f>
        <v>1378</v>
      </c>
      <c r="BS14" s="16">
        <f>SUM(AY14:BB14)</f>
        <v>1217.7000000000003</v>
      </c>
      <c r="BT14" s="16">
        <f t="shared" ref="BS14:BY14" si="20">+BS14*1.05</f>
        <v>1278.5850000000003</v>
      </c>
      <c r="BU14" s="16">
        <f t="shared" si="20"/>
        <v>1342.5142500000004</v>
      </c>
      <c r="BV14" s="16">
        <f t="shared" si="20"/>
        <v>1409.6399625000006</v>
      </c>
      <c r="BW14" s="16">
        <f t="shared" si="20"/>
        <v>1480.1219606250006</v>
      </c>
      <c r="BX14" s="16">
        <f t="shared" si="20"/>
        <v>1554.1280586562507</v>
      </c>
      <c r="BY14" s="16">
        <f t="shared" si="20"/>
        <v>1631.8344615890633</v>
      </c>
    </row>
    <row r="15" spans="1:77" s="15" customFormat="1" x14ac:dyDescent="0.2">
      <c r="B15" s="23" t="s">
        <v>132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>
        <v>919</v>
      </c>
      <c r="AB15" s="16">
        <v>973</v>
      </c>
      <c r="AC15" s="16">
        <v>839</v>
      </c>
      <c r="AD15" s="16">
        <v>819</v>
      </c>
      <c r="AE15" s="16">
        <v>790</v>
      </c>
      <c r="AF15" s="16">
        <v>780</v>
      </c>
      <c r="AG15" s="16">
        <v>695</v>
      </c>
      <c r="AH15" s="16">
        <v>628</v>
      </c>
      <c r="AI15" s="16">
        <v>559</v>
      </c>
      <c r="AJ15" s="16">
        <v>376</v>
      </c>
      <c r="AK15" s="16">
        <v>414</v>
      </c>
      <c r="AL15" s="16">
        <v>481</v>
      </c>
      <c r="AM15" s="16">
        <v>415</v>
      </c>
      <c r="AN15" s="16">
        <v>442</v>
      </c>
      <c r="AO15" s="16">
        <v>426</v>
      </c>
      <c r="AP15" s="16">
        <v>427</v>
      </c>
      <c r="AQ15" s="16">
        <v>380</v>
      </c>
      <c r="AR15" s="16">
        <v>398</v>
      </c>
      <c r="AS15" s="16">
        <v>383</v>
      </c>
      <c r="AT15" s="16">
        <v>380</v>
      </c>
      <c r="AU15" s="16">
        <v>364</v>
      </c>
      <c r="AV15" s="16">
        <v>387</v>
      </c>
      <c r="AW15" s="16">
        <v>370</v>
      </c>
      <c r="AX15" s="16">
        <v>309</v>
      </c>
      <c r="AY15" s="16">
        <v>349</v>
      </c>
      <c r="AZ15" s="16">
        <f t="shared" ref="AZ15:BB15" si="21">+AV15*0.9</f>
        <v>348.3</v>
      </c>
      <c r="BA15" s="16">
        <f t="shared" si="21"/>
        <v>333</v>
      </c>
      <c r="BB15" s="16">
        <f t="shared" si="21"/>
        <v>278.10000000000002</v>
      </c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>
        <f t="shared" si="7"/>
        <v>3550</v>
      </c>
      <c r="BN15" s="16">
        <f t="shared" si="8"/>
        <v>2893</v>
      </c>
      <c r="BO15" s="16">
        <f t="shared" si="9"/>
        <v>1830</v>
      </c>
      <c r="BP15" s="16">
        <f t="shared" si="10"/>
        <v>1710</v>
      </c>
      <c r="BQ15" s="16">
        <f t="shared" si="11"/>
        <v>1541</v>
      </c>
      <c r="BR15" s="16">
        <f>SUM(AU15:AX15)</f>
        <v>1430</v>
      </c>
      <c r="BS15" s="16">
        <f>SUM(AY15:BB15)</f>
        <v>1308.4000000000001</v>
      </c>
      <c r="BT15" s="16">
        <f t="shared" ref="BS15:BY15" si="22">+BS15*0.7</f>
        <v>915.88</v>
      </c>
      <c r="BU15" s="16">
        <f t="shared" si="22"/>
        <v>641.11599999999999</v>
      </c>
      <c r="BV15" s="16">
        <f t="shared" si="22"/>
        <v>448.78119999999996</v>
      </c>
      <c r="BW15" s="16">
        <f t="shared" si="22"/>
        <v>314.14683999999994</v>
      </c>
      <c r="BX15" s="16">
        <f t="shared" si="22"/>
        <v>219.90278799999996</v>
      </c>
      <c r="BY15" s="16">
        <f t="shared" si="22"/>
        <v>153.93195159999996</v>
      </c>
    </row>
    <row r="16" spans="1:77" s="15" customFormat="1" x14ac:dyDescent="0.2">
      <c r="B16" s="23" t="s">
        <v>120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142</v>
      </c>
      <c r="AK16" s="16">
        <v>300</v>
      </c>
      <c r="AL16" s="16">
        <v>318</v>
      </c>
      <c r="AM16" s="16">
        <v>343</v>
      </c>
      <c r="AN16" s="16">
        <v>422</v>
      </c>
      <c r="AO16" s="16">
        <v>352</v>
      </c>
      <c r="AP16" s="16">
        <v>349</v>
      </c>
      <c r="AQ16" s="16">
        <v>323</v>
      </c>
      <c r="AR16" s="16">
        <v>332</v>
      </c>
      <c r="AS16" s="16">
        <v>312</v>
      </c>
      <c r="AT16" s="16">
        <v>323</v>
      </c>
      <c r="AU16" s="16">
        <v>286</v>
      </c>
      <c r="AV16" s="16">
        <v>331</v>
      </c>
      <c r="AW16" s="16">
        <v>298</v>
      </c>
      <c r="AX16" s="16">
        <v>319</v>
      </c>
      <c r="AY16" s="16">
        <v>319</v>
      </c>
      <c r="AZ16" s="16">
        <f>+AV16</f>
        <v>331</v>
      </c>
      <c r="BA16" s="16">
        <f>+AW16</f>
        <v>298</v>
      </c>
      <c r="BB16" s="16">
        <f>+AX16</f>
        <v>319</v>
      </c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>
        <f t="shared" si="7"/>
        <v>0</v>
      </c>
      <c r="BN16" s="16">
        <f t="shared" si="8"/>
        <v>0</v>
      </c>
      <c r="BO16" s="16">
        <f t="shared" si="9"/>
        <v>760</v>
      </c>
      <c r="BP16" s="16">
        <f t="shared" si="10"/>
        <v>1466</v>
      </c>
      <c r="BQ16" s="16">
        <f t="shared" si="11"/>
        <v>1290</v>
      </c>
      <c r="BR16" s="16">
        <f>SUM(AU16:AX16)</f>
        <v>1234</v>
      </c>
      <c r="BS16" s="16">
        <f>SUM(AY16:BB16)</f>
        <v>1267</v>
      </c>
      <c r="BT16" s="16">
        <f t="shared" ref="BS16:BY16" si="23">+BS16*0.9</f>
        <v>1140.3</v>
      </c>
      <c r="BU16" s="16">
        <f t="shared" si="23"/>
        <v>1026.27</v>
      </c>
      <c r="BV16" s="16">
        <f t="shared" si="23"/>
        <v>923.64300000000003</v>
      </c>
      <c r="BW16" s="16">
        <f t="shared" si="23"/>
        <v>831.27870000000007</v>
      </c>
      <c r="BX16" s="16">
        <f t="shared" si="23"/>
        <v>748.15083000000004</v>
      </c>
      <c r="BY16" s="16">
        <f t="shared" si="23"/>
        <v>673.33574700000008</v>
      </c>
    </row>
    <row r="17" spans="2:77" s="15" customFormat="1" x14ac:dyDescent="0.2">
      <c r="B17" s="15" t="s">
        <v>6</v>
      </c>
      <c r="C17" s="16"/>
      <c r="D17" s="16"/>
      <c r="E17" s="16">
        <v>92</v>
      </c>
      <c r="F17" s="16"/>
      <c r="G17" s="16">
        <v>90</v>
      </c>
      <c r="H17" s="16"/>
      <c r="I17" s="16">
        <v>101</v>
      </c>
      <c r="J17" s="16"/>
      <c r="K17" s="16"/>
      <c r="L17" s="16">
        <v>110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>
        <v>209</v>
      </c>
      <c r="AB17" s="16">
        <v>219</v>
      </c>
      <c r="AC17" s="16">
        <v>239</v>
      </c>
      <c r="AD17" s="16">
        <v>261</v>
      </c>
      <c r="AE17" s="16">
        <v>227</v>
      </c>
      <c r="AF17" s="16">
        <v>257</v>
      </c>
      <c r="AG17" s="16">
        <v>265</v>
      </c>
      <c r="AH17" s="16">
        <v>292</v>
      </c>
      <c r="AI17" s="16">
        <v>276</v>
      </c>
      <c r="AJ17" s="16">
        <v>252</v>
      </c>
      <c r="AK17" s="16">
        <v>282</v>
      </c>
      <c r="AL17" s="16">
        <v>304</v>
      </c>
      <c r="AM17" s="16">
        <v>274</v>
      </c>
      <c r="AN17" s="16">
        <v>280</v>
      </c>
      <c r="AO17" s="16">
        <v>310</v>
      </c>
      <c r="AP17" s="16">
        <v>327</v>
      </c>
      <c r="AQ17" s="16">
        <v>287</v>
      </c>
      <c r="AR17" s="16">
        <v>318</v>
      </c>
      <c r="AS17" s="16">
        <v>336</v>
      </c>
      <c r="AT17" s="16">
        <v>337</v>
      </c>
      <c r="AU17" s="16">
        <v>305</v>
      </c>
      <c r="AV17" s="16">
        <v>282</v>
      </c>
      <c r="AW17" s="16">
        <v>305</v>
      </c>
      <c r="AX17" s="16">
        <v>376</v>
      </c>
      <c r="AY17" s="16">
        <v>285</v>
      </c>
      <c r="AZ17" s="16">
        <f>+AV17</f>
        <v>282</v>
      </c>
      <c r="BA17" s="16">
        <f>+AW17</f>
        <v>305</v>
      </c>
      <c r="BB17" s="16">
        <f>+AX17</f>
        <v>376</v>
      </c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>
        <f t="shared" si="7"/>
        <v>928</v>
      </c>
      <c r="BN17" s="16">
        <f t="shared" si="8"/>
        <v>1041</v>
      </c>
      <c r="BO17" s="16">
        <f t="shared" si="9"/>
        <v>1114</v>
      </c>
      <c r="BP17" s="16">
        <f t="shared" si="10"/>
        <v>1191</v>
      </c>
      <c r="BQ17" s="16">
        <f t="shared" si="11"/>
        <v>1278</v>
      </c>
      <c r="BR17" s="16">
        <f>SUM(AU17:AX17)</f>
        <v>1268</v>
      </c>
      <c r="BS17" s="16">
        <f>SUM(AY17:BB17)</f>
        <v>1248</v>
      </c>
      <c r="BT17" s="16">
        <f t="shared" ref="BS17:BY17" si="24">+BS17*1.03</f>
        <v>1285.44</v>
      </c>
      <c r="BU17" s="16">
        <f t="shared" si="24"/>
        <v>1324.0032000000001</v>
      </c>
      <c r="BV17" s="16">
        <f t="shared" si="24"/>
        <v>1363.7232960000001</v>
      </c>
      <c r="BW17" s="16">
        <f t="shared" si="24"/>
        <v>1404.6349948800002</v>
      </c>
      <c r="BX17" s="16">
        <f t="shared" si="24"/>
        <v>1446.7740447264002</v>
      </c>
      <c r="BY17" s="16">
        <f t="shared" si="24"/>
        <v>1490.1772660681922</v>
      </c>
    </row>
    <row r="18" spans="2:77" s="15" customFormat="1" x14ac:dyDescent="0.2">
      <c r="B18" s="23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128</v>
      </c>
      <c r="AK18" s="16">
        <v>269</v>
      </c>
      <c r="AL18" s="16">
        <v>296</v>
      </c>
      <c r="AM18" s="16">
        <v>276</v>
      </c>
      <c r="AN18" s="16">
        <v>301</v>
      </c>
      <c r="AO18" s="16">
        <v>286</v>
      </c>
      <c r="AP18" s="16">
        <v>306</v>
      </c>
      <c r="AQ18" s="16">
        <v>278</v>
      </c>
      <c r="AR18" s="16">
        <v>217</v>
      </c>
      <c r="AS18" s="16">
        <f>287-AS29</f>
        <v>181</v>
      </c>
      <c r="AT18" s="16">
        <v>283</v>
      </c>
      <c r="AU18" s="16">
        <v>200</v>
      </c>
      <c r="AV18" s="16">
        <v>215</v>
      </c>
      <c r="AW18" s="16">
        <v>207</v>
      </c>
      <c r="AX18" s="16">
        <v>181</v>
      </c>
      <c r="AY18" s="16">
        <v>200</v>
      </c>
      <c r="AZ18" s="16">
        <f>+AV18</f>
        <v>215</v>
      </c>
      <c r="BA18" s="16">
        <f>+AW18</f>
        <v>207</v>
      </c>
      <c r="BB18" s="16">
        <f>+AX18</f>
        <v>181</v>
      </c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>
        <f t="shared" si="7"/>
        <v>0</v>
      </c>
      <c r="BN18" s="16">
        <f t="shared" si="8"/>
        <v>0</v>
      </c>
      <c r="BO18" s="16">
        <f t="shared" si="9"/>
        <v>693</v>
      </c>
      <c r="BP18" s="16">
        <f t="shared" si="10"/>
        <v>1169</v>
      </c>
      <c r="BQ18" s="16">
        <f t="shared" si="11"/>
        <v>959</v>
      </c>
      <c r="BR18" s="16">
        <f>SUM(AU18:AX18)</f>
        <v>803</v>
      </c>
      <c r="BS18" s="16">
        <f>SUM(AY18:BB18)</f>
        <v>803</v>
      </c>
      <c r="BT18" s="16">
        <f t="shared" ref="BS18:BY18" si="25">+BS18*0.9</f>
        <v>722.7</v>
      </c>
      <c r="BU18" s="16">
        <f t="shared" si="25"/>
        <v>650.43000000000006</v>
      </c>
      <c r="BV18" s="16">
        <f t="shared" si="25"/>
        <v>585.38700000000006</v>
      </c>
      <c r="BW18" s="16">
        <f t="shared" si="25"/>
        <v>526.84830000000011</v>
      </c>
      <c r="BX18" s="16">
        <f t="shared" si="25"/>
        <v>474.16347000000013</v>
      </c>
      <c r="BY18" s="16">
        <f t="shared" si="25"/>
        <v>426.7471230000001</v>
      </c>
    </row>
    <row r="19" spans="2:77" s="15" customFormat="1" x14ac:dyDescent="0.2"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144</v>
      </c>
      <c r="AK19" s="16">
        <v>299</v>
      </c>
      <c r="AL19" s="16">
        <v>344</v>
      </c>
      <c r="AM19" s="16">
        <v>280</v>
      </c>
      <c r="AN19" s="16">
        <v>327</v>
      </c>
      <c r="AO19" s="16">
        <v>319</v>
      </c>
      <c r="AP19" s="16">
        <v>364</v>
      </c>
      <c r="AQ19" s="16">
        <v>246</v>
      </c>
      <c r="AR19" s="16">
        <v>168</v>
      </c>
      <c r="AS19" s="16">
        <v>142</v>
      </c>
      <c r="AT19" s="16">
        <v>110</v>
      </c>
      <c r="AU19" s="16">
        <v>92</v>
      </c>
      <c r="AV19" s="16">
        <v>99</v>
      </c>
      <c r="AW19" s="16">
        <v>117</v>
      </c>
      <c r="AX19" s="16">
        <v>128</v>
      </c>
      <c r="AY19" s="16">
        <v>57</v>
      </c>
      <c r="AZ19" s="16">
        <f>+AY19-3</f>
        <v>54</v>
      </c>
      <c r="BA19" s="16">
        <f>+AZ19-3</f>
        <v>51</v>
      </c>
      <c r="BB19" s="16">
        <f>+BA19-3</f>
        <v>48</v>
      </c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>
        <f t="shared" si="7"/>
        <v>0</v>
      </c>
      <c r="BN19" s="16">
        <f t="shared" si="8"/>
        <v>0</v>
      </c>
      <c r="BO19" s="16">
        <f t="shared" si="9"/>
        <v>787</v>
      </c>
      <c r="BP19" s="16">
        <f t="shared" si="10"/>
        <v>1290</v>
      </c>
      <c r="BQ19" s="16">
        <f t="shared" si="11"/>
        <v>666</v>
      </c>
      <c r="BR19" s="16">
        <f>SUM(AU19:AX19)</f>
        <v>436</v>
      </c>
      <c r="BS19" s="16">
        <f>SUM(AY19:BB19)</f>
        <v>210</v>
      </c>
      <c r="BT19" s="16">
        <f t="shared" ref="BR19:BY19" si="26">+BS19*0.9</f>
        <v>189</v>
      </c>
      <c r="BU19" s="16">
        <f t="shared" si="26"/>
        <v>170.1</v>
      </c>
      <c r="BV19" s="16">
        <f t="shared" si="26"/>
        <v>153.09</v>
      </c>
      <c r="BW19" s="16">
        <f t="shared" si="26"/>
        <v>137.78100000000001</v>
      </c>
      <c r="BX19" s="16">
        <f t="shared" si="26"/>
        <v>124.00290000000001</v>
      </c>
      <c r="BY19" s="16">
        <f t="shared" si="26"/>
        <v>111.60261000000001</v>
      </c>
    </row>
    <row r="20" spans="2:77" s="15" customFormat="1" x14ac:dyDescent="0.2">
      <c r="B20" s="23" t="s">
        <v>133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133</v>
      </c>
      <c r="AK20" s="16">
        <v>248</v>
      </c>
      <c r="AL20" s="16">
        <v>286</v>
      </c>
      <c r="AM20" s="16">
        <v>222</v>
      </c>
      <c r="AN20" s="16">
        <v>268</v>
      </c>
      <c r="AO20" s="16">
        <v>261</v>
      </c>
      <c r="AP20" s="16">
        <v>287</v>
      </c>
      <c r="AQ20" s="16">
        <v>240</v>
      </c>
      <c r="AR20" s="16">
        <v>255</v>
      </c>
      <c r="AS20" s="16">
        <v>271</v>
      </c>
      <c r="AT20" s="16">
        <v>269</v>
      </c>
      <c r="AU20" s="16">
        <v>259</v>
      </c>
      <c r="AV20" s="16">
        <v>278</v>
      </c>
      <c r="AW20" s="16">
        <v>288</v>
      </c>
      <c r="AX20" s="16">
        <v>283</v>
      </c>
      <c r="AY20" s="16">
        <v>266</v>
      </c>
      <c r="AZ20" s="16">
        <f>+AV20</f>
        <v>278</v>
      </c>
      <c r="BA20" s="16">
        <f>+AW20</f>
        <v>288</v>
      </c>
      <c r="BB20" s="16">
        <f>+AX20</f>
        <v>283</v>
      </c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>
        <f t="shared" si="7"/>
        <v>0</v>
      </c>
      <c r="BN20" s="16">
        <f t="shared" si="8"/>
        <v>0</v>
      </c>
      <c r="BO20" s="16">
        <f t="shared" si="9"/>
        <v>667</v>
      </c>
      <c r="BP20" s="16">
        <f t="shared" si="10"/>
        <v>1038</v>
      </c>
      <c r="BQ20" s="16">
        <f t="shared" si="11"/>
        <v>1035</v>
      </c>
      <c r="BR20" s="16">
        <f>SUM(AU20:AX20)</f>
        <v>1108</v>
      </c>
      <c r="BS20" s="16">
        <f>SUM(AY20:BB20)</f>
        <v>1115</v>
      </c>
      <c r="BT20" s="16">
        <f t="shared" ref="BS20:BY20" si="27">+BS20*0.5</f>
        <v>557.5</v>
      </c>
      <c r="BU20" s="16">
        <f t="shared" si="27"/>
        <v>278.75</v>
      </c>
      <c r="BV20" s="16">
        <f t="shared" si="27"/>
        <v>139.375</v>
      </c>
      <c r="BW20" s="16">
        <f t="shared" si="27"/>
        <v>69.6875</v>
      </c>
      <c r="BX20" s="16">
        <f t="shared" si="27"/>
        <v>34.84375</v>
      </c>
      <c r="BY20" s="16">
        <f t="shared" si="27"/>
        <v>17.421875</v>
      </c>
    </row>
    <row r="21" spans="2:77" s="15" customFormat="1" x14ac:dyDescent="0.2">
      <c r="B21" s="23" t="s">
        <v>127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105</v>
      </c>
      <c r="AK21" s="16">
        <v>207</v>
      </c>
      <c r="AL21" s="16">
        <v>227</v>
      </c>
      <c r="AM21" s="16">
        <v>160</v>
      </c>
      <c r="AN21" s="16">
        <v>171</v>
      </c>
      <c r="AO21" s="16">
        <v>171</v>
      </c>
      <c r="AP21" s="16">
        <v>183</v>
      </c>
      <c r="AQ21" s="16">
        <v>177</v>
      </c>
      <c r="AR21" s="16">
        <v>150</v>
      </c>
      <c r="AS21" s="16">
        <v>87</v>
      </c>
      <c r="AT21" s="16">
        <v>61</v>
      </c>
      <c r="AU21" s="16">
        <v>79</v>
      </c>
      <c r="AV21" s="16">
        <v>70</v>
      </c>
      <c r="AW21" s="16">
        <v>61</v>
      </c>
      <c r="AX21" s="16">
        <v>66</v>
      </c>
      <c r="AY21" s="16">
        <v>74</v>
      </c>
      <c r="AZ21" s="16">
        <f>+AV21</f>
        <v>70</v>
      </c>
      <c r="BA21" s="16">
        <f>+AW21</f>
        <v>61</v>
      </c>
      <c r="BB21" s="16">
        <f>+AX21</f>
        <v>66</v>
      </c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>
        <f t="shared" si="7"/>
        <v>0</v>
      </c>
      <c r="BN21" s="16">
        <f t="shared" si="8"/>
        <v>0</v>
      </c>
      <c r="BO21" s="16">
        <f t="shared" si="9"/>
        <v>539</v>
      </c>
      <c r="BP21" s="16">
        <f t="shared" si="10"/>
        <v>685</v>
      </c>
      <c r="BQ21" s="16">
        <f t="shared" si="11"/>
        <v>475</v>
      </c>
      <c r="BR21" s="16">
        <f>SUM(AU21:AX21)</f>
        <v>276</v>
      </c>
      <c r="BS21" s="16">
        <f>SUM(AY21:BB21)</f>
        <v>271</v>
      </c>
      <c r="BT21" s="16">
        <f t="shared" ref="BR21:BY21" si="28">+BS21*0.9</f>
        <v>243.9</v>
      </c>
      <c r="BU21" s="16">
        <f t="shared" si="28"/>
        <v>219.51000000000002</v>
      </c>
      <c r="BV21" s="16">
        <f t="shared" si="28"/>
        <v>197.55900000000003</v>
      </c>
      <c r="BW21" s="16">
        <f t="shared" si="28"/>
        <v>177.80310000000003</v>
      </c>
      <c r="BX21" s="16">
        <f t="shared" si="28"/>
        <v>160.02279000000004</v>
      </c>
      <c r="BY21" s="16">
        <f t="shared" si="28"/>
        <v>144.02051100000006</v>
      </c>
    </row>
    <row r="22" spans="2:77" s="15" customFormat="1" x14ac:dyDescent="0.2">
      <c r="B22" s="23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76</v>
      </c>
      <c r="AK22" s="16">
        <v>149</v>
      </c>
      <c r="AL22" s="16">
        <v>153</v>
      </c>
      <c r="AM22" s="16">
        <v>143</v>
      </c>
      <c r="AN22" s="16">
        <v>149</v>
      </c>
      <c r="AO22" s="16">
        <v>138</v>
      </c>
      <c r="AP22" s="16">
        <v>149</v>
      </c>
      <c r="AQ22" s="16">
        <v>140</v>
      </c>
      <c r="AR22" s="16">
        <v>130</v>
      </c>
      <c r="AS22" s="16">
        <v>121</v>
      </c>
      <c r="AT22" s="16">
        <v>123</v>
      </c>
      <c r="AU22" s="16">
        <v>130</v>
      </c>
      <c r="AV22" s="16">
        <v>119</v>
      </c>
      <c r="AW22" s="16">
        <v>91</v>
      </c>
      <c r="AX22" s="16">
        <v>92</v>
      </c>
      <c r="AY22" s="16">
        <v>91</v>
      </c>
      <c r="AZ22" s="16">
        <f>+AY22-1</f>
        <v>90</v>
      </c>
      <c r="BA22" s="16">
        <f>+AZ22-1</f>
        <v>89</v>
      </c>
      <c r="BB22" s="16">
        <f>+BA22-1</f>
        <v>88</v>
      </c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>
        <f t="shared" si="7"/>
        <v>0</v>
      </c>
      <c r="BN22" s="16">
        <f t="shared" si="8"/>
        <v>0</v>
      </c>
      <c r="BO22" s="16">
        <f t="shared" si="9"/>
        <v>378</v>
      </c>
      <c r="BP22" s="16">
        <f t="shared" si="10"/>
        <v>579</v>
      </c>
      <c r="BQ22" s="16">
        <f t="shared" si="11"/>
        <v>514</v>
      </c>
      <c r="BR22" s="16">
        <f>SUM(AU22:AX22)</f>
        <v>432</v>
      </c>
      <c r="BS22" s="16">
        <f>SUM(AY22:BB22)</f>
        <v>358</v>
      </c>
      <c r="BT22" s="16">
        <f t="shared" ref="BS22:BY22" si="29">+BS22*0.9</f>
        <v>322.2</v>
      </c>
      <c r="BU22" s="16">
        <f t="shared" si="29"/>
        <v>289.98</v>
      </c>
      <c r="BV22" s="16">
        <f t="shared" si="29"/>
        <v>260.98200000000003</v>
      </c>
      <c r="BW22" s="16">
        <f t="shared" si="29"/>
        <v>234.88380000000004</v>
      </c>
      <c r="BX22" s="16">
        <f t="shared" si="29"/>
        <v>211.39542000000003</v>
      </c>
      <c r="BY22" s="16">
        <f t="shared" si="29"/>
        <v>190.25587800000002</v>
      </c>
    </row>
    <row r="23" spans="2:77" s="15" customFormat="1" x14ac:dyDescent="0.2">
      <c r="B23" s="23" t="s">
        <v>125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22</v>
      </c>
      <c r="AK23" s="16">
        <v>38</v>
      </c>
      <c r="AL23" s="16">
        <v>65</v>
      </c>
      <c r="AM23" s="16">
        <v>81</v>
      </c>
      <c r="AN23" s="16">
        <v>126</v>
      </c>
      <c r="AO23" s="16">
        <v>162</v>
      </c>
      <c r="AP23" s="16">
        <v>183</v>
      </c>
      <c r="AQ23" s="16">
        <v>138</v>
      </c>
      <c r="AR23" s="16">
        <v>185</v>
      </c>
      <c r="AS23" s="16">
        <v>160</v>
      </c>
      <c r="AT23" s="16">
        <v>197</v>
      </c>
      <c r="AU23" s="16">
        <v>152</v>
      </c>
      <c r="AV23" s="16">
        <v>196</v>
      </c>
      <c r="AW23" s="16">
        <v>233</v>
      </c>
      <c r="AX23" s="16">
        <v>234</v>
      </c>
      <c r="AY23" s="16">
        <v>203</v>
      </c>
      <c r="AZ23" s="16">
        <f>+AV23*1.1</f>
        <v>215.60000000000002</v>
      </c>
      <c r="BA23" s="16">
        <f>+AW23*1.1</f>
        <v>256.3</v>
      </c>
      <c r="BB23" s="16">
        <f>+AX23*1.1</f>
        <v>257.40000000000003</v>
      </c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>
        <f t="shared" si="7"/>
        <v>0</v>
      </c>
      <c r="BN23" s="16">
        <f t="shared" si="8"/>
        <v>0</v>
      </c>
      <c r="BO23" s="16">
        <f t="shared" si="9"/>
        <v>125</v>
      </c>
      <c r="BP23" s="16">
        <f t="shared" si="10"/>
        <v>552</v>
      </c>
      <c r="BQ23" s="16">
        <f t="shared" si="11"/>
        <v>680</v>
      </c>
      <c r="BR23" s="16">
        <f>SUM(AU23:AX23)</f>
        <v>815</v>
      </c>
      <c r="BS23" s="16">
        <f>SUM(AY23:BB23)</f>
        <v>932.30000000000018</v>
      </c>
      <c r="BT23" s="16">
        <f>+BS23*1.2</f>
        <v>1118.7600000000002</v>
      </c>
      <c r="BU23" s="16">
        <f>+BT23*1.2</f>
        <v>1342.5120000000002</v>
      </c>
      <c r="BV23" s="16">
        <f>+BU23*1.1</f>
        <v>1476.7632000000003</v>
      </c>
      <c r="BW23" s="16">
        <f>+BV23*1.1</f>
        <v>1624.4395200000006</v>
      </c>
      <c r="BX23" s="16">
        <f>+BW23*1.03</f>
        <v>1673.1727056000007</v>
      </c>
      <c r="BY23" s="15">
        <f>+BX23*0.1</f>
        <v>167.31727056000008</v>
      </c>
    </row>
    <row r="24" spans="2:77" s="15" customFormat="1" x14ac:dyDescent="0.2">
      <c r="B24" s="15" t="s">
        <v>4</v>
      </c>
      <c r="C24" s="16"/>
      <c r="D24" s="16"/>
      <c r="E24" s="16">
        <v>37</v>
      </c>
      <c r="F24" s="16"/>
      <c r="G24" s="16">
        <v>39</v>
      </c>
      <c r="H24" s="16"/>
      <c r="I24" s="16">
        <v>46</v>
      </c>
      <c r="J24" s="16"/>
      <c r="K24" s="16"/>
      <c r="L24" s="16">
        <v>56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>
        <v>103</v>
      </c>
      <c r="AB24" s="16">
        <v>108</v>
      </c>
      <c r="AC24" s="16">
        <v>106</v>
      </c>
      <c r="AD24" s="16">
        <v>113</v>
      </c>
      <c r="AE24" s="16">
        <v>111</v>
      </c>
      <c r="AF24" s="16">
        <v>115</v>
      </c>
      <c r="AG24" s="16">
        <v>117</v>
      </c>
      <c r="AH24" s="16">
        <v>118</v>
      </c>
      <c r="AI24" s="16">
        <v>124</v>
      </c>
      <c r="AJ24" s="16">
        <v>118</v>
      </c>
      <c r="AK24" s="16">
        <v>123</v>
      </c>
      <c r="AL24" s="16">
        <v>129</v>
      </c>
      <c r="AM24" s="16">
        <v>129</v>
      </c>
      <c r="AN24" s="16">
        <v>127</v>
      </c>
      <c r="AO24" s="16">
        <v>127</v>
      </c>
      <c r="AP24" s="16">
        <v>128</v>
      </c>
      <c r="AQ24" s="16">
        <v>121</v>
      </c>
      <c r="AR24" s="16">
        <v>120</v>
      </c>
      <c r="AS24" s="16">
        <v>110</v>
      </c>
      <c r="AT24" s="16">
        <v>107</v>
      </c>
      <c r="AU24" s="16">
        <v>118</v>
      </c>
      <c r="AV24" s="16">
        <v>117</v>
      </c>
      <c r="AW24" s="16">
        <v>118</v>
      </c>
      <c r="AX24" s="16">
        <v>115</v>
      </c>
      <c r="AY24" s="16">
        <v>115</v>
      </c>
      <c r="AZ24" s="16">
        <f>+AV24</f>
        <v>117</v>
      </c>
      <c r="BA24" s="16">
        <f>+AW24</f>
        <v>118</v>
      </c>
      <c r="BB24" s="16">
        <f>+AX24</f>
        <v>115</v>
      </c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>
        <f t="shared" si="7"/>
        <v>430</v>
      </c>
      <c r="BN24" s="16">
        <f t="shared" si="8"/>
        <v>461</v>
      </c>
      <c r="BO24" s="16">
        <f t="shared" si="9"/>
        <v>494</v>
      </c>
      <c r="BP24" s="16">
        <f t="shared" si="10"/>
        <v>511</v>
      </c>
      <c r="BQ24" s="16">
        <f t="shared" si="11"/>
        <v>458</v>
      </c>
      <c r="BR24" s="16">
        <f>SUM(AU24:AX24)</f>
        <v>468</v>
      </c>
      <c r="BS24" s="16">
        <f>SUM(AY24:BB24)</f>
        <v>465</v>
      </c>
      <c r="BT24" s="16">
        <f t="shared" ref="BS24:BY24" si="30">+BS24*0.9</f>
        <v>418.5</v>
      </c>
      <c r="BU24" s="16">
        <f t="shared" si="30"/>
        <v>376.65000000000003</v>
      </c>
      <c r="BV24" s="16">
        <f t="shared" si="30"/>
        <v>338.98500000000001</v>
      </c>
      <c r="BW24" s="16">
        <f t="shared" si="30"/>
        <v>305.0865</v>
      </c>
      <c r="BX24" s="16">
        <f t="shared" si="30"/>
        <v>274.57785000000001</v>
      </c>
      <c r="BY24" s="16">
        <f t="shared" si="30"/>
        <v>247.12006500000001</v>
      </c>
    </row>
    <row r="25" spans="2:77" s="15" customFormat="1" x14ac:dyDescent="0.2">
      <c r="B25" s="23" t="s">
        <v>129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69</v>
      </c>
      <c r="AK25" s="16">
        <v>123</v>
      </c>
      <c r="AL25" s="16">
        <v>134</v>
      </c>
      <c r="AM25" s="16">
        <v>118</v>
      </c>
      <c r="AN25" s="16">
        <v>142</v>
      </c>
      <c r="AO25" s="16">
        <v>128</v>
      </c>
      <c r="AP25" s="16">
        <v>141</v>
      </c>
      <c r="AQ25" s="16">
        <v>107</v>
      </c>
      <c r="AR25" s="16">
        <v>92</v>
      </c>
      <c r="AS25" s="16">
        <v>73</v>
      </c>
      <c r="AT25" s="16">
        <v>74</v>
      </c>
      <c r="AU25" s="16">
        <v>71</v>
      </c>
      <c r="AV25" s="16">
        <v>65</v>
      </c>
      <c r="AW25" s="16">
        <v>70</v>
      </c>
      <c r="AX25" s="16">
        <v>66</v>
      </c>
      <c r="AY25" s="16">
        <v>59</v>
      </c>
      <c r="AZ25" s="16">
        <f>+AY25-1</f>
        <v>58</v>
      </c>
      <c r="BA25" s="16">
        <f>+AZ25-1</f>
        <v>57</v>
      </c>
      <c r="BB25" s="16">
        <f>+BA25-1</f>
        <v>56</v>
      </c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>
        <f t="shared" si="7"/>
        <v>0</v>
      </c>
      <c r="BN25" s="16">
        <f t="shared" si="8"/>
        <v>0</v>
      </c>
      <c r="BO25" s="16">
        <f t="shared" si="9"/>
        <v>326</v>
      </c>
      <c r="BP25" s="16">
        <f t="shared" si="10"/>
        <v>529</v>
      </c>
      <c r="BQ25" s="16">
        <f t="shared" si="11"/>
        <v>346</v>
      </c>
      <c r="BR25" s="16">
        <f>SUM(AU25:AX25)</f>
        <v>272</v>
      </c>
      <c r="BS25" s="16">
        <f>SUM(AY25:BB25)</f>
        <v>230</v>
      </c>
      <c r="BT25" s="16">
        <f t="shared" ref="BR25:BY25" si="31">+BS25*0.9</f>
        <v>207</v>
      </c>
      <c r="BU25" s="16">
        <f t="shared" si="31"/>
        <v>186.3</v>
      </c>
      <c r="BV25" s="16">
        <f t="shared" si="31"/>
        <v>167.67000000000002</v>
      </c>
      <c r="BW25" s="16">
        <f t="shared" si="31"/>
        <v>150.90300000000002</v>
      </c>
      <c r="BX25" s="16">
        <f t="shared" si="31"/>
        <v>135.81270000000004</v>
      </c>
      <c r="BY25" s="16">
        <f t="shared" si="31"/>
        <v>122.23143000000003</v>
      </c>
    </row>
    <row r="26" spans="2:77" s="15" customFormat="1" x14ac:dyDescent="0.2">
      <c r="B26" s="23" t="s">
        <v>126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11</v>
      </c>
      <c r="AR26" s="16">
        <v>33</v>
      </c>
      <c r="AS26" s="16">
        <v>62</v>
      </c>
      <c r="AT26" s="16">
        <v>52</v>
      </c>
      <c r="AU26" s="16">
        <v>66</v>
      </c>
      <c r="AV26" s="16">
        <v>96</v>
      </c>
      <c r="AW26" s="16">
        <v>132</v>
      </c>
      <c r="AX26" s="16">
        <v>114</v>
      </c>
      <c r="AY26" s="16">
        <v>131</v>
      </c>
      <c r="AZ26" s="16">
        <f>+AV26*1.3</f>
        <v>124.80000000000001</v>
      </c>
      <c r="BA26" s="16">
        <f>+AW26*1.3</f>
        <v>171.6</v>
      </c>
      <c r="BB26" s="16">
        <f>+AX26*1.3</f>
        <v>148.20000000000002</v>
      </c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>
        <f t="shared" si="7"/>
        <v>0</v>
      </c>
      <c r="BN26" s="16">
        <f t="shared" si="8"/>
        <v>0</v>
      </c>
      <c r="BO26" s="16">
        <f t="shared" si="9"/>
        <v>0</v>
      </c>
      <c r="BP26" s="16">
        <f t="shared" si="10"/>
        <v>0</v>
      </c>
      <c r="BQ26" s="16">
        <f t="shared" si="11"/>
        <v>158</v>
      </c>
      <c r="BR26" s="16">
        <f>SUM(AU26:AX26)</f>
        <v>408</v>
      </c>
      <c r="BS26" s="16">
        <f>SUM(AY26:BB26)</f>
        <v>575.6</v>
      </c>
      <c r="BT26" s="16">
        <f>+BS26*1.2</f>
        <v>690.72</v>
      </c>
      <c r="BU26" s="16">
        <f>+BT26*1.2</f>
        <v>828.86400000000003</v>
      </c>
      <c r="BV26" s="16">
        <f>+BU26*1.1</f>
        <v>911.75040000000013</v>
      </c>
      <c r="BW26" s="16">
        <f>+BV26*1.1</f>
        <v>1002.9254400000002</v>
      </c>
      <c r="BX26" s="16">
        <f>+BW26*1.03</f>
        <v>1033.0132032000001</v>
      </c>
      <c r="BY26" s="15">
        <f>+BX26*0.1</f>
        <v>103.30132032000002</v>
      </c>
    </row>
    <row r="27" spans="2:77" s="15" customFormat="1" x14ac:dyDescent="0.2">
      <c r="B27" s="80" t="s">
        <v>335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>
        <v>64</v>
      </c>
      <c r="AZ27" s="16">
        <v>125</v>
      </c>
      <c r="BA27" s="16">
        <f>+AZ27+2</f>
        <v>127</v>
      </c>
      <c r="BB27" s="16">
        <f>+BA27+2</f>
        <v>129</v>
      </c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>
        <f>SUM(AY27:BB27)</f>
        <v>445</v>
      </c>
      <c r="BT27" s="16">
        <f>+BS27*1.1</f>
        <v>489.50000000000006</v>
      </c>
      <c r="BU27" s="16">
        <f>+BT27*1.1</f>
        <v>538.45000000000016</v>
      </c>
      <c r="BV27" s="16">
        <f>+BU27*1.1</f>
        <v>592.29500000000019</v>
      </c>
      <c r="BW27" s="16">
        <f>+BV27*1.1</f>
        <v>651.52450000000022</v>
      </c>
      <c r="BX27" s="16">
        <f>+BW27*1.1</f>
        <v>716.67695000000026</v>
      </c>
      <c r="BY27" s="16">
        <f>+BX27*1.1</f>
        <v>788.34464500000036</v>
      </c>
    </row>
    <row r="28" spans="2:77" s="15" customFormat="1" x14ac:dyDescent="0.2">
      <c r="B28" s="80" t="s">
        <v>336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>
        <v>14</v>
      </c>
      <c r="AX28" s="16">
        <v>17</v>
      </c>
      <c r="AY28" s="16">
        <v>27</v>
      </c>
      <c r="AZ28" s="16">
        <f>+AY28+3</f>
        <v>30</v>
      </c>
      <c r="BA28" s="16">
        <f>+AZ28+3</f>
        <v>33</v>
      </c>
      <c r="BB28" s="16">
        <f>+BA28+3</f>
        <v>36</v>
      </c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>
        <f t="shared" ref="BR27:BR38" si="32">SUM(AU28:AX28)</f>
        <v>31</v>
      </c>
      <c r="BS28" s="16">
        <f>SUM(AY28:BB28)</f>
        <v>126</v>
      </c>
      <c r="BT28" s="16"/>
      <c r="BU28" s="16"/>
      <c r="BV28" s="16"/>
      <c r="BW28" s="16"/>
      <c r="BX28" s="16"/>
    </row>
    <row r="29" spans="2:77" s="15" customFormat="1" x14ac:dyDescent="0.2">
      <c r="B29" s="75" t="s">
        <v>329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>
        <v>110</v>
      </c>
      <c r="AS29" s="16">
        <v>106</v>
      </c>
      <c r="AT29" s="16"/>
      <c r="AU29" s="16">
        <v>115</v>
      </c>
      <c r="AV29" s="16">
        <v>119</v>
      </c>
      <c r="AW29" s="16">
        <v>120</v>
      </c>
      <c r="AX29" s="16">
        <v>118</v>
      </c>
      <c r="AY29" s="16">
        <v>131</v>
      </c>
      <c r="AZ29" s="16">
        <f>+AV29+5</f>
        <v>124</v>
      </c>
      <c r="BA29" s="16">
        <f>+AW29+5</f>
        <v>125</v>
      </c>
      <c r="BB29" s="16">
        <f>+AX29+5</f>
        <v>123</v>
      </c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>
        <f t="shared" si="32"/>
        <v>472</v>
      </c>
      <c r="BS29" s="16">
        <f>SUM(AY29:BB29)</f>
        <v>503</v>
      </c>
      <c r="BT29" s="16"/>
      <c r="BU29" s="16"/>
      <c r="BV29" s="16"/>
      <c r="BW29" s="16"/>
      <c r="BX29" s="16"/>
    </row>
    <row r="30" spans="2:77" s="15" customFormat="1" x14ac:dyDescent="0.2">
      <c r="B30" s="48" t="s">
        <v>235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80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>
        <f t="shared" si="7"/>
        <v>0</v>
      </c>
      <c r="BN30" s="16">
        <f t="shared" si="8"/>
        <v>0</v>
      </c>
      <c r="BO30" s="16">
        <f t="shared" si="9"/>
        <v>80</v>
      </c>
      <c r="BP30" s="16"/>
      <c r="BQ30" s="16"/>
      <c r="BR30" s="16"/>
      <c r="BS30" s="16"/>
      <c r="BT30" s="16"/>
      <c r="BU30" s="16"/>
      <c r="BV30" s="16"/>
      <c r="BW30" s="16"/>
      <c r="BX30" s="16"/>
    </row>
    <row r="31" spans="2:77" s="15" customFormat="1" x14ac:dyDescent="0.2">
      <c r="B31" s="48" t="s">
        <v>236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19</v>
      </c>
      <c r="AG31" s="16">
        <v>27</v>
      </c>
      <c r="AH31" s="16">
        <v>34</v>
      </c>
      <c r="AI31" s="16">
        <v>31</v>
      </c>
      <c r="AJ31" s="16">
        <v>31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>
        <f t="shared" si="7"/>
        <v>0</v>
      </c>
      <c r="BN31" s="16">
        <f t="shared" si="8"/>
        <v>80</v>
      </c>
      <c r="BO31" s="16">
        <f t="shared" si="9"/>
        <v>62</v>
      </c>
      <c r="BP31" s="16"/>
      <c r="BQ31" s="16"/>
      <c r="BR31" s="16"/>
      <c r="BS31" s="16"/>
      <c r="BT31" s="16"/>
      <c r="BU31" s="16"/>
      <c r="BV31" s="16"/>
      <c r="BW31" s="16"/>
      <c r="BX31" s="16"/>
    </row>
    <row r="32" spans="2:77" s="15" customFormat="1" x14ac:dyDescent="0.2">
      <c r="B32" s="15" t="s">
        <v>9</v>
      </c>
      <c r="C32" s="16"/>
      <c r="D32" s="16"/>
      <c r="E32" s="16">
        <v>189</v>
      </c>
      <c r="F32" s="16"/>
      <c r="G32" s="16">
        <v>181</v>
      </c>
      <c r="H32" s="16"/>
      <c r="I32" s="16">
        <v>196</v>
      </c>
      <c r="J32" s="16"/>
      <c r="K32" s="16"/>
      <c r="L32" s="16">
        <v>186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>
        <v>219</v>
      </c>
      <c r="AB32" s="16">
        <v>223</v>
      </c>
      <c r="AC32" s="16">
        <v>214</v>
      </c>
      <c r="AD32" s="16">
        <v>236</v>
      </c>
      <c r="AE32" s="16">
        <v>229</v>
      </c>
      <c r="AF32" s="16">
        <v>209</v>
      </c>
      <c r="AG32" s="16">
        <v>230</v>
      </c>
      <c r="AH32" s="16">
        <v>219</v>
      </c>
      <c r="AI32" s="16">
        <v>233</v>
      </c>
      <c r="AJ32" s="16">
        <v>205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>
        <f t="shared" si="7"/>
        <v>892</v>
      </c>
      <c r="BN32" s="16">
        <f t="shared" si="8"/>
        <v>887</v>
      </c>
      <c r="BO32" s="16">
        <f t="shared" si="9"/>
        <v>438</v>
      </c>
      <c r="BP32" s="16"/>
      <c r="BQ32" s="16"/>
      <c r="BR32" s="16"/>
      <c r="BS32" s="16"/>
      <c r="BT32" s="16"/>
      <c r="BU32" s="16"/>
      <c r="BV32" s="16"/>
      <c r="BW32" s="16"/>
      <c r="BX32" s="16"/>
    </row>
    <row r="33" spans="2:77" s="15" customFormat="1" x14ac:dyDescent="0.2">
      <c r="B33" s="15" t="s">
        <v>7</v>
      </c>
      <c r="C33" s="16"/>
      <c r="D33" s="16"/>
      <c r="E33" s="16">
        <v>131</v>
      </c>
      <c r="F33" s="16"/>
      <c r="G33" s="16">
        <v>119</v>
      </c>
      <c r="H33" s="16"/>
      <c r="I33" s="16">
        <v>161</v>
      </c>
      <c r="J33" s="16"/>
      <c r="K33" s="16"/>
      <c r="L33" s="16">
        <v>166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182</v>
      </c>
      <c r="AB33" s="16">
        <v>193</v>
      </c>
      <c r="AC33" s="16">
        <v>192</v>
      </c>
      <c r="AD33" s="16">
        <v>209</v>
      </c>
      <c r="AE33" s="16">
        <v>182</v>
      </c>
      <c r="AF33" s="16">
        <v>203</v>
      </c>
      <c r="AG33" s="16">
        <v>197</v>
      </c>
      <c r="AH33" s="16">
        <v>204</v>
      </c>
      <c r="AI33" s="16">
        <v>205</v>
      </c>
      <c r="AJ33" s="16">
        <v>183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>
        <f t="shared" si="7"/>
        <v>776</v>
      </c>
      <c r="BN33" s="16">
        <f t="shared" si="8"/>
        <v>786</v>
      </c>
      <c r="BO33" s="16">
        <f t="shared" si="9"/>
        <v>388</v>
      </c>
      <c r="BP33" s="16"/>
      <c r="BQ33" s="16"/>
      <c r="BR33" s="16"/>
      <c r="BS33" s="16"/>
      <c r="BT33" s="16"/>
      <c r="BU33" s="16"/>
      <c r="BV33" s="16"/>
      <c r="BW33" s="16"/>
      <c r="BX33" s="16"/>
    </row>
    <row r="34" spans="2:77" s="15" customFormat="1" x14ac:dyDescent="0.2">
      <c r="B34" s="48" t="s">
        <v>237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36</v>
      </c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>
        <f t="shared" si="7"/>
        <v>0</v>
      </c>
      <c r="BN34" s="16">
        <f t="shared" si="8"/>
        <v>0</v>
      </c>
      <c r="BO34" s="16">
        <f t="shared" si="9"/>
        <v>36</v>
      </c>
      <c r="BP34" s="16"/>
      <c r="BQ34" s="16"/>
      <c r="BR34" s="16"/>
      <c r="BS34" s="16"/>
      <c r="BT34" s="16"/>
      <c r="BU34" s="16"/>
      <c r="BV34" s="16"/>
      <c r="BW34" s="16"/>
      <c r="BX34" s="16"/>
    </row>
    <row r="35" spans="2:77" s="15" customFormat="1" x14ac:dyDescent="0.2">
      <c r="B35" s="15" t="s">
        <v>2</v>
      </c>
      <c r="C35" s="16"/>
      <c r="D35" s="16"/>
      <c r="E35" s="16">
        <v>96</v>
      </c>
      <c r="F35" s="16"/>
      <c r="G35" s="16">
        <v>345</v>
      </c>
      <c r="H35" s="16"/>
      <c r="I35" s="16">
        <v>98</v>
      </c>
      <c r="J35" s="16"/>
      <c r="K35" s="16"/>
      <c r="L35" s="16">
        <v>74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>
        <v>321</v>
      </c>
      <c r="AB35" s="16">
        <v>44</v>
      </c>
      <c r="AC35" s="16">
        <v>97</v>
      </c>
      <c r="AD35" s="16">
        <v>264</v>
      </c>
      <c r="AE35" s="16">
        <v>287</v>
      </c>
      <c r="AF35" s="16">
        <v>38</v>
      </c>
      <c r="AG35" s="16">
        <v>132</v>
      </c>
      <c r="AH35" s="16">
        <v>261</v>
      </c>
      <c r="AI35" s="16">
        <v>270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f t="shared" si="7"/>
        <v>726</v>
      </c>
      <c r="BN35" s="16">
        <f t="shared" si="8"/>
        <v>718</v>
      </c>
      <c r="BO35" s="16">
        <f t="shared" si="9"/>
        <v>270</v>
      </c>
      <c r="BP35" s="16"/>
      <c r="BQ35" s="16"/>
      <c r="BR35" s="16"/>
      <c r="BS35" s="16"/>
      <c r="BT35" s="16"/>
      <c r="BU35" s="16"/>
      <c r="BV35" s="16"/>
      <c r="BW35" s="16"/>
      <c r="BX35" s="16"/>
    </row>
    <row r="36" spans="2:77" s="15" customFormat="1" x14ac:dyDescent="0.2">
      <c r="B36" s="15" t="s">
        <v>3</v>
      </c>
      <c r="C36" s="16"/>
      <c r="D36" s="16"/>
      <c r="E36" s="16">
        <v>279</v>
      </c>
      <c r="F36" s="16"/>
      <c r="G36" s="16">
        <v>240</v>
      </c>
      <c r="H36" s="16"/>
      <c r="I36" s="16">
        <v>248</v>
      </c>
      <c r="J36" s="16"/>
      <c r="K36" s="16"/>
      <c r="L36" s="16">
        <v>218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>
        <v>130</v>
      </c>
      <c r="AB36" s="16">
        <v>128</v>
      </c>
      <c r="AC36" s="16">
        <v>135</v>
      </c>
      <c r="AD36" s="16">
        <v>76</v>
      </c>
      <c r="AE36" s="16">
        <v>74</v>
      </c>
      <c r="AF36" s="16">
        <v>22</v>
      </c>
      <c r="AG36" s="16">
        <v>53</v>
      </c>
      <c r="AH36" s="16">
        <v>23</v>
      </c>
      <c r="AI36" s="16">
        <v>8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>
        <f t="shared" si="7"/>
        <v>469</v>
      </c>
      <c r="BN36" s="16">
        <f t="shared" si="8"/>
        <v>172</v>
      </c>
      <c r="BO36" s="16">
        <f t="shared" si="9"/>
        <v>8</v>
      </c>
      <c r="BP36" s="16"/>
      <c r="BQ36" s="16"/>
      <c r="BR36" s="16"/>
      <c r="BS36" s="16"/>
      <c r="BT36" s="16"/>
      <c r="BU36" s="16"/>
      <c r="BV36" s="16"/>
      <c r="BW36" s="16"/>
      <c r="BX36" s="16"/>
    </row>
    <row r="37" spans="2:77" s="15" customFormat="1" x14ac:dyDescent="0.2">
      <c r="B37" s="15" t="s">
        <v>11</v>
      </c>
      <c r="C37" s="16"/>
      <c r="D37" s="16"/>
      <c r="E37" s="16">
        <v>267</v>
      </c>
      <c r="F37" s="16"/>
      <c r="G37" s="16">
        <v>219</v>
      </c>
      <c r="H37" s="16"/>
      <c r="I37" s="16">
        <v>237</v>
      </c>
      <c r="J37" s="16"/>
      <c r="K37" s="16"/>
      <c r="L37" s="16">
        <v>216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>
        <v>73</v>
      </c>
      <c r="AB37" s="16">
        <v>91</v>
      </c>
      <c r="AC37" s="16">
        <v>88</v>
      </c>
      <c r="AD37" s="16">
        <v>84</v>
      </c>
      <c r="AE37" s="16">
        <v>78</v>
      </c>
      <c r="AF37" s="16">
        <v>77</v>
      </c>
      <c r="AG37" s="16">
        <v>74</v>
      </c>
      <c r="AH37" s="16">
        <v>54</v>
      </c>
      <c r="AI37" s="16">
        <v>86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>
        <f t="shared" si="7"/>
        <v>336</v>
      </c>
      <c r="BN37" s="16">
        <f t="shared" si="8"/>
        <v>283</v>
      </c>
      <c r="BO37" s="16">
        <f t="shared" si="9"/>
        <v>86</v>
      </c>
      <c r="BP37" s="16"/>
      <c r="BQ37" s="16"/>
      <c r="BR37" s="16"/>
      <c r="BS37" s="16"/>
      <c r="BT37" s="16"/>
      <c r="BU37" s="16"/>
      <c r="BV37" s="16"/>
      <c r="BW37" s="16"/>
      <c r="BX37" s="16"/>
    </row>
    <row r="38" spans="2:77" s="15" customFormat="1" x14ac:dyDescent="0.2">
      <c r="B38" s="15" t="s">
        <v>10</v>
      </c>
      <c r="C38" s="16"/>
      <c r="D38" s="16"/>
      <c r="E38" s="16">
        <v>232</v>
      </c>
      <c r="F38" s="16"/>
      <c r="G38" s="16">
        <v>186</v>
      </c>
      <c r="H38" s="16"/>
      <c r="I38" s="16">
        <v>201</v>
      </c>
      <c r="J38" s="16"/>
      <c r="K38" s="16"/>
      <c r="L38" s="16">
        <v>21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>
        <f t="shared" si="7"/>
        <v>0</v>
      </c>
      <c r="BN38" s="16">
        <f t="shared" si="8"/>
        <v>0</v>
      </c>
      <c r="BO38" s="16">
        <f t="shared" si="9"/>
        <v>0</v>
      </c>
      <c r="BP38" s="16"/>
      <c r="BQ38" s="16"/>
      <c r="BR38" s="16"/>
      <c r="BS38" s="16"/>
      <c r="BT38" s="16"/>
      <c r="BU38" s="16"/>
      <c r="BV38" s="16"/>
      <c r="BW38" s="16"/>
      <c r="BX38" s="16"/>
    </row>
    <row r="39" spans="2:77" s="15" customFormat="1" x14ac:dyDescent="0.2">
      <c r="B39" s="48" t="s">
        <v>238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>
        <v>0</v>
      </c>
      <c r="AB39" s="16">
        <v>0</v>
      </c>
      <c r="AC39" s="16">
        <v>23</v>
      </c>
      <c r="AD39" s="16">
        <v>43</v>
      </c>
      <c r="AE39" s="16">
        <v>25</v>
      </c>
      <c r="AF39" s="16">
        <v>4</v>
      </c>
      <c r="AG39" s="16">
        <v>3</v>
      </c>
      <c r="AH39" s="16">
        <v>4</v>
      </c>
      <c r="AI39" s="16">
        <v>5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>
        <f t="shared" si="7"/>
        <v>66</v>
      </c>
      <c r="BN39" s="16">
        <f t="shared" si="8"/>
        <v>36</v>
      </c>
      <c r="BO39" s="16">
        <f t="shared" si="9"/>
        <v>5</v>
      </c>
      <c r="BP39" s="16"/>
      <c r="BQ39" s="16"/>
      <c r="BR39" s="16"/>
      <c r="BS39" s="16"/>
      <c r="BT39" s="16"/>
      <c r="BU39" s="16"/>
      <c r="BV39" s="16"/>
      <c r="BW39" s="16"/>
      <c r="BX39" s="16"/>
    </row>
    <row r="40" spans="2:77" s="15" customFormat="1" x14ac:dyDescent="0.2">
      <c r="B40" s="15" t="s">
        <v>8</v>
      </c>
      <c r="C40" s="16"/>
      <c r="D40" s="16"/>
      <c r="E40" s="16">
        <v>332</v>
      </c>
      <c r="F40" s="16"/>
      <c r="G40" s="16">
        <v>128</v>
      </c>
      <c r="H40" s="16"/>
      <c r="I40" s="16">
        <v>39</v>
      </c>
      <c r="J40" s="16"/>
      <c r="K40" s="16"/>
      <c r="L40" s="16">
        <v>17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>
        <f t="shared" si="7"/>
        <v>0</v>
      </c>
      <c r="BN40" s="16">
        <f t="shared" si="8"/>
        <v>0</v>
      </c>
      <c r="BO40" s="16">
        <f t="shared" si="9"/>
        <v>0</v>
      </c>
      <c r="BP40" s="16"/>
      <c r="BQ40" s="16"/>
      <c r="BR40" s="16"/>
      <c r="BS40" s="16"/>
      <c r="BT40" s="16"/>
      <c r="BU40" s="16"/>
      <c r="BV40" s="16"/>
      <c r="BW40" s="16"/>
      <c r="BX40" s="16"/>
    </row>
    <row r="41" spans="2:77" s="15" customFormat="1" x14ac:dyDescent="0.2">
      <c r="B41" s="15" t="s">
        <v>63</v>
      </c>
      <c r="C41" s="16"/>
      <c r="D41" s="16"/>
      <c r="E41" s="16">
        <v>135</v>
      </c>
      <c r="F41" s="16"/>
      <c r="G41" s="16"/>
      <c r="H41" s="16"/>
      <c r="I41" s="16">
        <v>138</v>
      </c>
      <c r="J41" s="16"/>
      <c r="K41" s="16"/>
      <c r="L41" s="16">
        <v>154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>
        <v>106</v>
      </c>
      <c r="AB41" s="16">
        <v>113</v>
      </c>
      <c r="AC41" s="16">
        <v>86</v>
      </c>
      <c r="AD41" s="16">
        <v>86</v>
      </c>
      <c r="AE41" s="16">
        <v>92</v>
      </c>
      <c r="AF41" s="16">
        <v>91</v>
      </c>
      <c r="AG41" s="16">
        <v>84</v>
      </c>
      <c r="AH41" s="16">
        <v>81</v>
      </c>
      <c r="AI41" s="16">
        <v>79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>
        <f t="shared" si="7"/>
        <v>391</v>
      </c>
      <c r="BN41" s="16">
        <f t="shared" si="8"/>
        <v>348</v>
      </c>
      <c r="BO41" s="16">
        <f t="shared" si="9"/>
        <v>79</v>
      </c>
      <c r="BP41" s="16"/>
      <c r="BQ41" s="16"/>
      <c r="BR41" s="16"/>
      <c r="BS41" s="16"/>
      <c r="BT41" s="16"/>
      <c r="BU41" s="16"/>
      <c r="BV41" s="16"/>
      <c r="BW41" s="16"/>
      <c r="BX41" s="16"/>
    </row>
    <row r="42" spans="2:77" s="15" customFormat="1" x14ac:dyDescent="0.2">
      <c r="B42" s="15" t="s">
        <v>5</v>
      </c>
      <c r="C42" s="16"/>
      <c r="D42" s="16"/>
      <c r="E42" s="16">
        <v>91</v>
      </c>
      <c r="F42" s="16"/>
      <c r="G42" s="16">
        <v>81</v>
      </c>
      <c r="H42" s="16"/>
      <c r="I42" s="16">
        <v>100</v>
      </c>
      <c r="J42" s="16"/>
      <c r="K42" s="16"/>
      <c r="L42" s="16">
        <v>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>
        <f t="shared" si="7"/>
        <v>0</v>
      </c>
      <c r="BN42" s="16">
        <f t="shared" si="8"/>
        <v>0</v>
      </c>
      <c r="BO42" s="16">
        <f t="shared" si="9"/>
        <v>0</v>
      </c>
      <c r="BP42" s="16"/>
      <c r="BQ42" s="16"/>
      <c r="BR42" s="16"/>
      <c r="BS42" s="16"/>
      <c r="BT42" s="16"/>
      <c r="BU42" s="16"/>
      <c r="BV42" s="16"/>
      <c r="BW42" s="16"/>
      <c r="BX42" s="16"/>
    </row>
    <row r="43" spans="2:77" s="15" customFormat="1" x14ac:dyDescent="0.2">
      <c r="B43" s="15" t="s">
        <v>13</v>
      </c>
      <c r="C43" s="16"/>
      <c r="D43" s="16"/>
      <c r="E43" s="16">
        <f>SUM(E5:E42)</f>
        <v>4207</v>
      </c>
      <c r="F43" s="16"/>
      <c r="G43" s="16">
        <f>SUM(G5:G42)</f>
        <v>3872</v>
      </c>
      <c r="H43" s="16"/>
      <c r="I43" s="16">
        <f>SUM(I5:I42)</f>
        <v>4335</v>
      </c>
      <c r="J43" s="16"/>
      <c r="K43" s="16"/>
      <c r="L43" s="16">
        <f>SUM(L5:L42)</f>
        <v>4506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>
        <f t="shared" si="7"/>
        <v>0</v>
      </c>
      <c r="BN43" s="16">
        <f t="shared" si="8"/>
        <v>0</v>
      </c>
      <c r="BO43" s="16">
        <f t="shared" si="9"/>
        <v>0</v>
      </c>
      <c r="BP43" s="16"/>
      <c r="BQ43" s="16"/>
      <c r="BR43" s="16"/>
      <c r="BS43" s="16"/>
      <c r="BT43" s="16"/>
      <c r="BU43" s="16"/>
      <c r="BV43" s="16"/>
      <c r="BW43" s="16"/>
      <c r="BX43" s="16"/>
    </row>
    <row r="44" spans="2:77" s="15" customFormat="1" x14ac:dyDescent="0.2">
      <c r="B44" s="15" t="s">
        <v>12</v>
      </c>
      <c r="C44" s="16"/>
      <c r="D44" s="16"/>
      <c r="E44" s="16">
        <v>301</v>
      </c>
      <c r="F44" s="16"/>
      <c r="G44" s="16">
        <f>+G45-G43</f>
        <v>457</v>
      </c>
      <c r="H44" s="16"/>
      <c r="I44" s="16">
        <v>323</v>
      </c>
      <c r="J44" s="16"/>
      <c r="K44" s="16"/>
      <c r="L44" s="16">
        <f>4926-L43</f>
        <v>420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>
        <f>7934-7733</f>
        <v>201</v>
      </c>
      <c r="AB44" s="16">
        <v>131</v>
      </c>
      <c r="AC44" s="16">
        <v>25</v>
      </c>
      <c r="AD44" s="16">
        <f>8305-8239</f>
        <v>66</v>
      </c>
      <c r="AE44" s="16">
        <f>7828-7714</f>
        <v>114</v>
      </c>
      <c r="AF44" s="16">
        <v>254</v>
      </c>
      <c r="AG44" s="16">
        <f>8479-8396</f>
        <v>83</v>
      </c>
      <c r="AH44" s="16">
        <f>8704-8631</f>
        <v>73</v>
      </c>
      <c r="AI44" s="16">
        <f>8619-8514</f>
        <v>105</v>
      </c>
      <c r="AJ44" s="16">
        <f>10425-9835</f>
        <v>590</v>
      </c>
      <c r="AK44" s="16">
        <f>12882-11512</f>
        <v>1370</v>
      </c>
      <c r="AL44" s="16">
        <f>13858-12276</f>
        <v>1582</v>
      </c>
      <c r="AM44" s="16">
        <f>12935-11534</f>
        <v>1401</v>
      </c>
      <c r="AN44" s="16">
        <f>13959-12738</f>
        <v>1221</v>
      </c>
      <c r="AO44" s="16">
        <f>14342-13225</f>
        <v>1117</v>
      </c>
      <c r="AP44" s="16">
        <f>14886-13501</f>
        <v>1385</v>
      </c>
      <c r="AQ44" s="16">
        <f>13538-12327</f>
        <v>1211</v>
      </c>
      <c r="AR44" s="16">
        <f>14583-13574</f>
        <v>1009</v>
      </c>
      <c r="AS44" s="16">
        <v>925</v>
      </c>
      <c r="AT44" s="16">
        <v>992</v>
      </c>
      <c r="AU44" s="16">
        <v>691</v>
      </c>
      <c r="AV44" s="16">
        <v>741</v>
      </c>
      <c r="AW44" s="16">
        <v>782</v>
      </c>
      <c r="AX44" s="16">
        <f>3035-AW44-AV44-AU44</f>
        <v>821</v>
      </c>
      <c r="AY44" s="16">
        <v>744</v>
      </c>
      <c r="AZ44" s="16">
        <f>+AV44</f>
        <v>741</v>
      </c>
      <c r="BA44" s="16">
        <f>+AW44</f>
        <v>782</v>
      </c>
      <c r="BB44" s="16">
        <f>+AX44</f>
        <v>821</v>
      </c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>
        <f t="shared" si="7"/>
        <v>423</v>
      </c>
      <c r="BN44" s="16">
        <f t="shared" ref="BN44" si="33">SUM(AE44:AH44)</f>
        <v>524</v>
      </c>
      <c r="BO44" s="16">
        <f t="shared" ref="BO44" si="34">SUM(AI44:AL44)</f>
        <v>3647</v>
      </c>
      <c r="BP44" s="16">
        <f t="shared" si="10"/>
        <v>5124</v>
      </c>
      <c r="BQ44" s="16">
        <f t="shared" si="11"/>
        <v>4137</v>
      </c>
      <c r="BR44" s="16">
        <f>SUM(AU44:AX44)</f>
        <v>3035</v>
      </c>
      <c r="BS44" s="16">
        <f>SUM(AY44:BB44)</f>
        <v>3088</v>
      </c>
      <c r="BT44" s="16">
        <f t="shared" ref="BS44:BY44" si="35">+BS44*0.9</f>
        <v>2779.2000000000003</v>
      </c>
      <c r="BU44" s="16">
        <f t="shared" si="35"/>
        <v>2501.2800000000002</v>
      </c>
      <c r="BV44" s="16">
        <f t="shared" si="35"/>
        <v>2251.152</v>
      </c>
      <c r="BW44" s="16">
        <f t="shared" si="35"/>
        <v>2026.0368000000001</v>
      </c>
      <c r="BX44" s="16">
        <f t="shared" si="35"/>
        <v>1823.4331200000001</v>
      </c>
      <c r="BY44" s="16">
        <f t="shared" si="35"/>
        <v>1641.0898080000002</v>
      </c>
    </row>
    <row r="45" spans="2:77" s="17" customFormat="1" x14ac:dyDescent="0.2">
      <c r="B45" s="17" t="s">
        <v>246</v>
      </c>
      <c r="C45" s="18"/>
      <c r="D45" s="18"/>
      <c r="E45" s="18">
        <f>+E44+E43</f>
        <v>4508</v>
      </c>
      <c r="F45" s="18"/>
      <c r="G45" s="18">
        <v>4329</v>
      </c>
      <c r="H45" s="18"/>
      <c r="I45" s="18">
        <f>+I44+I43</f>
        <v>4658</v>
      </c>
      <c r="J45" s="18"/>
      <c r="K45" s="18"/>
      <c r="L45" s="18">
        <f>+L44+L43</f>
        <v>4926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>
        <v>6538</v>
      </c>
      <c r="X45" s="18">
        <v>6944</v>
      </c>
      <c r="Y45" s="18">
        <v>6995</v>
      </c>
      <c r="Z45" s="18">
        <v>7739</v>
      </c>
      <c r="AA45" s="18">
        <v>7934</v>
      </c>
      <c r="AB45" s="18">
        <f t="shared" ref="AB45:BB45" si="36">SUM(AB5:AB44)</f>
        <v>8258</v>
      </c>
      <c r="AC45" s="18">
        <f t="shared" si="36"/>
        <v>8236</v>
      </c>
      <c r="AD45" s="18">
        <f t="shared" si="36"/>
        <v>8305</v>
      </c>
      <c r="AE45" s="18">
        <f t="shared" si="36"/>
        <v>7828</v>
      </c>
      <c r="AF45" s="18">
        <f t="shared" si="36"/>
        <v>8255</v>
      </c>
      <c r="AG45" s="18">
        <f t="shared" si="36"/>
        <v>8479</v>
      </c>
      <c r="AH45" s="18">
        <f t="shared" si="36"/>
        <v>8704</v>
      </c>
      <c r="AI45" s="18">
        <f t="shared" si="36"/>
        <v>8619</v>
      </c>
      <c r="AJ45" s="18">
        <f t="shared" si="36"/>
        <v>10425</v>
      </c>
      <c r="AK45" s="18">
        <f t="shared" si="36"/>
        <v>12882</v>
      </c>
      <c r="AL45" s="18">
        <f t="shared" si="36"/>
        <v>13858</v>
      </c>
      <c r="AM45" s="18">
        <f t="shared" si="36"/>
        <v>12935</v>
      </c>
      <c r="AN45" s="18">
        <f t="shared" si="36"/>
        <v>13959</v>
      </c>
      <c r="AO45" s="18">
        <f t="shared" si="36"/>
        <v>14342</v>
      </c>
      <c r="AP45" s="18">
        <f t="shared" si="36"/>
        <v>14886</v>
      </c>
      <c r="AQ45" s="18">
        <f t="shared" si="36"/>
        <v>13538</v>
      </c>
      <c r="AR45" s="18">
        <f t="shared" si="36"/>
        <v>14583</v>
      </c>
      <c r="AS45" s="18">
        <f t="shared" si="36"/>
        <v>14812</v>
      </c>
      <c r="AT45" s="18">
        <f t="shared" si="36"/>
        <v>15121</v>
      </c>
      <c r="AU45" s="18">
        <f t="shared" si="36"/>
        <v>12225</v>
      </c>
      <c r="AV45" s="18">
        <f t="shared" si="36"/>
        <v>13865</v>
      </c>
      <c r="AW45" s="18">
        <f t="shared" si="36"/>
        <v>13927</v>
      </c>
      <c r="AX45" s="18">
        <f t="shared" si="36"/>
        <v>14301</v>
      </c>
      <c r="AY45" s="18">
        <f t="shared" si="36"/>
        <v>12310</v>
      </c>
      <c r="AZ45" s="18">
        <f t="shared" si="36"/>
        <v>12705.94</v>
      </c>
      <c r="BA45" s="18">
        <f t="shared" si="36"/>
        <v>13380.489999999998</v>
      </c>
      <c r="BB45" s="18">
        <f t="shared" si="36"/>
        <v>13816.44</v>
      </c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>
        <f t="shared" ref="BM45:BY45" si="37">SUM(BM5:BM44)</f>
        <v>32733</v>
      </c>
      <c r="BN45" s="18">
        <f t="shared" si="37"/>
        <v>33266</v>
      </c>
      <c r="BO45" s="18">
        <f t="shared" si="37"/>
        <v>45784</v>
      </c>
      <c r="BP45" s="18">
        <f t="shared" si="37"/>
        <v>56122</v>
      </c>
      <c r="BQ45" s="18">
        <f t="shared" si="37"/>
        <v>57838</v>
      </c>
      <c r="BR45" s="18">
        <f t="shared" si="37"/>
        <v>54318</v>
      </c>
      <c r="BS45" s="18">
        <f t="shared" si="37"/>
        <v>52212.87</v>
      </c>
      <c r="BT45" s="18">
        <f t="shared" si="37"/>
        <v>52825.623500000002</v>
      </c>
      <c r="BU45" s="18">
        <f t="shared" si="37"/>
        <v>51380.336075000014</v>
      </c>
      <c r="BV45" s="18">
        <f t="shared" si="37"/>
        <v>50450.673905749994</v>
      </c>
      <c r="BW45" s="18">
        <f t="shared" si="37"/>
        <v>48592.078552347499</v>
      </c>
      <c r="BX45" s="18">
        <f t="shared" si="37"/>
        <v>47979.991127764188</v>
      </c>
      <c r="BY45" s="18">
        <f t="shared" si="37"/>
        <v>34222.065928328389</v>
      </c>
    </row>
    <row r="46" spans="2:77" s="15" customFormat="1" x14ac:dyDescent="0.2">
      <c r="B46" s="15" t="s">
        <v>25</v>
      </c>
      <c r="C46" s="16"/>
      <c r="D46" s="16"/>
      <c r="E46" s="16"/>
      <c r="F46" s="16"/>
      <c r="G46" s="16">
        <v>1153</v>
      </c>
      <c r="H46" s="16"/>
      <c r="I46" s="16">
        <v>1092</v>
      </c>
      <c r="J46" s="16"/>
      <c r="K46" s="16"/>
      <c r="L46" s="16">
        <f>1113-69-3-6</f>
        <v>1035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>
        <v>1313</v>
      </c>
      <c r="X46" s="16">
        <v>1529</v>
      </c>
      <c r="Y46" s="16">
        <v>1342</v>
      </c>
      <c r="Z46" s="16">
        <v>1626</v>
      </c>
      <c r="AA46" s="16">
        <v>1572</v>
      </c>
      <c r="AB46" s="16">
        <v>1607</v>
      </c>
      <c r="AC46" s="16">
        <v>1509</v>
      </c>
      <c r="AD46" s="16">
        <v>1674</v>
      </c>
      <c r="AE46" s="16">
        <v>1303</v>
      </c>
      <c r="AF46" s="16">
        <v>1427</v>
      </c>
      <c r="AG46" s="16">
        <v>1525</v>
      </c>
      <c r="AH46" s="16">
        <v>1605</v>
      </c>
      <c r="AI46" s="16">
        <v>1494</v>
      </c>
      <c r="AJ46" s="16">
        <v>1796</v>
      </c>
      <c r="AK46" s="16">
        <v>2362</v>
      </c>
      <c r="AL46" s="16">
        <v>2523</v>
      </c>
      <c r="AM46" s="16">
        <v>2085</v>
      </c>
      <c r="AN46" s="16">
        <v>2479</v>
      </c>
      <c r="AO46" s="16">
        <v>2413</v>
      </c>
      <c r="AP46" s="16">
        <v>2448</v>
      </c>
      <c r="AQ46" s="16">
        <v>2103</v>
      </c>
      <c r="AR46" s="16">
        <v>2167</v>
      </c>
      <c r="AS46" s="16">
        <v>2167</v>
      </c>
      <c r="AT46" s="16">
        <f>+AT45-AT47</f>
        <v>2268.1499999999996</v>
      </c>
      <c r="AU46" s="16">
        <v>1931</v>
      </c>
      <c r="AV46" s="16">
        <v>2117</v>
      </c>
      <c r="AW46" s="16">
        <v>2301</v>
      </c>
      <c r="AX46" s="16">
        <v>2297</v>
      </c>
      <c r="AY46" s="16">
        <v>2108</v>
      </c>
      <c r="AZ46" s="16">
        <f>+AZ45-AZ47</f>
        <v>2160.0097999999998</v>
      </c>
      <c r="BA46" s="16">
        <f>+BA45-BA47</f>
        <v>2274.6833000000006</v>
      </c>
      <c r="BB46" s="16">
        <f>+BB45-BB47</f>
        <v>2348.7948000000015</v>
      </c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>
        <f t="shared" si="7"/>
        <v>6362</v>
      </c>
      <c r="BN46" s="16">
        <f t="shared" ref="BN46" si="38">SUM(AE46:AH46)</f>
        <v>5860</v>
      </c>
      <c r="BO46" s="16">
        <f t="shared" ref="BO46" si="39">SUM(AI46:AL46)</f>
        <v>8175</v>
      </c>
      <c r="BP46" s="16">
        <f t="shared" ref="BP46" si="40">SUM(AM46:AP46)</f>
        <v>9425</v>
      </c>
      <c r="BQ46" s="16">
        <f t="shared" ref="BQ46" si="41">SUM(AQ46:AT46)</f>
        <v>8705.15</v>
      </c>
      <c r="BR46" s="16">
        <f>SUM(AU46:AX46)</f>
        <v>8646</v>
      </c>
      <c r="BS46" s="16">
        <f t="shared" ref="BS46:BY46" si="42">+BS45-BS47</f>
        <v>7831.9305000000022</v>
      </c>
      <c r="BT46" s="16">
        <f t="shared" si="42"/>
        <v>7923.8435250000039</v>
      </c>
      <c r="BU46" s="16">
        <f t="shared" si="42"/>
        <v>7707.0504112500057</v>
      </c>
      <c r="BV46" s="16">
        <f t="shared" si="42"/>
        <v>7567.6010858625013</v>
      </c>
      <c r="BW46" s="16">
        <f t="shared" si="42"/>
        <v>7288.8117828521281</v>
      </c>
      <c r="BX46" s="16">
        <f t="shared" si="42"/>
        <v>7196.9986691646263</v>
      </c>
      <c r="BY46" s="16">
        <f t="shared" si="42"/>
        <v>5133.3098892492599</v>
      </c>
    </row>
    <row r="47" spans="2:77" s="15" customFormat="1" x14ac:dyDescent="0.2">
      <c r="B47" s="15" t="s">
        <v>24</v>
      </c>
      <c r="C47" s="16"/>
      <c r="D47" s="16"/>
      <c r="E47" s="16"/>
      <c r="F47" s="16"/>
      <c r="G47" s="16">
        <f>+G45-G46</f>
        <v>3176</v>
      </c>
      <c r="H47" s="16"/>
      <c r="I47" s="16">
        <f>+I45-I46</f>
        <v>3566</v>
      </c>
      <c r="J47" s="16"/>
      <c r="K47" s="16"/>
      <c r="L47" s="16">
        <f>+L45-L46</f>
        <v>3891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>
        <f t="shared" ref="W47" si="43">+W45-W46</f>
        <v>5225</v>
      </c>
      <c r="X47" s="16">
        <f t="shared" ref="X47:Y47" si="44">+X45-X46</f>
        <v>5415</v>
      </c>
      <c r="Y47" s="16">
        <f t="shared" si="44"/>
        <v>5653</v>
      </c>
      <c r="Z47" s="16">
        <f t="shared" ref="Z47" si="45">+Z45-Z46</f>
        <v>6113</v>
      </c>
      <c r="AA47" s="16">
        <f t="shared" ref="AA47:AF47" si="46">+AA45-AA46</f>
        <v>6362</v>
      </c>
      <c r="AB47" s="16">
        <f t="shared" si="46"/>
        <v>6651</v>
      </c>
      <c r="AC47" s="16">
        <f t="shared" si="46"/>
        <v>6727</v>
      </c>
      <c r="AD47" s="16">
        <f t="shared" si="46"/>
        <v>6631</v>
      </c>
      <c r="AE47" s="16">
        <f t="shared" si="46"/>
        <v>6525</v>
      </c>
      <c r="AF47" s="16">
        <f t="shared" si="46"/>
        <v>6828</v>
      </c>
      <c r="AG47" s="16">
        <f t="shared" ref="AG47:AH47" si="47">AG45-AG46</f>
        <v>6954</v>
      </c>
      <c r="AH47" s="16">
        <f t="shared" si="47"/>
        <v>7099</v>
      </c>
      <c r="AI47" s="16">
        <f t="shared" ref="AI47:AJ47" si="48">AI45-AI46</f>
        <v>7125</v>
      </c>
      <c r="AJ47" s="16">
        <f t="shared" si="48"/>
        <v>8629</v>
      </c>
      <c r="AK47" s="16">
        <f t="shared" ref="AK47:AQ47" si="49">AK45-AK46</f>
        <v>10520</v>
      </c>
      <c r="AL47" s="16">
        <f t="shared" si="49"/>
        <v>11335</v>
      </c>
      <c r="AM47" s="16">
        <f t="shared" si="49"/>
        <v>10850</v>
      </c>
      <c r="AN47" s="16">
        <f t="shared" si="49"/>
        <v>11480</v>
      </c>
      <c r="AO47" s="16">
        <f t="shared" si="49"/>
        <v>11929</v>
      </c>
      <c r="AP47" s="16">
        <f t="shared" si="49"/>
        <v>12438</v>
      </c>
      <c r="AQ47" s="16">
        <f t="shared" si="49"/>
        <v>11435</v>
      </c>
      <c r="AR47" s="16">
        <f t="shared" ref="AR47" si="50">AR45-AR46</f>
        <v>12416</v>
      </c>
      <c r="AS47" s="16">
        <f>+AS45-AS46</f>
        <v>12645</v>
      </c>
      <c r="AT47" s="16">
        <f>+AT45*0.85</f>
        <v>12852.85</v>
      </c>
      <c r="AU47" s="16">
        <f>AU45-AU46</f>
        <v>10294</v>
      </c>
      <c r="AV47" s="16">
        <f>+AV45-AV46</f>
        <v>11748</v>
      </c>
      <c r="AW47" s="16">
        <f>+AW45-AW46</f>
        <v>11626</v>
      </c>
      <c r="AX47" s="16">
        <f>+AX45-AX46</f>
        <v>12004</v>
      </c>
      <c r="AY47" s="16">
        <f>+AY45-AY46</f>
        <v>10202</v>
      </c>
      <c r="AZ47" s="16">
        <f>+AZ45*0.83</f>
        <v>10545.930200000001</v>
      </c>
      <c r="BA47" s="16">
        <f>+BA45*0.83</f>
        <v>11105.806699999997</v>
      </c>
      <c r="BB47" s="16">
        <f>+BB45*0.83</f>
        <v>11467.645199999999</v>
      </c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>
        <f t="shared" ref="BM47:BO47" si="51">+BM45-BM46</f>
        <v>26371</v>
      </c>
      <c r="BN47" s="16">
        <f t="shared" si="51"/>
        <v>27406</v>
      </c>
      <c r="BO47" s="16">
        <f t="shared" si="51"/>
        <v>37609</v>
      </c>
      <c r="BP47" s="16">
        <f>+BP45-BP46</f>
        <v>46697</v>
      </c>
      <c r="BQ47" s="16">
        <f>+BQ45-BQ46</f>
        <v>49132.85</v>
      </c>
      <c r="BR47" s="16">
        <f>+BR45-BR46</f>
        <v>45672</v>
      </c>
      <c r="BS47" s="16">
        <f t="shared" ref="BS47:BY47" si="52">+BS45*0.85</f>
        <v>44380.9395</v>
      </c>
      <c r="BT47" s="16">
        <f t="shared" si="52"/>
        <v>44901.779974999998</v>
      </c>
      <c r="BU47" s="16">
        <f t="shared" si="52"/>
        <v>43673.285663750008</v>
      </c>
      <c r="BV47" s="16">
        <f t="shared" si="52"/>
        <v>42883.072819887493</v>
      </c>
      <c r="BW47" s="16">
        <f t="shared" si="52"/>
        <v>41303.266769495371</v>
      </c>
      <c r="BX47" s="16">
        <f t="shared" si="52"/>
        <v>40782.992458599561</v>
      </c>
      <c r="BY47" s="16">
        <f t="shared" si="52"/>
        <v>29088.75603907913</v>
      </c>
    </row>
    <row r="48" spans="2:77" s="15" customFormat="1" x14ac:dyDescent="0.2">
      <c r="B48" s="15" t="s">
        <v>23</v>
      </c>
      <c r="C48" s="16"/>
      <c r="D48" s="16"/>
      <c r="E48" s="16"/>
      <c r="F48" s="16"/>
      <c r="G48" s="16">
        <v>1237</v>
      </c>
      <c r="H48" s="16"/>
      <c r="I48" s="16">
        <v>1261</v>
      </c>
      <c r="J48" s="16"/>
      <c r="K48" s="16"/>
      <c r="L48" s="16">
        <f>1448-96-6</f>
        <v>1346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>
        <v>1360</v>
      </c>
      <c r="X48" s="16">
        <v>1509</v>
      </c>
      <c r="Y48" s="16">
        <v>1453</v>
      </c>
      <c r="Z48" s="16">
        <v>1646</v>
      </c>
      <c r="AA48" s="16">
        <v>1670</v>
      </c>
      <c r="AB48" s="16">
        <v>1643</v>
      </c>
      <c r="AC48" s="16">
        <v>1575</v>
      </c>
      <c r="AD48" s="16">
        <v>1797</v>
      </c>
      <c r="AE48" s="16">
        <v>1563</v>
      </c>
      <c r="AF48" s="16">
        <v>1620</v>
      </c>
      <c r="AG48" s="16">
        <v>1621</v>
      </c>
      <c r="AH48" s="16">
        <v>1883</v>
      </c>
      <c r="AI48" s="16">
        <v>1599</v>
      </c>
      <c r="AJ48" s="16">
        <v>2392</v>
      </c>
      <c r="AK48" s="16">
        <v>2723</v>
      </c>
      <c r="AL48" s="16">
        <v>3089</v>
      </c>
      <c r="AM48" s="16">
        <v>2743</v>
      </c>
      <c r="AN48" s="16">
        <v>2953</v>
      </c>
      <c r="AO48" s="16">
        <v>2961</v>
      </c>
      <c r="AP48" s="16">
        <v>3307</v>
      </c>
      <c r="AQ48" s="16">
        <v>2852</v>
      </c>
      <c r="AR48" s="16">
        <v>3089</v>
      </c>
      <c r="AS48" s="16">
        <v>3089</v>
      </c>
      <c r="AT48" s="16">
        <f>+AP48*1.01</f>
        <v>3340.07</v>
      </c>
      <c r="AU48" s="16">
        <v>2984</v>
      </c>
      <c r="AV48" s="16">
        <v>3218</v>
      </c>
      <c r="AW48" s="16">
        <v>3330</v>
      </c>
      <c r="AX48" s="16">
        <v>3540</v>
      </c>
      <c r="AY48" s="16">
        <v>3032</v>
      </c>
      <c r="AZ48" s="16">
        <f>+AV48*0.98</f>
        <v>3153.64</v>
      </c>
      <c r="BA48" s="16">
        <f>+AW48*0.98</f>
        <v>3263.4</v>
      </c>
      <c r="BB48" s="16">
        <f>+AX48*0.98</f>
        <v>3469.2</v>
      </c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>
        <f t="shared" si="7"/>
        <v>6685</v>
      </c>
      <c r="BN48" s="16">
        <f t="shared" ref="BN48:BN49" si="53">SUM(AE48:AH48)</f>
        <v>6687</v>
      </c>
      <c r="BO48" s="16">
        <f t="shared" ref="BO48:BO49" si="54">SUM(AI48:AL48)</f>
        <v>9803</v>
      </c>
      <c r="BP48" s="16">
        <f t="shared" ref="BP48:BP49" si="55">SUM(AM48:AP48)</f>
        <v>11964</v>
      </c>
      <c r="BQ48" s="16">
        <f t="shared" ref="BQ48:BQ49" si="56">SUM(AQ48:AT48)</f>
        <v>12370.07</v>
      </c>
      <c r="BR48" s="16">
        <f>SUM(AU48:AX48)</f>
        <v>13072</v>
      </c>
      <c r="BS48" s="16">
        <f>+BR48*0.99</f>
        <v>12941.28</v>
      </c>
      <c r="BT48" s="16">
        <f t="shared" ref="BS48:BY48" si="57">+BT45*0.2</f>
        <v>10565.1247</v>
      </c>
      <c r="BU48" s="16">
        <f t="shared" si="57"/>
        <v>10276.067215000003</v>
      </c>
      <c r="BV48" s="16">
        <f t="shared" si="57"/>
        <v>10090.13478115</v>
      </c>
      <c r="BW48" s="16">
        <f t="shared" si="57"/>
        <v>9718.4157104695005</v>
      </c>
      <c r="BX48" s="16">
        <f t="shared" si="57"/>
        <v>9595.9982255528375</v>
      </c>
      <c r="BY48" s="16">
        <f t="shared" si="57"/>
        <v>6844.4131856656786</v>
      </c>
    </row>
    <row r="49" spans="2:204" s="15" customFormat="1" x14ac:dyDescent="0.2">
      <c r="B49" s="15" t="s">
        <v>22</v>
      </c>
      <c r="C49" s="16"/>
      <c r="D49" s="16"/>
      <c r="E49" s="16"/>
      <c r="F49" s="16"/>
      <c r="G49" s="16">
        <v>634</v>
      </c>
      <c r="H49" s="16"/>
      <c r="I49" s="16">
        <v>714</v>
      </c>
      <c r="J49" s="16"/>
      <c r="K49" s="16"/>
      <c r="L49" s="16">
        <f>834-41</f>
        <v>793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>
        <v>1112</v>
      </c>
      <c r="X49" s="16">
        <v>1229</v>
      </c>
      <c r="Y49" s="16">
        <v>1196</v>
      </c>
      <c r="Z49" s="16">
        <v>1328</v>
      </c>
      <c r="AA49" s="16">
        <v>1189</v>
      </c>
      <c r="AB49" s="16">
        <v>1267</v>
      </c>
      <c r="AC49" s="16">
        <v>1268</v>
      </c>
      <c r="AD49" s="16">
        <v>1369</v>
      </c>
      <c r="AE49" s="16">
        <v>1199</v>
      </c>
      <c r="AF49" s="16">
        <v>1232</v>
      </c>
      <c r="AG49" s="16">
        <v>1227</v>
      </c>
      <c r="AH49" s="16">
        <v>1331</v>
      </c>
      <c r="AI49" s="16">
        <v>1234</v>
      </c>
      <c r="AJ49" s="16">
        <v>1332</v>
      </c>
      <c r="AK49" s="16">
        <v>1513</v>
      </c>
      <c r="AL49" s="16">
        <v>1751</v>
      </c>
      <c r="AM49" s="16">
        <v>1505</v>
      </c>
      <c r="AN49" s="16">
        <v>1583</v>
      </c>
      <c r="AO49" s="16">
        <v>1632</v>
      </c>
      <c r="AP49" s="16">
        <v>1798</v>
      </c>
      <c r="AQ49" s="16">
        <v>1480</v>
      </c>
      <c r="AR49" s="16">
        <v>1607</v>
      </c>
      <c r="AS49" s="16">
        <v>1607</v>
      </c>
      <c r="AT49" s="16">
        <f>+AP49*1.01</f>
        <v>1815.98</v>
      </c>
      <c r="AU49" s="16">
        <v>1657</v>
      </c>
      <c r="AV49" s="16">
        <v>1730</v>
      </c>
      <c r="AW49" s="16">
        <v>1720</v>
      </c>
      <c r="AX49" s="16">
        <v>1992</v>
      </c>
      <c r="AY49" s="16">
        <v>1811</v>
      </c>
      <c r="AZ49" s="16">
        <f>+AV49</f>
        <v>1730</v>
      </c>
      <c r="BA49" s="16">
        <f>+AW49</f>
        <v>1720</v>
      </c>
      <c r="BB49" s="16">
        <f>+AX49</f>
        <v>1992</v>
      </c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>
        <f t="shared" si="7"/>
        <v>5093</v>
      </c>
      <c r="BN49" s="16">
        <f t="shared" si="53"/>
        <v>4989</v>
      </c>
      <c r="BO49" s="16">
        <f t="shared" si="54"/>
        <v>5830</v>
      </c>
      <c r="BP49" s="16">
        <f t="shared" si="55"/>
        <v>6518</v>
      </c>
      <c r="BQ49" s="16">
        <f t="shared" si="56"/>
        <v>6509.98</v>
      </c>
      <c r="BR49" s="16">
        <f>SUM(AU49:AX49)</f>
        <v>7099</v>
      </c>
      <c r="BS49" s="16">
        <f>+BR49*0.99</f>
        <v>7028.01</v>
      </c>
      <c r="BT49" s="16"/>
      <c r="BU49" s="16"/>
      <c r="BV49" s="16"/>
      <c r="BW49" s="16"/>
      <c r="BX49" s="16"/>
    </row>
    <row r="50" spans="2:204" s="15" customFormat="1" x14ac:dyDescent="0.2">
      <c r="B50" s="15" t="s">
        <v>20</v>
      </c>
      <c r="C50" s="16"/>
      <c r="D50" s="16"/>
      <c r="E50" s="16"/>
      <c r="F50" s="16"/>
      <c r="G50" s="16">
        <f>+G49+G48</f>
        <v>1871</v>
      </c>
      <c r="H50" s="16"/>
      <c r="I50" s="16">
        <f>+I49+I48</f>
        <v>1975</v>
      </c>
      <c r="J50" s="16"/>
      <c r="K50" s="16"/>
      <c r="L50" s="16">
        <f>+L49+L48</f>
        <v>2139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>
        <f t="shared" ref="W50" si="58">+W48+W49</f>
        <v>2472</v>
      </c>
      <c r="X50" s="16">
        <f t="shared" ref="X50:Y50" si="59">+X48+X49</f>
        <v>2738</v>
      </c>
      <c r="Y50" s="16">
        <f t="shared" si="59"/>
        <v>2649</v>
      </c>
      <c r="Z50" s="16">
        <f t="shared" ref="Z50" si="60">+Z48+Z49</f>
        <v>2974</v>
      </c>
      <c r="AA50" s="16">
        <f t="shared" ref="AA50:AF50" si="61">+AA48+AA49</f>
        <v>2859</v>
      </c>
      <c r="AB50" s="16">
        <f t="shared" si="61"/>
        <v>2910</v>
      </c>
      <c r="AC50" s="16">
        <f t="shared" si="61"/>
        <v>2843</v>
      </c>
      <c r="AD50" s="16">
        <f t="shared" si="61"/>
        <v>3166</v>
      </c>
      <c r="AE50" s="16">
        <f t="shared" si="61"/>
        <v>2762</v>
      </c>
      <c r="AF50" s="16">
        <f t="shared" si="61"/>
        <v>2852</v>
      </c>
      <c r="AG50" s="16">
        <f t="shared" ref="AG50:AH50" si="62">AG49+AG48</f>
        <v>2848</v>
      </c>
      <c r="AH50" s="16">
        <f t="shared" si="62"/>
        <v>3214</v>
      </c>
      <c r="AI50" s="16">
        <f t="shared" ref="AI50:AJ50" si="63">AI49+AI48</f>
        <v>2833</v>
      </c>
      <c r="AJ50" s="16">
        <f t="shared" si="63"/>
        <v>3724</v>
      </c>
      <c r="AK50" s="16">
        <f t="shared" ref="AK50:AQ50" si="64">AK49+AK48</f>
        <v>4236</v>
      </c>
      <c r="AL50" s="16">
        <f t="shared" si="64"/>
        <v>4840</v>
      </c>
      <c r="AM50" s="16">
        <f t="shared" si="64"/>
        <v>4248</v>
      </c>
      <c r="AN50" s="16">
        <f t="shared" si="64"/>
        <v>4536</v>
      </c>
      <c r="AO50" s="16">
        <f t="shared" si="64"/>
        <v>4593</v>
      </c>
      <c r="AP50" s="16">
        <f t="shared" si="64"/>
        <v>5105</v>
      </c>
      <c r="AQ50" s="16">
        <f t="shared" si="64"/>
        <v>4332</v>
      </c>
      <c r="AR50" s="16">
        <f t="shared" ref="AR50:AT50" si="65">AR49+AR48</f>
        <v>4696</v>
      </c>
      <c r="AS50" s="16">
        <f t="shared" si="65"/>
        <v>4696</v>
      </c>
      <c r="AT50" s="16">
        <f t="shared" si="65"/>
        <v>5156.05</v>
      </c>
      <c r="AU50" s="16">
        <f t="shared" ref="AU50:AX50" si="66">AU49+AU48</f>
        <v>4641</v>
      </c>
      <c r="AV50" s="16">
        <f t="shared" si="66"/>
        <v>4948</v>
      </c>
      <c r="AW50" s="16">
        <f t="shared" si="66"/>
        <v>5050</v>
      </c>
      <c r="AX50" s="16">
        <f t="shared" si="66"/>
        <v>5532</v>
      </c>
      <c r="AY50" s="16">
        <f>+AY48+AY49</f>
        <v>4843</v>
      </c>
      <c r="AZ50" s="16">
        <f t="shared" ref="AZ50:BB50" si="67">+AZ48+AZ49</f>
        <v>4883.6399999999994</v>
      </c>
      <c r="BA50" s="16">
        <f t="shared" si="67"/>
        <v>4983.3999999999996</v>
      </c>
      <c r="BB50" s="16">
        <f t="shared" si="67"/>
        <v>5461.2</v>
      </c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>
        <f t="shared" ref="BM50" si="68">+BM48+BM49</f>
        <v>11778</v>
      </c>
      <c r="BN50" s="16">
        <f t="shared" ref="BN50:BO50" si="69">+BN48+BN49</f>
        <v>11676</v>
      </c>
      <c r="BO50" s="16">
        <f t="shared" si="69"/>
        <v>15633</v>
      </c>
      <c r="BP50" s="16">
        <f>+BP48+BP49</f>
        <v>18482</v>
      </c>
      <c r="BQ50" s="16">
        <f>+BQ48+BQ49</f>
        <v>18880.05</v>
      </c>
      <c r="BR50" s="16">
        <f t="shared" ref="BR50:BY50" si="70">+BR48+BR49</f>
        <v>20171</v>
      </c>
      <c r="BS50" s="16">
        <f t="shared" si="70"/>
        <v>19969.29</v>
      </c>
      <c r="BT50" s="16">
        <f t="shared" si="70"/>
        <v>10565.1247</v>
      </c>
      <c r="BU50" s="16">
        <f t="shared" si="70"/>
        <v>10276.067215000003</v>
      </c>
      <c r="BV50" s="16">
        <f t="shared" si="70"/>
        <v>10090.13478115</v>
      </c>
      <c r="BW50" s="16">
        <f t="shared" si="70"/>
        <v>9718.4157104695005</v>
      </c>
      <c r="BX50" s="16">
        <f t="shared" si="70"/>
        <v>9595.9982255528375</v>
      </c>
      <c r="BY50" s="16">
        <f t="shared" si="70"/>
        <v>6844.4131856656786</v>
      </c>
    </row>
    <row r="51" spans="2:204" s="15" customFormat="1" x14ac:dyDescent="0.2">
      <c r="B51" s="15" t="s">
        <v>21</v>
      </c>
      <c r="C51" s="16"/>
      <c r="D51" s="16"/>
      <c r="E51" s="16"/>
      <c r="F51" s="16"/>
      <c r="G51" s="16">
        <f>G47-G50</f>
        <v>1305</v>
      </c>
      <c r="H51" s="16"/>
      <c r="I51" s="16">
        <f>I47-I50</f>
        <v>1591</v>
      </c>
      <c r="J51" s="16"/>
      <c r="K51" s="16"/>
      <c r="L51" s="16">
        <f>+L47-L50</f>
        <v>1752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>
        <f t="shared" ref="W51" si="71">+W47-W50</f>
        <v>2753</v>
      </c>
      <c r="X51" s="16">
        <f t="shared" ref="X51:Y51" si="72">+X47-X50</f>
        <v>2677</v>
      </c>
      <c r="Y51" s="16">
        <f t="shared" si="72"/>
        <v>3004</v>
      </c>
      <c r="Z51" s="16">
        <f t="shared" ref="Z51" si="73">+Z47-Z50</f>
        <v>3139</v>
      </c>
      <c r="AA51" s="16">
        <f t="shared" ref="AA51:AF51" si="74">+AA47-AA50</f>
        <v>3503</v>
      </c>
      <c r="AB51" s="16">
        <f t="shared" si="74"/>
        <v>3741</v>
      </c>
      <c r="AC51" s="16">
        <f t="shared" si="74"/>
        <v>3884</v>
      </c>
      <c r="AD51" s="16">
        <f t="shared" si="74"/>
        <v>3465</v>
      </c>
      <c r="AE51" s="16">
        <f t="shared" si="74"/>
        <v>3763</v>
      </c>
      <c r="AF51" s="16">
        <f t="shared" si="74"/>
        <v>3976</v>
      </c>
      <c r="AG51" s="16">
        <f t="shared" ref="AG51:AH51" si="75">AG47-AG50</f>
        <v>4106</v>
      </c>
      <c r="AH51" s="16">
        <f t="shared" si="75"/>
        <v>3885</v>
      </c>
      <c r="AI51" s="16">
        <f t="shared" ref="AI51:AJ51" si="76">AI47-AI50</f>
        <v>4292</v>
      </c>
      <c r="AJ51" s="16">
        <f t="shared" si="76"/>
        <v>4905</v>
      </c>
      <c r="AK51" s="16">
        <f t="shared" ref="AK51:AQ51" si="77">AK47-AK50</f>
        <v>6284</v>
      </c>
      <c r="AL51" s="16">
        <f t="shared" si="77"/>
        <v>6495</v>
      </c>
      <c r="AM51" s="16">
        <f t="shared" si="77"/>
        <v>6602</v>
      </c>
      <c r="AN51" s="16">
        <f t="shared" si="77"/>
        <v>6944</v>
      </c>
      <c r="AO51" s="16">
        <f t="shared" si="77"/>
        <v>7336</v>
      </c>
      <c r="AP51" s="16">
        <f t="shared" si="77"/>
        <v>7333</v>
      </c>
      <c r="AQ51" s="16">
        <f t="shared" si="77"/>
        <v>7103</v>
      </c>
      <c r="AR51" s="16">
        <f t="shared" ref="AR51:AT51" si="78">AR47-AR50</f>
        <v>7720</v>
      </c>
      <c r="AS51" s="16">
        <f t="shared" si="78"/>
        <v>7949</v>
      </c>
      <c r="AT51" s="16">
        <f t="shared" si="78"/>
        <v>7696.8</v>
      </c>
      <c r="AU51" s="16">
        <f t="shared" ref="AU51:AX51" si="79">AU47-AU50</f>
        <v>5653</v>
      </c>
      <c r="AV51" s="16">
        <f t="shared" si="79"/>
        <v>6800</v>
      </c>
      <c r="AW51" s="16">
        <f t="shared" si="79"/>
        <v>6576</v>
      </c>
      <c r="AX51" s="16">
        <f t="shared" si="79"/>
        <v>6472</v>
      </c>
      <c r="AY51" s="16">
        <f>+AY47-AY50</f>
        <v>5359</v>
      </c>
      <c r="AZ51" s="16">
        <f t="shared" ref="AZ51:BB51" si="80">+AZ47-AZ50</f>
        <v>5662.2902000000013</v>
      </c>
      <c r="BA51" s="16">
        <f t="shared" si="80"/>
        <v>6122.4066999999977</v>
      </c>
      <c r="BB51" s="16">
        <f t="shared" si="80"/>
        <v>6006.4451999999992</v>
      </c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>
        <f t="shared" ref="BM51" si="81">+BM47-BM50</f>
        <v>14593</v>
      </c>
      <c r="BN51" s="16">
        <f t="shared" ref="BN51:BO51" si="82">+BN47-BN50</f>
        <v>15730</v>
      </c>
      <c r="BO51" s="16">
        <f t="shared" si="82"/>
        <v>21976</v>
      </c>
      <c r="BP51" s="16">
        <f>+BP47-BP50</f>
        <v>28215</v>
      </c>
      <c r="BQ51" s="16">
        <f>+BQ47-BQ50</f>
        <v>30252.799999999999</v>
      </c>
      <c r="BR51" s="16">
        <f t="shared" ref="BR51:BY51" si="83">+BR47-BR50</f>
        <v>25501</v>
      </c>
      <c r="BS51" s="16">
        <f t="shared" si="83"/>
        <v>24411.6495</v>
      </c>
      <c r="BT51" s="16">
        <f t="shared" si="83"/>
        <v>34336.655274999997</v>
      </c>
      <c r="BU51" s="16">
        <f t="shared" si="83"/>
        <v>33397.218448750005</v>
      </c>
      <c r="BV51" s="16">
        <f t="shared" si="83"/>
        <v>32792.938038737491</v>
      </c>
      <c r="BW51" s="16">
        <f t="shared" si="83"/>
        <v>31584.85105902587</v>
      </c>
      <c r="BX51" s="16">
        <f t="shared" si="83"/>
        <v>31186.994233046724</v>
      </c>
      <c r="BY51" s="16">
        <f t="shared" si="83"/>
        <v>22244.342853413451</v>
      </c>
    </row>
    <row r="52" spans="2:204" s="15" customFormat="1" x14ac:dyDescent="0.2">
      <c r="B52" s="15" t="s">
        <v>19</v>
      </c>
      <c r="C52" s="16"/>
      <c r="D52" s="16"/>
      <c r="E52" s="16"/>
      <c r="F52" s="16"/>
      <c r="G52" s="16">
        <f>-66-15+15</f>
        <v>-66</v>
      </c>
      <c r="H52" s="16"/>
      <c r="I52" s="16">
        <f>-69-11-5</f>
        <v>-85</v>
      </c>
      <c r="J52" s="16"/>
      <c r="K52" s="16"/>
      <c r="L52" s="16">
        <f>-69-5-8</f>
        <v>-82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>
        <f>-247+25</f>
        <v>-222</v>
      </c>
      <c r="X52" s="16">
        <v>-253</v>
      </c>
      <c r="Y52" s="16">
        <f>-252+63</f>
        <v>-189</v>
      </c>
      <c r="Z52" s="16">
        <f>-252+62</f>
        <v>-190</v>
      </c>
      <c r="AA52" s="16">
        <f>5-251</f>
        <v>-246</v>
      </c>
      <c r="AB52" s="16">
        <f>-15-272</f>
        <v>-287</v>
      </c>
      <c r="AC52" s="16">
        <f>-302-2+1</f>
        <v>-303</v>
      </c>
      <c r="AD52" s="16">
        <f>-319-6+11</f>
        <v>-314</v>
      </c>
      <c r="AE52" s="16">
        <f>34-325</f>
        <v>-291</v>
      </c>
      <c r="AF52" s="16">
        <f>-302+26</f>
        <v>-276</v>
      </c>
      <c r="AG52" s="16">
        <f>-288-19+3</f>
        <v>-304</v>
      </c>
      <c r="AH52" s="16">
        <f>-282-11+22</f>
        <v>-271</v>
      </c>
      <c r="AI52" s="16">
        <f>-284-5</f>
        <v>-289</v>
      </c>
      <c r="AJ52" s="16">
        <f>-484+7-33</f>
        <v>-510</v>
      </c>
      <c r="AK52" s="49">
        <v>620</v>
      </c>
      <c r="AL52" s="49">
        <v>618</v>
      </c>
      <c r="AM52" s="16">
        <v>-622</v>
      </c>
      <c r="AN52" s="16">
        <v>-606</v>
      </c>
      <c r="AO52" s="16">
        <v>-585</v>
      </c>
      <c r="AP52" s="16">
        <v>-571</v>
      </c>
      <c r="AQ52" s="16">
        <f>-539+28</f>
        <v>-511</v>
      </c>
      <c r="AR52" s="16">
        <f>-497+210</f>
        <v>-287</v>
      </c>
      <c r="AS52" s="16">
        <f>120-497</f>
        <v>-377</v>
      </c>
      <c r="AT52" s="16">
        <f>+AS52</f>
        <v>-377</v>
      </c>
      <c r="AU52" s="16">
        <v>69</v>
      </c>
      <c r="AV52" s="16">
        <f>-119-454</f>
        <v>-573</v>
      </c>
      <c r="AW52" s="16">
        <f>146-398</f>
        <v>-252</v>
      </c>
      <c r="AX52" s="16">
        <f>-363+142</f>
        <v>-221</v>
      </c>
      <c r="AY52" s="16">
        <f>-429+76</f>
        <v>-353</v>
      </c>
      <c r="AZ52" s="16">
        <f>+AY52</f>
        <v>-353</v>
      </c>
      <c r="BA52" s="16">
        <f>+AZ52</f>
        <v>-353</v>
      </c>
      <c r="BB52" s="16">
        <f>+BA52</f>
        <v>-353</v>
      </c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>
        <f t="shared" ref="BM52:BM54" si="84">SUM(AA52:AD52)</f>
        <v>-1150</v>
      </c>
      <c r="BN52" s="16">
        <f t="shared" ref="BN52" si="85">SUM(AE52:AH52)</f>
        <v>-1142</v>
      </c>
      <c r="BO52" s="16">
        <f t="shared" ref="BO52" si="86">SUM(AI52:AL52)</f>
        <v>439</v>
      </c>
      <c r="BP52" s="16">
        <f t="shared" ref="BP52" si="87">SUM(AM52:AP52)</f>
        <v>-2384</v>
      </c>
      <c r="BQ52" s="16">
        <f t="shared" ref="BQ52" si="88">SUM(AQ52:AT52)</f>
        <v>-1552</v>
      </c>
      <c r="BR52" s="16">
        <f>SUM(AU52:AX52)</f>
        <v>-977</v>
      </c>
      <c r="BS52" s="16">
        <f t="shared" ref="BS52:BY52" si="89">+BR52+300</f>
        <v>-677</v>
      </c>
      <c r="BT52" s="16">
        <f t="shared" si="89"/>
        <v>-377</v>
      </c>
      <c r="BU52" s="16">
        <f t="shared" si="89"/>
        <v>-77</v>
      </c>
      <c r="BV52" s="16">
        <f t="shared" si="89"/>
        <v>223</v>
      </c>
      <c r="BW52" s="16">
        <f t="shared" si="89"/>
        <v>523</v>
      </c>
      <c r="BX52" s="16">
        <f t="shared" si="89"/>
        <v>823</v>
      </c>
      <c r="BY52" s="16">
        <f t="shared" si="89"/>
        <v>1123</v>
      </c>
    </row>
    <row r="53" spans="2:204" s="15" customFormat="1" x14ac:dyDescent="0.2">
      <c r="B53" s="15" t="s">
        <v>18</v>
      </c>
      <c r="C53" s="16"/>
      <c r="D53" s="16"/>
      <c r="E53" s="16"/>
      <c r="F53" s="16"/>
      <c r="G53" s="16">
        <f>+G51+G52</f>
        <v>1239</v>
      </c>
      <c r="H53" s="16"/>
      <c r="I53" s="16">
        <f>+I51+I52</f>
        <v>1506</v>
      </c>
      <c r="J53" s="16"/>
      <c r="K53" s="16"/>
      <c r="L53" s="16">
        <f>+L52+L51</f>
        <v>1670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>
        <f t="shared" ref="W53" si="90">+W51+W52</f>
        <v>2531</v>
      </c>
      <c r="X53" s="16">
        <f t="shared" ref="X53:Y53" si="91">+X51+X52</f>
        <v>2424</v>
      </c>
      <c r="Y53" s="16">
        <f t="shared" si="91"/>
        <v>2815</v>
      </c>
      <c r="Z53" s="16">
        <f t="shared" ref="Z53:AF53" si="92">+Z51+Z52</f>
        <v>2949</v>
      </c>
      <c r="AA53" s="16">
        <f t="shared" si="92"/>
        <v>3257</v>
      </c>
      <c r="AB53" s="16">
        <f t="shared" si="92"/>
        <v>3454</v>
      </c>
      <c r="AC53" s="16">
        <f t="shared" si="92"/>
        <v>3581</v>
      </c>
      <c r="AD53" s="16">
        <f t="shared" si="92"/>
        <v>3151</v>
      </c>
      <c r="AE53" s="16">
        <f t="shared" si="92"/>
        <v>3472</v>
      </c>
      <c r="AF53" s="16">
        <f t="shared" si="92"/>
        <v>3700</v>
      </c>
      <c r="AG53" s="16">
        <f t="shared" ref="AG53:AH53" si="93">AG51+AG52</f>
        <v>3802</v>
      </c>
      <c r="AH53" s="16">
        <f t="shared" si="93"/>
        <v>3614</v>
      </c>
      <c r="AI53" s="16">
        <f t="shared" ref="AI53:AJ53" si="94">AI51+AI52</f>
        <v>4003</v>
      </c>
      <c r="AJ53" s="16">
        <f t="shared" si="94"/>
        <v>4395</v>
      </c>
      <c r="AK53" s="16">
        <f t="shared" ref="AK53:AQ53" si="95">AK51+AK52</f>
        <v>6904</v>
      </c>
      <c r="AL53" s="16">
        <f t="shared" si="95"/>
        <v>7113</v>
      </c>
      <c r="AM53" s="16">
        <f t="shared" si="95"/>
        <v>5980</v>
      </c>
      <c r="AN53" s="16">
        <f t="shared" si="95"/>
        <v>6338</v>
      </c>
      <c r="AO53" s="16">
        <f t="shared" si="95"/>
        <v>6751</v>
      </c>
      <c r="AP53" s="16">
        <f t="shared" si="95"/>
        <v>6762</v>
      </c>
      <c r="AQ53" s="16">
        <f t="shared" si="95"/>
        <v>6592</v>
      </c>
      <c r="AR53" s="16">
        <f t="shared" ref="AR53:AT53" si="96">AR51+AR52</f>
        <v>7433</v>
      </c>
      <c r="AS53" s="16">
        <f t="shared" si="96"/>
        <v>7572</v>
      </c>
      <c r="AT53" s="16">
        <f t="shared" si="96"/>
        <v>7319.8</v>
      </c>
      <c r="AU53" s="16">
        <f t="shared" ref="AU53:AX53" si="97">AU51+AU52</f>
        <v>5722</v>
      </c>
      <c r="AV53" s="16">
        <f t="shared" si="97"/>
        <v>6227</v>
      </c>
      <c r="AW53" s="16">
        <f t="shared" si="97"/>
        <v>6324</v>
      </c>
      <c r="AX53" s="16">
        <f t="shared" si="97"/>
        <v>6251</v>
      </c>
      <c r="AY53" s="16">
        <f>+AY51+AY52</f>
        <v>5006</v>
      </c>
      <c r="AZ53" s="16">
        <f>+AZ51+AZ52</f>
        <v>5309.2902000000013</v>
      </c>
      <c r="BA53" s="16">
        <f>+BA51+BA52</f>
        <v>5769.4066999999977</v>
      </c>
      <c r="BB53" s="16">
        <f>+BB51+BB52</f>
        <v>5653.4451999999992</v>
      </c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>
        <f t="shared" ref="BM53:BO53" si="98">+BM51+BM52</f>
        <v>13443</v>
      </c>
      <c r="BN53" s="16">
        <f t="shared" si="98"/>
        <v>14588</v>
      </c>
      <c r="BO53" s="16">
        <f t="shared" si="98"/>
        <v>22415</v>
      </c>
      <c r="BP53" s="16">
        <f>+BP51+BP52</f>
        <v>25831</v>
      </c>
      <c r="BQ53" s="16">
        <f>+BQ51+BQ52</f>
        <v>28700.799999999999</v>
      </c>
      <c r="BR53" s="16">
        <f t="shared" ref="BR53:BY53" si="99">+BR51+BR52</f>
        <v>24524</v>
      </c>
      <c r="BS53" s="16">
        <f t="shared" si="99"/>
        <v>23734.6495</v>
      </c>
      <c r="BT53" s="16">
        <f t="shared" si="99"/>
        <v>33959.655274999997</v>
      </c>
      <c r="BU53" s="16">
        <f t="shared" si="99"/>
        <v>33320.218448750005</v>
      </c>
      <c r="BV53" s="16">
        <f t="shared" si="99"/>
        <v>33015.938038737491</v>
      </c>
      <c r="BW53" s="16">
        <f t="shared" si="99"/>
        <v>32107.85105902587</v>
      </c>
      <c r="BX53" s="16">
        <f t="shared" si="99"/>
        <v>32009.994233046724</v>
      </c>
      <c r="BY53" s="16">
        <f t="shared" si="99"/>
        <v>23367.342853413451</v>
      </c>
    </row>
    <row r="54" spans="2:204" s="15" customFormat="1" x14ac:dyDescent="0.2">
      <c r="B54" s="15" t="s">
        <v>17</v>
      </c>
      <c r="C54" s="16"/>
      <c r="D54" s="16"/>
      <c r="E54" s="16"/>
      <c r="F54" s="16"/>
      <c r="G54" s="16">
        <v>271</v>
      </c>
      <c r="H54" s="16"/>
      <c r="I54" s="16">
        <v>322</v>
      </c>
      <c r="J54" s="16"/>
      <c r="K54" s="16"/>
      <c r="L54" s="16">
        <v>335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>
        <v>458</v>
      </c>
      <c r="X54" s="16">
        <v>438</v>
      </c>
      <c r="Y54" s="16">
        <v>533</v>
      </c>
      <c r="Z54" s="16">
        <v>556</v>
      </c>
      <c r="AA54" s="16">
        <v>249</v>
      </c>
      <c r="AB54" s="16">
        <v>311</v>
      </c>
      <c r="AC54" s="16">
        <v>326</v>
      </c>
      <c r="AD54" s="16">
        <v>289</v>
      </c>
      <c r="AE54" s="16">
        <v>274</v>
      </c>
      <c r="AF54" s="16">
        <v>324</v>
      </c>
      <c r="AG54" s="16">
        <v>334</v>
      </c>
      <c r="AH54" s="16">
        <v>320</v>
      </c>
      <c r="AI54" s="16">
        <v>390</v>
      </c>
      <c r="AJ54" s="16">
        <v>501</v>
      </c>
      <c r="AK54" s="16">
        <v>668</v>
      </c>
      <c r="AL54" s="16">
        <v>686</v>
      </c>
      <c r="AM54" s="16">
        <v>738</v>
      </c>
      <c r="AN54" s="16">
        <f>799+3</f>
        <v>802</v>
      </c>
      <c r="AO54" s="16">
        <f>862+1</f>
        <v>863</v>
      </c>
      <c r="AP54" s="16">
        <f>6764-5919</f>
        <v>845</v>
      </c>
      <c r="AQ54" s="16">
        <v>778</v>
      </c>
      <c r="AR54" s="16">
        <v>965</v>
      </c>
      <c r="AS54" s="16">
        <v>965</v>
      </c>
      <c r="AT54" s="16">
        <f>+AT53*0.15</f>
        <v>1097.97</v>
      </c>
      <c r="AU54" s="16">
        <f>6422-5641</f>
        <v>781</v>
      </c>
      <c r="AV54" s="82">
        <f>583+3</f>
        <v>586</v>
      </c>
      <c r="AW54" s="16">
        <f>172+3</f>
        <v>175</v>
      </c>
      <c r="AX54" s="16">
        <f>388+2</f>
        <v>390</v>
      </c>
      <c r="AY54" s="16">
        <v>715</v>
      </c>
      <c r="AZ54" s="16">
        <f>+AZ53*0.1</f>
        <v>530.92902000000015</v>
      </c>
      <c r="BA54" s="16">
        <f>+BA53*0.1</f>
        <v>576.94066999999984</v>
      </c>
      <c r="BB54" s="16">
        <f>+BB53*0.1</f>
        <v>565.34451999999999</v>
      </c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>
        <f t="shared" si="84"/>
        <v>1175</v>
      </c>
      <c r="BN54" s="16">
        <f t="shared" ref="BN54" si="100">SUM(AE54:AH54)</f>
        <v>1252</v>
      </c>
      <c r="BO54" s="16">
        <f t="shared" ref="BO54" si="101">SUM(AI54:AL54)</f>
        <v>2245</v>
      </c>
      <c r="BP54" s="16">
        <f t="shared" ref="BP54" si="102">SUM(AM54:AP54)</f>
        <v>3248</v>
      </c>
      <c r="BQ54" s="16">
        <f t="shared" ref="BQ54" si="103">SUM(AQ54:AT54)</f>
        <v>3805.9700000000003</v>
      </c>
      <c r="BR54" s="16">
        <f>SUM(AU54:AX54)</f>
        <v>1932</v>
      </c>
      <c r="BS54" s="16">
        <f t="shared" ref="BS54:BY54" si="104">+BS53*0.15</f>
        <v>3560.1974249999998</v>
      </c>
      <c r="BT54" s="16">
        <f t="shared" si="104"/>
        <v>5093.9482912499998</v>
      </c>
      <c r="BU54" s="16">
        <f t="shared" si="104"/>
        <v>4998.0327673125003</v>
      </c>
      <c r="BV54" s="16">
        <f t="shared" si="104"/>
        <v>4952.3907058106233</v>
      </c>
      <c r="BW54" s="16">
        <f t="shared" si="104"/>
        <v>4816.1776588538805</v>
      </c>
      <c r="BX54" s="16">
        <f t="shared" si="104"/>
        <v>4801.4991349570082</v>
      </c>
      <c r="BY54" s="16">
        <f t="shared" si="104"/>
        <v>3505.1014280120175</v>
      </c>
    </row>
    <row r="55" spans="2:204" s="15" customFormat="1" x14ac:dyDescent="0.2">
      <c r="B55" s="15" t="s">
        <v>16</v>
      </c>
      <c r="C55" s="16"/>
      <c r="D55" s="16"/>
      <c r="E55" s="16"/>
      <c r="F55" s="16"/>
      <c r="G55" s="16">
        <f>+G53-G54</f>
        <v>968</v>
      </c>
      <c r="H55" s="16"/>
      <c r="I55" s="16">
        <f>+I53-I54</f>
        <v>1184</v>
      </c>
      <c r="J55" s="16"/>
      <c r="K55" s="16"/>
      <c r="L55" s="16">
        <f>+L53-L54</f>
        <v>1335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>
        <f t="shared" ref="W55" si="105">+W53-W54</f>
        <v>2073</v>
      </c>
      <c r="X55" s="16">
        <f t="shared" ref="X55:Y55" si="106">+X53-X54</f>
        <v>1986</v>
      </c>
      <c r="Y55" s="16">
        <f t="shared" si="106"/>
        <v>2282</v>
      </c>
      <c r="Z55" s="16">
        <f t="shared" ref="Z55" si="107">+Z53-Z54</f>
        <v>2393</v>
      </c>
      <c r="AA55" s="16">
        <f t="shared" ref="AA55:AF55" si="108">+AA53-AA54</f>
        <v>3008</v>
      </c>
      <c r="AB55" s="16">
        <f t="shared" si="108"/>
        <v>3143</v>
      </c>
      <c r="AC55" s="16">
        <f t="shared" si="108"/>
        <v>3255</v>
      </c>
      <c r="AD55" s="16">
        <f t="shared" si="108"/>
        <v>2862</v>
      </c>
      <c r="AE55" s="16">
        <f t="shared" si="108"/>
        <v>3198</v>
      </c>
      <c r="AF55" s="16">
        <f t="shared" si="108"/>
        <v>3376</v>
      </c>
      <c r="AG55" s="16">
        <f t="shared" ref="AG55:AH55" si="109">AG53-AG54</f>
        <v>3468</v>
      </c>
      <c r="AH55" s="16">
        <f t="shared" si="109"/>
        <v>3294</v>
      </c>
      <c r="AI55" s="16">
        <f t="shared" ref="AI55:AJ55" si="110">AI53-AI54</f>
        <v>3613</v>
      </c>
      <c r="AJ55" s="16">
        <f t="shared" si="110"/>
        <v>3894</v>
      </c>
      <c r="AK55" s="16">
        <f t="shared" ref="AK55:AQ55" si="111">AK53-AK54</f>
        <v>6236</v>
      </c>
      <c r="AL55" s="16">
        <f t="shared" si="111"/>
        <v>6427</v>
      </c>
      <c r="AM55" s="16">
        <f t="shared" si="111"/>
        <v>5242</v>
      </c>
      <c r="AN55" s="16">
        <f t="shared" si="111"/>
        <v>5536</v>
      </c>
      <c r="AO55" s="16">
        <f t="shared" si="111"/>
        <v>5888</v>
      </c>
      <c r="AP55" s="16">
        <f t="shared" si="111"/>
        <v>5917</v>
      </c>
      <c r="AQ55" s="16">
        <f t="shared" si="111"/>
        <v>5814</v>
      </c>
      <c r="AR55" s="16">
        <f t="shared" ref="AR55:AT55" si="112">AR53-AR54</f>
        <v>6468</v>
      </c>
      <c r="AS55" s="16">
        <f t="shared" si="112"/>
        <v>6607</v>
      </c>
      <c r="AT55" s="16">
        <f t="shared" si="112"/>
        <v>6221.83</v>
      </c>
      <c r="AU55" s="16">
        <f t="shared" ref="AU55:AZ55" si="113">AU53-AU54</f>
        <v>4941</v>
      </c>
      <c r="AV55" s="16">
        <f t="shared" si="113"/>
        <v>5641</v>
      </c>
      <c r="AW55" s="16">
        <f t="shared" si="113"/>
        <v>6149</v>
      </c>
      <c r="AX55" s="16">
        <f t="shared" si="113"/>
        <v>5861</v>
      </c>
      <c r="AY55" s="16">
        <f t="shared" si="113"/>
        <v>4291</v>
      </c>
      <c r="AZ55" s="16">
        <f t="shared" si="113"/>
        <v>4778.3611800000008</v>
      </c>
      <c r="BA55" s="16">
        <f t="shared" ref="BA55:BB55" si="114">BA53-BA54</f>
        <v>5192.4660299999978</v>
      </c>
      <c r="BB55" s="16">
        <f t="shared" si="114"/>
        <v>5088.1006799999996</v>
      </c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>
        <f t="shared" ref="BM55:BO55" si="115">+BM53-BM54</f>
        <v>12268</v>
      </c>
      <c r="BN55" s="16">
        <f t="shared" si="115"/>
        <v>13336</v>
      </c>
      <c r="BO55" s="16">
        <f t="shared" si="115"/>
        <v>20170</v>
      </c>
      <c r="BP55" s="16">
        <f>+BP53-BP54</f>
        <v>22583</v>
      </c>
      <c r="BQ55" s="16">
        <f>+BQ53-BQ54</f>
        <v>24894.829999999998</v>
      </c>
      <c r="BR55" s="16">
        <f>+BR53-BR54</f>
        <v>22592</v>
      </c>
      <c r="BS55" s="16">
        <f t="shared" ref="BS55:BY55" si="116">+BS53-BS54</f>
        <v>20174.452075000001</v>
      </c>
      <c r="BT55" s="16">
        <f t="shared" si="116"/>
        <v>28865.706983749998</v>
      </c>
      <c r="BU55" s="16">
        <f t="shared" si="116"/>
        <v>28322.185681437506</v>
      </c>
      <c r="BV55" s="16">
        <f t="shared" si="116"/>
        <v>28063.547332926868</v>
      </c>
      <c r="BW55" s="16">
        <f t="shared" si="116"/>
        <v>27291.673400171989</v>
      </c>
      <c r="BX55" s="16">
        <f t="shared" si="116"/>
        <v>27208.495098089716</v>
      </c>
      <c r="BY55" s="16">
        <f t="shared" si="116"/>
        <v>19862.241425401433</v>
      </c>
      <c r="BZ55" s="15">
        <f>BY55*(1+$CB$58)</f>
        <v>19663.619011147417</v>
      </c>
      <c r="CA55" s="15">
        <f t="shared" ref="CA55:EL55" si="117">BZ55*(1+$CB$58)</f>
        <v>19466.982821035941</v>
      </c>
      <c r="CB55" s="15">
        <f t="shared" si="117"/>
        <v>19272.31299282558</v>
      </c>
      <c r="CC55" s="15">
        <f t="shared" si="117"/>
        <v>19079.589862897323</v>
      </c>
      <c r="CD55" s="15">
        <f t="shared" si="117"/>
        <v>18888.793964268349</v>
      </c>
      <c r="CE55" s="15">
        <f t="shared" si="117"/>
        <v>18699.906024625667</v>
      </c>
      <c r="CF55" s="15">
        <f t="shared" si="117"/>
        <v>18512.90696437941</v>
      </c>
      <c r="CG55" s="15">
        <f t="shared" si="117"/>
        <v>18327.777894735616</v>
      </c>
      <c r="CH55" s="15">
        <f t="shared" si="117"/>
        <v>18144.500115788262</v>
      </c>
      <c r="CI55" s="15">
        <f t="shared" si="117"/>
        <v>17963.055114630381</v>
      </c>
      <c r="CJ55" s="15">
        <f t="shared" si="117"/>
        <v>17783.424563484077</v>
      </c>
      <c r="CK55" s="15">
        <f t="shared" si="117"/>
        <v>17605.590317849237</v>
      </c>
      <c r="CL55" s="15">
        <f t="shared" si="117"/>
        <v>17429.534414670743</v>
      </c>
      <c r="CM55" s="15">
        <f t="shared" si="117"/>
        <v>17255.239070524036</v>
      </c>
      <c r="CN55" s="15">
        <f t="shared" si="117"/>
        <v>17082.686679818795</v>
      </c>
      <c r="CO55" s="15">
        <f t="shared" si="117"/>
        <v>16911.859813020608</v>
      </c>
      <c r="CP55" s="15">
        <f t="shared" si="117"/>
        <v>16742.7412148904</v>
      </c>
      <c r="CQ55" s="15">
        <f t="shared" si="117"/>
        <v>16575.313802741497</v>
      </c>
      <c r="CR55" s="15">
        <f t="shared" si="117"/>
        <v>16409.560664714081</v>
      </c>
      <c r="CS55" s="15">
        <f t="shared" si="117"/>
        <v>16245.46505806694</v>
      </c>
      <c r="CT55" s="15">
        <f t="shared" si="117"/>
        <v>16083.01040748627</v>
      </c>
      <c r="CU55" s="15">
        <f t="shared" si="117"/>
        <v>15922.180303411407</v>
      </c>
      <c r="CV55" s="15">
        <f t="shared" si="117"/>
        <v>15762.958500377294</v>
      </c>
      <c r="CW55" s="15">
        <f t="shared" si="117"/>
        <v>15605.32891537352</v>
      </c>
      <c r="CX55" s="15">
        <f t="shared" si="117"/>
        <v>15449.275626219785</v>
      </c>
      <c r="CY55" s="15">
        <f t="shared" si="117"/>
        <v>15294.782869957588</v>
      </c>
      <c r="CZ55" s="15">
        <f t="shared" si="117"/>
        <v>15141.835041258011</v>
      </c>
      <c r="DA55" s="15">
        <f t="shared" si="117"/>
        <v>14990.416690845432</v>
      </c>
      <c r="DB55" s="15">
        <f t="shared" si="117"/>
        <v>14840.512523936977</v>
      </c>
      <c r="DC55" s="15">
        <f t="shared" si="117"/>
        <v>14692.107398697608</v>
      </c>
      <c r="DD55" s="15">
        <f t="shared" si="117"/>
        <v>14545.186324710632</v>
      </c>
      <c r="DE55" s="15">
        <f t="shared" si="117"/>
        <v>14399.734461463526</v>
      </c>
      <c r="DF55" s="15">
        <f t="shared" si="117"/>
        <v>14255.73711684889</v>
      </c>
      <c r="DG55" s="15">
        <f t="shared" si="117"/>
        <v>14113.179745680402</v>
      </c>
      <c r="DH55" s="15">
        <f t="shared" si="117"/>
        <v>13972.047948223597</v>
      </c>
      <c r="DI55" s="15">
        <f t="shared" si="117"/>
        <v>13832.327468741361</v>
      </c>
      <c r="DJ55" s="15">
        <f t="shared" si="117"/>
        <v>13694.004194053947</v>
      </c>
      <c r="DK55" s="15">
        <f t="shared" si="117"/>
        <v>13557.064152113408</v>
      </c>
      <c r="DL55" s="15">
        <f t="shared" si="117"/>
        <v>13421.493510592274</v>
      </c>
      <c r="DM55" s="15">
        <f t="shared" si="117"/>
        <v>13287.278575486351</v>
      </c>
      <c r="DN55" s="15">
        <f t="shared" si="117"/>
        <v>13154.405789731487</v>
      </c>
      <c r="DO55" s="15">
        <f t="shared" si="117"/>
        <v>13022.861731834171</v>
      </c>
      <c r="DP55" s="15">
        <f t="shared" si="117"/>
        <v>12892.633114515829</v>
      </c>
      <c r="DQ55" s="15">
        <f t="shared" si="117"/>
        <v>12763.706783370671</v>
      </c>
      <c r="DR55" s="15">
        <f t="shared" si="117"/>
        <v>12636.069715536965</v>
      </c>
      <c r="DS55" s="15">
        <f t="shared" si="117"/>
        <v>12509.709018381596</v>
      </c>
      <c r="DT55" s="15">
        <f t="shared" si="117"/>
        <v>12384.611928197781</v>
      </c>
      <c r="DU55" s="15">
        <f t="shared" si="117"/>
        <v>12260.765808915803</v>
      </c>
      <c r="DV55" s="15">
        <f t="shared" si="117"/>
        <v>12138.158150826644</v>
      </c>
      <c r="DW55" s="15">
        <f t="shared" si="117"/>
        <v>12016.776569318377</v>
      </c>
      <c r="DX55" s="15">
        <f t="shared" si="117"/>
        <v>11896.608803625193</v>
      </c>
      <c r="DY55" s="15">
        <f t="shared" si="117"/>
        <v>11777.642715588941</v>
      </c>
      <c r="DZ55" s="15">
        <f t="shared" si="117"/>
        <v>11659.866288433052</v>
      </c>
      <c r="EA55" s="15">
        <f t="shared" si="117"/>
        <v>11543.26762554872</v>
      </c>
      <c r="EB55" s="15">
        <f t="shared" si="117"/>
        <v>11427.834949293234</v>
      </c>
      <c r="EC55" s="15">
        <f t="shared" si="117"/>
        <v>11313.556599800302</v>
      </c>
      <c r="ED55" s="15">
        <f t="shared" si="117"/>
        <v>11200.421033802299</v>
      </c>
      <c r="EE55" s="15">
        <f t="shared" si="117"/>
        <v>11088.416823464275</v>
      </c>
      <c r="EF55" s="15">
        <f t="shared" si="117"/>
        <v>10977.532655229632</v>
      </c>
      <c r="EG55" s="15">
        <f t="shared" si="117"/>
        <v>10867.757328677335</v>
      </c>
      <c r="EH55" s="15">
        <f t="shared" si="117"/>
        <v>10759.079755390561</v>
      </c>
      <c r="EI55" s="15">
        <f t="shared" si="117"/>
        <v>10651.488957836656</v>
      </c>
      <c r="EJ55" s="15">
        <f t="shared" si="117"/>
        <v>10544.974068258291</v>
      </c>
      <c r="EK55" s="15">
        <f t="shared" si="117"/>
        <v>10439.524327575708</v>
      </c>
      <c r="EL55" s="15">
        <f t="shared" si="117"/>
        <v>10335.12908429995</v>
      </c>
      <c r="EM55" s="15">
        <f t="shared" ref="EM55:GV55" si="118">EL55*(1+$CB$58)</f>
        <v>10231.777793456949</v>
      </c>
      <c r="EN55" s="15">
        <f t="shared" si="118"/>
        <v>10129.46001552238</v>
      </c>
      <c r="EO55" s="15">
        <f t="shared" si="118"/>
        <v>10028.165415367155</v>
      </c>
      <c r="EP55" s="15">
        <f t="shared" si="118"/>
        <v>9927.883761213483</v>
      </c>
      <c r="EQ55" s="15">
        <f t="shared" si="118"/>
        <v>9828.6049236013478</v>
      </c>
      <c r="ER55" s="15">
        <f t="shared" si="118"/>
        <v>9730.3188743653336</v>
      </c>
      <c r="ES55" s="15">
        <f t="shared" si="118"/>
        <v>9633.0156856216799</v>
      </c>
      <c r="ET55" s="15">
        <f t="shared" si="118"/>
        <v>9536.6855287654635</v>
      </c>
      <c r="EU55" s="15">
        <f t="shared" si="118"/>
        <v>9441.3186734778083</v>
      </c>
      <c r="EV55" s="15">
        <f t="shared" si="118"/>
        <v>9346.9054867430295</v>
      </c>
      <c r="EW55" s="15">
        <f t="shared" si="118"/>
        <v>9253.4364318755997</v>
      </c>
      <c r="EX55" s="15">
        <f t="shared" si="118"/>
        <v>9160.9020675568445</v>
      </c>
      <c r="EY55" s="15">
        <f t="shared" si="118"/>
        <v>9069.2930468812756</v>
      </c>
      <c r="EZ55" s="15">
        <f t="shared" si="118"/>
        <v>8978.6001164124627</v>
      </c>
      <c r="FA55" s="15">
        <f t="shared" si="118"/>
        <v>8888.8141152483386</v>
      </c>
      <c r="FB55" s="15">
        <f t="shared" si="118"/>
        <v>8799.9259740958551</v>
      </c>
      <c r="FC55" s="15">
        <f t="shared" si="118"/>
        <v>8711.9267143548968</v>
      </c>
      <c r="FD55" s="15">
        <f t="shared" si="118"/>
        <v>8624.8074472113476</v>
      </c>
      <c r="FE55" s="15">
        <f t="shared" si="118"/>
        <v>8538.5593727392334</v>
      </c>
      <c r="FF55" s="15">
        <f t="shared" si="118"/>
        <v>8453.1737790118405</v>
      </c>
      <c r="FG55" s="15">
        <f t="shared" si="118"/>
        <v>8368.6420412217212</v>
      </c>
      <c r="FH55" s="15">
        <f t="shared" si="118"/>
        <v>8284.9556208095037</v>
      </c>
      <c r="FI55" s="15">
        <f t="shared" si="118"/>
        <v>8202.1060646014084</v>
      </c>
      <c r="FJ55" s="15">
        <f t="shared" si="118"/>
        <v>8120.0850039553943</v>
      </c>
      <c r="FK55" s="15">
        <f t="shared" si="118"/>
        <v>8038.8841539158402</v>
      </c>
      <c r="FL55" s="15">
        <f t="shared" si="118"/>
        <v>7958.4953123766818</v>
      </c>
      <c r="FM55" s="15">
        <f t="shared" si="118"/>
        <v>7878.9103592529145</v>
      </c>
      <c r="FN55" s="15">
        <f t="shared" si="118"/>
        <v>7800.121255660385</v>
      </c>
      <c r="FO55" s="15">
        <f t="shared" si="118"/>
        <v>7722.1200431037814</v>
      </c>
      <c r="FP55" s="15">
        <f t="shared" si="118"/>
        <v>7644.8988426727437</v>
      </c>
      <c r="FQ55" s="15">
        <f t="shared" si="118"/>
        <v>7568.449854246016</v>
      </c>
      <c r="FR55" s="15">
        <f t="shared" si="118"/>
        <v>7492.7653557035555</v>
      </c>
      <c r="FS55" s="15">
        <f t="shared" si="118"/>
        <v>7417.8377021465203</v>
      </c>
      <c r="FT55" s="15">
        <f t="shared" si="118"/>
        <v>7343.6593251250551</v>
      </c>
      <c r="FU55" s="15">
        <f t="shared" si="118"/>
        <v>7270.2227318738042</v>
      </c>
      <c r="FV55" s="15">
        <f t="shared" si="118"/>
        <v>7197.5205045550656</v>
      </c>
      <c r="FW55" s="15">
        <f t="shared" si="118"/>
        <v>7125.5452995095147</v>
      </c>
      <c r="FX55" s="15">
        <f t="shared" si="118"/>
        <v>7054.2898465144199</v>
      </c>
      <c r="FY55" s="15">
        <f t="shared" si="118"/>
        <v>6983.7469480492755</v>
      </c>
      <c r="FZ55" s="15">
        <f t="shared" si="118"/>
        <v>6913.909478568783</v>
      </c>
      <c r="GA55" s="15">
        <f t="shared" si="118"/>
        <v>6844.770383783095</v>
      </c>
      <c r="GB55" s="15">
        <f t="shared" si="118"/>
        <v>6776.3226799452641</v>
      </c>
      <c r="GC55" s="15">
        <f t="shared" si="118"/>
        <v>6708.5594531458109</v>
      </c>
      <c r="GD55" s="15">
        <f t="shared" si="118"/>
        <v>6641.473858614353</v>
      </c>
      <c r="GE55" s="15">
        <f t="shared" si="118"/>
        <v>6575.0591200282097</v>
      </c>
      <c r="GF55" s="15">
        <f t="shared" si="118"/>
        <v>6509.3085288279271</v>
      </c>
      <c r="GG55" s="15">
        <f t="shared" si="118"/>
        <v>6444.2154435396478</v>
      </c>
      <c r="GH55" s="15">
        <f t="shared" si="118"/>
        <v>6379.7732891042515</v>
      </c>
      <c r="GI55" s="15">
        <f t="shared" si="118"/>
        <v>6315.9755562132086</v>
      </c>
      <c r="GJ55" s="15">
        <f t="shared" si="118"/>
        <v>6252.8158006510766</v>
      </c>
      <c r="GK55" s="15">
        <f t="shared" si="118"/>
        <v>6190.2876426445655</v>
      </c>
      <c r="GL55" s="15">
        <f t="shared" si="118"/>
        <v>6128.3847662181197</v>
      </c>
      <c r="GM55" s="15">
        <f t="shared" si="118"/>
        <v>6067.1009185559387</v>
      </c>
      <c r="GN55" s="15">
        <f t="shared" si="118"/>
        <v>6006.4299093703794</v>
      </c>
      <c r="GO55" s="15">
        <f t="shared" si="118"/>
        <v>5946.3656102766754</v>
      </c>
      <c r="GP55" s="15">
        <f t="shared" si="118"/>
        <v>5886.901954173909</v>
      </c>
      <c r="GQ55" s="15">
        <f t="shared" si="118"/>
        <v>5828.0329346321696</v>
      </c>
      <c r="GR55" s="15">
        <f t="shared" si="118"/>
        <v>5769.7526052858475</v>
      </c>
      <c r="GS55" s="15">
        <f t="shared" si="118"/>
        <v>5712.0550792329886</v>
      </c>
      <c r="GT55" s="15">
        <f t="shared" si="118"/>
        <v>5654.9345284406591</v>
      </c>
      <c r="GU55" s="15">
        <f t="shared" si="118"/>
        <v>5598.3851831562524</v>
      </c>
      <c r="GV55" s="15">
        <f t="shared" si="118"/>
        <v>5542.4013313246896</v>
      </c>
    </row>
    <row r="56" spans="2:204" s="14" customFormat="1" x14ac:dyDescent="0.2">
      <c r="B56" s="14" t="s">
        <v>15</v>
      </c>
      <c r="C56" s="3"/>
      <c r="D56" s="3"/>
      <c r="E56" s="3"/>
      <c r="F56" s="3"/>
      <c r="G56" s="3">
        <f>G55/G57</f>
        <v>0.60311526479750777</v>
      </c>
      <c r="H56" s="3"/>
      <c r="I56" s="3">
        <f>I55/I57</f>
        <v>0.74465408805031441</v>
      </c>
      <c r="J56" s="3"/>
      <c r="K56" s="3"/>
      <c r="L56" s="3">
        <f>L55/L57</f>
        <v>0.83022388059701491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f t="shared" ref="W56:X56" si="119">W55/W57</f>
        <v>1.2932002495321273</v>
      </c>
      <c r="X56" s="3">
        <f t="shared" si="119"/>
        <v>1.24125</v>
      </c>
      <c r="Y56" s="3">
        <f t="shared" ref="Y56" si="120">Y55/Y57</f>
        <v>1.4235807860262009</v>
      </c>
      <c r="Z56" s="3">
        <f t="shared" ref="Z56:AA56" si="121">Z55/Z57</f>
        <v>1.4937578027465668</v>
      </c>
      <c r="AA56" s="3">
        <f t="shared" si="121"/>
        <v>1.8847117794486214</v>
      </c>
      <c r="AB56" s="3">
        <f t="shared" ref="AB56:AC56" si="122">AB55/AB57</f>
        <v>1.9993638676844783</v>
      </c>
      <c r="AC56" s="3">
        <f t="shared" si="122"/>
        <v>2.1485148514851486</v>
      </c>
      <c r="AD56" s="3">
        <f t="shared" ref="AD56:AH56" si="123">AD55/AD57</f>
        <v>1.9067288474350432</v>
      </c>
      <c r="AE56" s="3">
        <f t="shared" si="123"/>
        <v>2.1564396493594065</v>
      </c>
      <c r="AF56" s="3">
        <f t="shared" si="123"/>
        <v>2.2749326145552562</v>
      </c>
      <c r="AG56" s="3">
        <f t="shared" ref="AG56" si="124">AG55/AG57</f>
        <v>2.3385030343897504</v>
      </c>
      <c r="AH56" s="3">
        <f t="shared" si="123"/>
        <v>2.2181818181818183</v>
      </c>
      <c r="AI56" s="3">
        <f t="shared" ref="AI56:AJ56" si="125">AI55/AI57</f>
        <v>2.4346361185983829</v>
      </c>
      <c r="AJ56" s="3">
        <f t="shared" si="125"/>
        <v>2.3642987249544625</v>
      </c>
      <c r="AK56" s="3">
        <f t="shared" ref="AK56:AQ56" si="126">AK55/AK57</f>
        <v>3.5152198421645999</v>
      </c>
      <c r="AL56" s="3">
        <f t="shared" si="126"/>
        <v>3.6188063063063063</v>
      </c>
      <c r="AM56" s="3">
        <f t="shared" si="126"/>
        <v>2.9532394366197181</v>
      </c>
      <c r="AN56" s="3">
        <f t="shared" si="126"/>
        <v>3.1171171171171173</v>
      </c>
      <c r="AO56" s="3">
        <f t="shared" si="126"/>
        <v>3.3134496342149689</v>
      </c>
      <c r="AP56" s="3">
        <f t="shared" si="126"/>
        <v>3.3278965129358831</v>
      </c>
      <c r="AQ56" s="3">
        <f t="shared" si="126"/>
        <v>3.2699662542182226</v>
      </c>
      <c r="AR56" s="3">
        <f t="shared" ref="AR56:AT56" si="127">AR55/AR57</f>
        <v>3.6418918918918921</v>
      </c>
      <c r="AS56" s="3">
        <f t="shared" si="127"/>
        <v>3.7201576576576576</v>
      </c>
      <c r="AT56" s="3">
        <f t="shared" si="127"/>
        <v>3.5032826576576577</v>
      </c>
      <c r="AU56" s="3">
        <f t="shared" ref="AU56:AZ56" si="128">AU55/AU57</f>
        <v>2.7820945945945947</v>
      </c>
      <c r="AV56" s="3">
        <f t="shared" si="128"/>
        <v>3.1852060982495765</v>
      </c>
      <c r="AW56" s="3">
        <f t="shared" si="128"/>
        <v>3.4720496894409938</v>
      </c>
      <c r="AX56" s="3">
        <f t="shared" si="128"/>
        <v>3.3075620767494356</v>
      </c>
      <c r="AY56" s="3">
        <f t="shared" si="128"/>
        <v>2.4215575620767495</v>
      </c>
      <c r="AZ56" s="3">
        <f t="shared" si="128"/>
        <v>2.6965920880361178</v>
      </c>
      <c r="BA56" s="3">
        <f t="shared" ref="BA56:BB56" si="129">BA55/BA57</f>
        <v>2.9302855699774253</v>
      </c>
      <c r="BB56" s="3">
        <f t="shared" si="129"/>
        <v>2.8713886455981941</v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>
        <f t="shared" ref="BM56:BO56" si="130">+BM55/BM57</f>
        <v>7.9353169469598965</v>
      </c>
      <c r="BN56" s="3">
        <f t="shared" si="130"/>
        <v>8.9880370682392581</v>
      </c>
      <c r="BO56" s="3">
        <f t="shared" si="130"/>
        <v>12.076036521478821</v>
      </c>
      <c r="BP56" s="3">
        <f>+BP55/BP57</f>
        <v>12.712074303405572</v>
      </c>
      <c r="BQ56" s="3">
        <f>+BQ55/BQ57</f>
        <v>14.013414016324232</v>
      </c>
      <c r="BR56" s="3">
        <f>+BR55/BR57</f>
        <v>12.745839210155149</v>
      </c>
      <c r="BS56" s="3">
        <f t="shared" ref="BS56:BY56" si="131">+BS55/BS57</f>
        <v>11.385130967832957</v>
      </c>
      <c r="BT56" s="3">
        <f t="shared" si="131"/>
        <v>16.28990236103273</v>
      </c>
      <c r="BU56" s="3">
        <f t="shared" si="131"/>
        <v>15.983174763790917</v>
      </c>
      <c r="BV56" s="3">
        <f t="shared" si="131"/>
        <v>15.837216327836833</v>
      </c>
      <c r="BW56" s="3">
        <f t="shared" si="131"/>
        <v>15.401621557659135</v>
      </c>
      <c r="BX56" s="3">
        <f t="shared" si="131"/>
        <v>15.354681206596904</v>
      </c>
      <c r="BY56" s="3">
        <f t="shared" si="131"/>
        <v>11.208939856321351</v>
      </c>
    </row>
    <row r="57" spans="2:204" s="15" customFormat="1" x14ac:dyDescent="0.2">
      <c r="B57" s="15" t="s">
        <v>14</v>
      </c>
      <c r="C57" s="16"/>
      <c r="D57" s="16"/>
      <c r="E57" s="16"/>
      <c r="F57" s="16"/>
      <c r="G57" s="16">
        <v>1605</v>
      </c>
      <c r="H57" s="16"/>
      <c r="I57" s="16">
        <v>1590</v>
      </c>
      <c r="J57" s="16"/>
      <c r="K57" s="16"/>
      <c r="L57" s="16">
        <v>1608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>
        <v>1603</v>
      </c>
      <c r="X57" s="16">
        <v>1600</v>
      </c>
      <c r="Y57" s="16">
        <v>1603</v>
      </c>
      <c r="Z57" s="16">
        <v>1602</v>
      </c>
      <c r="AA57" s="16">
        <v>1596</v>
      </c>
      <c r="AB57" s="16">
        <v>1572</v>
      </c>
      <c r="AC57" s="16">
        <v>1515</v>
      </c>
      <c r="AD57" s="16">
        <v>1501</v>
      </c>
      <c r="AE57" s="16">
        <v>1483</v>
      </c>
      <c r="AF57" s="16">
        <v>1484</v>
      </c>
      <c r="AG57" s="16">
        <v>1483</v>
      </c>
      <c r="AH57" s="16">
        <v>1485</v>
      </c>
      <c r="AI57" s="16">
        <v>1484</v>
      </c>
      <c r="AJ57" s="16">
        <v>1647</v>
      </c>
      <c r="AK57" s="16">
        <v>1774</v>
      </c>
      <c r="AL57" s="16">
        <v>1776</v>
      </c>
      <c r="AM57" s="16">
        <v>1775</v>
      </c>
      <c r="AN57" s="16">
        <v>1776</v>
      </c>
      <c r="AO57" s="16">
        <v>1777</v>
      </c>
      <c r="AP57" s="16">
        <v>1778</v>
      </c>
      <c r="AQ57" s="16">
        <v>1778</v>
      </c>
      <c r="AR57" s="16">
        <v>1776</v>
      </c>
      <c r="AS57" s="16">
        <v>1776</v>
      </c>
      <c r="AT57" s="16">
        <f>+AS57</f>
        <v>1776</v>
      </c>
      <c r="AU57" s="16">
        <v>1776</v>
      </c>
      <c r="AV57" s="16">
        <v>1771</v>
      </c>
      <c r="AW57" s="16">
        <v>1771</v>
      </c>
      <c r="AX57" s="16">
        <v>1772</v>
      </c>
      <c r="AY57" s="16">
        <v>1772</v>
      </c>
      <c r="AZ57" s="16">
        <f>+AY57</f>
        <v>1772</v>
      </c>
      <c r="BA57" s="16">
        <f t="shared" ref="BA57:BB57" si="132">+AZ57</f>
        <v>1772</v>
      </c>
      <c r="BB57" s="16">
        <f t="shared" si="132"/>
        <v>1772</v>
      </c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>
        <f>AVERAGE(AA57:AD57)</f>
        <v>1546</v>
      </c>
      <c r="BN57" s="16">
        <f>AVERAGE(AE57:AH57)</f>
        <v>1483.75</v>
      </c>
      <c r="BO57" s="16">
        <f>AVERAGE(AI57:AL57)</f>
        <v>1670.25</v>
      </c>
      <c r="BP57" s="16">
        <f>AVERAGE(AM57:AP57)</f>
        <v>1776.5</v>
      </c>
      <c r="BQ57" s="16">
        <f>AVERAGE(AQ57:AT57)</f>
        <v>1776.5</v>
      </c>
      <c r="BR57" s="16">
        <f>AVERAGE(AU57:AX57)</f>
        <v>1772.5</v>
      </c>
      <c r="BS57" s="16">
        <f>AVERAGE(AY57:BB57)</f>
        <v>1772</v>
      </c>
      <c r="BT57" s="16">
        <f t="shared" ref="BS57:BY57" si="133">BS57</f>
        <v>1772</v>
      </c>
      <c r="BU57" s="16">
        <f t="shared" si="133"/>
        <v>1772</v>
      </c>
      <c r="BV57" s="16">
        <f t="shared" si="133"/>
        <v>1772</v>
      </c>
      <c r="BW57" s="16">
        <f t="shared" si="133"/>
        <v>1772</v>
      </c>
      <c r="BX57" s="16">
        <f t="shared" si="133"/>
        <v>1772</v>
      </c>
      <c r="BY57" s="16">
        <f t="shared" si="133"/>
        <v>1772</v>
      </c>
      <c r="CA57" s="48" t="s">
        <v>247</v>
      </c>
      <c r="CB57" s="29">
        <v>0.06</v>
      </c>
    </row>
    <row r="58" spans="2:204" x14ac:dyDescent="0.2">
      <c r="CA58" s="45" t="s">
        <v>248</v>
      </c>
      <c r="CB58" s="29">
        <v>-0.01</v>
      </c>
    </row>
    <row r="59" spans="2:204" s="32" customFormat="1" x14ac:dyDescent="0.2">
      <c r="B59" s="32" t="s">
        <v>157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>
        <f t="shared" ref="AA59:AK59" si="134">+AA45/W45-1</f>
        <v>0.21352095442031205</v>
      </c>
      <c r="AB59" s="33">
        <f t="shared" si="134"/>
        <v>0.18922811059907829</v>
      </c>
      <c r="AC59" s="33">
        <f t="shared" si="134"/>
        <v>0.1774124374553252</v>
      </c>
      <c r="AD59" s="33">
        <f t="shared" si="134"/>
        <v>7.3136064090967734E-2</v>
      </c>
      <c r="AE59" s="33">
        <f t="shared" si="134"/>
        <v>-1.3360221830098329E-2</v>
      </c>
      <c r="AF59" s="33">
        <f t="shared" si="134"/>
        <v>-3.6328408815688995E-4</v>
      </c>
      <c r="AG59" s="33">
        <f t="shared" si="134"/>
        <v>2.9504613890237952E-2</v>
      </c>
      <c r="AH59" s="33">
        <f t="shared" si="134"/>
        <v>4.8043347381095725E-2</v>
      </c>
      <c r="AI59" s="33">
        <f t="shared" si="134"/>
        <v>0.10104752171691356</v>
      </c>
      <c r="AJ59" s="33">
        <f t="shared" si="134"/>
        <v>0.26287098728043601</v>
      </c>
      <c r="AK59" s="33">
        <f t="shared" si="134"/>
        <v>0.51928293430829098</v>
      </c>
      <c r="AL59" s="33">
        <f t="shared" ref="AL59:AP59" si="135">+AL45/AH45-1</f>
        <v>0.59214154411764697</v>
      </c>
      <c r="AM59" s="33">
        <f t="shared" si="135"/>
        <v>0.50075414781297134</v>
      </c>
      <c r="AN59" s="33">
        <f t="shared" si="135"/>
        <v>0.3389928057553957</v>
      </c>
      <c r="AO59" s="33">
        <f t="shared" si="135"/>
        <v>0.11333643844123586</v>
      </c>
      <c r="AP59" s="33">
        <f t="shared" si="135"/>
        <v>7.4180978496175554E-2</v>
      </c>
      <c r="AQ59" s="33">
        <f>+AQ45/AM45-1</f>
        <v>4.6617703904135999E-2</v>
      </c>
      <c r="AR59" s="33">
        <f t="shared" ref="AR59" si="136">+AR45/AN45-1</f>
        <v>4.4702342574683085E-2</v>
      </c>
      <c r="AS59" s="33">
        <f>+AS45/AO45-1</f>
        <v>3.2770882722074957E-2</v>
      </c>
      <c r="AT59" s="33">
        <f t="shared" ref="AT59" si="137">+AT45/AP45-1</f>
        <v>1.5786645169958424E-2</v>
      </c>
      <c r="AU59" s="33">
        <f t="shared" ref="AU59" si="138">+AU45/AQ45-1</f>
        <v>-9.6986260895257748E-2</v>
      </c>
      <c r="AV59" s="33">
        <f t="shared" ref="AV59" si="139">+AV45/AR45-1</f>
        <v>-4.9235411095110759E-2</v>
      </c>
      <c r="AW59" s="33">
        <f t="shared" ref="AW59" si="140">+AW45/AS45-1</f>
        <v>-5.9748852281933607E-2</v>
      </c>
      <c r="AX59" s="33">
        <f t="shared" ref="AX59:BB59" si="141">+AX45/AT45-1</f>
        <v>-5.4229217644335637E-2</v>
      </c>
      <c r="AY59" s="33">
        <f t="shared" si="141"/>
        <v>6.952965235173858E-3</v>
      </c>
      <c r="AZ59" s="33">
        <f t="shared" si="141"/>
        <v>-8.359610530111794E-2</v>
      </c>
      <c r="BA59" s="33">
        <f t="shared" si="141"/>
        <v>-3.9241042579162944E-2</v>
      </c>
      <c r="BB59" s="33">
        <f t="shared" si="141"/>
        <v>-3.3882945248583929E-2</v>
      </c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>
        <f>+BN45/BM45-1</f>
        <v>1.6283261540341654E-2</v>
      </c>
      <c r="BO59" s="33">
        <f>+BO45/BN45-1</f>
        <v>0.37630012625503517</v>
      </c>
      <c r="BP59" s="33">
        <f>+BP45/BO45-1</f>
        <v>0.22579940590599334</v>
      </c>
      <c r="BQ59" s="33">
        <f>+BQ45/BP45-1</f>
        <v>3.0576244609956893E-2</v>
      </c>
      <c r="BR59" s="33">
        <f t="shared" ref="BR59:BY59" si="142">+BR45/BQ45-1</f>
        <v>-6.0859642449600626E-2</v>
      </c>
      <c r="BS59" s="33">
        <f t="shared" si="142"/>
        <v>-3.8755661106815387E-2</v>
      </c>
      <c r="BT59" s="33">
        <f t="shared" si="142"/>
        <v>1.1735679344958339E-2</v>
      </c>
      <c r="BU59" s="33">
        <f t="shared" si="142"/>
        <v>-2.7359590464653749E-2</v>
      </c>
      <c r="BV59" s="33">
        <f t="shared" si="142"/>
        <v>-1.8093734690504681E-2</v>
      </c>
      <c r="BW59" s="33">
        <f t="shared" si="142"/>
        <v>-3.6839851869464701E-2</v>
      </c>
      <c r="BX59" s="33">
        <f t="shared" si="142"/>
        <v>-1.2596444581474686E-2</v>
      </c>
      <c r="BY59" s="33">
        <f t="shared" si="142"/>
        <v>-0.2867429708938527</v>
      </c>
      <c r="CA59" s="51" t="s">
        <v>250</v>
      </c>
      <c r="CB59" s="33" t="s">
        <v>203</v>
      </c>
    </row>
    <row r="60" spans="2:204" s="32" customFormat="1" x14ac:dyDescent="0.2">
      <c r="B60" s="32" t="s">
        <v>255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>
        <v>0.17599999999999999</v>
      </c>
      <c r="AB60" s="33">
        <v>0.17100000000000001</v>
      </c>
      <c r="AC60" s="33">
        <v>0.185</v>
      </c>
      <c r="AD60" s="33">
        <v>8.3000000000000004E-2</v>
      </c>
      <c r="AE60" s="33">
        <v>4.0000000000000001E-3</v>
      </c>
      <c r="AF60" s="33">
        <v>1.4999999999999999E-2</v>
      </c>
      <c r="AG60" s="33"/>
      <c r="AH60" s="33"/>
      <c r="AI60" s="33"/>
      <c r="AJ60" s="33"/>
      <c r="AK60" s="33"/>
      <c r="AL60" s="33"/>
      <c r="AM60" s="33"/>
      <c r="AN60" s="33"/>
      <c r="AO60" s="33"/>
      <c r="AP60" s="33">
        <v>7.3999999999999996E-2</v>
      </c>
      <c r="AQ60" s="33">
        <v>5.3999999999999999E-2</v>
      </c>
      <c r="AR60" s="33">
        <v>6.0999999999999999E-2</v>
      </c>
      <c r="AS60" s="33">
        <v>5.3999999999999999E-2</v>
      </c>
      <c r="AT60" s="33">
        <v>3.7999999999999999E-2</v>
      </c>
      <c r="AU60" s="33">
        <v>-8.3000000000000004E-2</v>
      </c>
      <c r="AV60" s="33"/>
      <c r="AW60" s="33">
        <v>-5.8000000000000003E-2</v>
      </c>
      <c r="AX60" s="33">
        <v>-5.3999999999999999E-2</v>
      </c>
      <c r="AY60" s="33">
        <v>1.6E-2</v>
      </c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CA60" s="51"/>
      <c r="CB60" s="33"/>
    </row>
    <row r="61" spans="2:204" s="29" customFormat="1" x14ac:dyDescent="0.2">
      <c r="B61" s="31" t="s">
        <v>156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>
        <f t="shared" ref="AE61:AY61" si="143">+AE5/AA5-1</f>
        <v>-5.5850499044383106E-2</v>
      </c>
      <c r="AF61" s="30">
        <f t="shared" si="143"/>
        <v>-6.0752169720347138E-2</v>
      </c>
      <c r="AG61" s="30">
        <f t="shared" si="143"/>
        <v>-3.669008587041378E-2</v>
      </c>
      <c r="AH61" s="30">
        <f t="shared" si="143"/>
        <v>-2.0333468889788264E-4</v>
      </c>
      <c r="AI61" s="30">
        <f t="shared" si="143"/>
        <v>5.7804768331084055E-2</v>
      </c>
      <c r="AJ61" s="30">
        <f t="shared" si="143"/>
        <v>-6.7761806981520012E-3</v>
      </c>
      <c r="AK61" s="30">
        <f t="shared" si="143"/>
        <v>4.1329011345218714E-2</v>
      </c>
      <c r="AL61" s="30">
        <f t="shared" si="143"/>
        <v>4.7793369941020902E-2</v>
      </c>
      <c r="AM61" s="30">
        <f t="shared" si="143"/>
        <v>3.4871358707208255E-2</v>
      </c>
      <c r="AN61" s="30">
        <f t="shared" si="143"/>
        <v>4.7756874095513657E-2</v>
      </c>
      <c r="AO61" s="30">
        <f t="shared" si="143"/>
        <v>5.5447470817120648E-2</v>
      </c>
      <c r="AP61" s="30">
        <f t="shared" si="143"/>
        <v>3.5326086956521729E-2</v>
      </c>
      <c r="AQ61" s="30">
        <f t="shared" si="143"/>
        <v>-2.6915964659954827E-2</v>
      </c>
      <c r="AR61" s="30">
        <f t="shared" si="143"/>
        <v>5.8208366219415941E-2</v>
      </c>
      <c r="AS61" s="30">
        <f t="shared" si="143"/>
        <v>2.4700460829493176E-2</v>
      </c>
      <c r="AT61" s="30">
        <f t="shared" si="143"/>
        <v>4.5931758530183719E-2</v>
      </c>
      <c r="AU61" s="30">
        <f t="shared" si="143"/>
        <v>-0.25232263513513509</v>
      </c>
      <c r="AV61" s="30">
        <f t="shared" si="143"/>
        <v>-0.25191124370688045</v>
      </c>
      <c r="AW61" s="30">
        <f t="shared" si="143"/>
        <v>-0.36193559992804458</v>
      </c>
      <c r="AX61" s="30">
        <f t="shared" si="143"/>
        <v>-0.40777917189460477</v>
      </c>
      <c r="AY61" s="30">
        <f t="shared" si="143"/>
        <v>-0.35893815306410615</v>
      </c>
      <c r="AZ61" s="30">
        <f t="shared" ref="AZ61" si="144">+AZ5/AV5-1</f>
        <v>-0.5</v>
      </c>
      <c r="BA61" s="30">
        <f t="shared" ref="BA61" si="145">+BA5/AW5-1</f>
        <v>-0.4</v>
      </c>
      <c r="BB61" s="30">
        <f t="shared" ref="BB61" si="146">+BB5/AX5-1</f>
        <v>-0.4</v>
      </c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>
        <f t="shared" ref="BN61:BY61" si="147">+BN5/BM5-1</f>
        <v>-3.8473113964687E-2</v>
      </c>
      <c r="BO61" s="30">
        <f t="shared" si="147"/>
        <v>3.4587093745109376E-2</v>
      </c>
      <c r="BP61" s="30">
        <f t="shared" si="147"/>
        <v>4.3465106897942807E-2</v>
      </c>
      <c r="BQ61" s="30">
        <f t="shared" si="147"/>
        <v>2.623948970716139E-2</v>
      </c>
      <c r="BR61" s="30">
        <f t="shared" si="147"/>
        <v>-0.32174977633375712</v>
      </c>
      <c r="BS61" s="30">
        <f t="shared" si="147"/>
        <v>-0.41775895584559841</v>
      </c>
      <c r="BT61" s="30">
        <f t="shared" si="147"/>
        <v>-9.9999999999999978E-2</v>
      </c>
      <c r="BU61" s="30">
        <f t="shared" si="147"/>
        <v>-0.19999999999999996</v>
      </c>
      <c r="BV61" s="30">
        <f t="shared" si="147"/>
        <v>-0.19999999999999996</v>
      </c>
      <c r="BW61" s="30">
        <f t="shared" si="147"/>
        <v>-0.5</v>
      </c>
      <c r="BX61" s="30">
        <f t="shared" si="147"/>
        <v>-0.5</v>
      </c>
      <c r="BY61" s="30">
        <f t="shared" si="147"/>
        <v>-0.5</v>
      </c>
      <c r="CA61" s="32" t="s">
        <v>249</v>
      </c>
      <c r="CB61" s="17">
        <f>NPV(CB57,BR55:GV55)+Main!K5-Main!K6</f>
        <v>277294.33971321181</v>
      </c>
    </row>
    <row r="62" spans="2:204" s="29" customFormat="1" x14ac:dyDescent="0.2">
      <c r="B62" s="31" t="s">
        <v>158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>
        <f t="shared" ref="AE62:AY62" si="148">+AE7/AA7-1</f>
        <v>0.34120734908136474</v>
      </c>
      <c r="AF62" s="30">
        <f t="shared" si="148"/>
        <v>0.29294117647058826</v>
      </c>
      <c r="AG62" s="30">
        <f t="shared" si="148"/>
        <v>0.29320987654320985</v>
      </c>
      <c r="AH62" s="30">
        <f t="shared" si="148"/>
        <v>0.28827037773359843</v>
      </c>
      <c r="AI62" s="30">
        <f t="shared" si="148"/>
        <v>0.20547945205479445</v>
      </c>
      <c r="AJ62" s="30">
        <f t="shared" si="148"/>
        <v>0.17197452229299359</v>
      </c>
      <c r="AK62" s="30">
        <f t="shared" si="148"/>
        <v>8.9896579156722334E-2</v>
      </c>
      <c r="AL62" s="30">
        <f t="shared" si="148"/>
        <v>9.8765432098765427E-2</v>
      </c>
      <c r="AM62" s="30">
        <f t="shared" si="148"/>
        <v>2.9220779220779258E-2</v>
      </c>
      <c r="AN62" s="30">
        <f t="shared" si="148"/>
        <v>7.2204968944099335E-2</v>
      </c>
      <c r="AO62" s="30">
        <f t="shared" si="148"/>
        <v>2.9197080291971655E-3</v>
      </c>
      <c r="AP62" s="30">
        <f t="shared" si="148"/>
        <v>-2.73876404494382E-2</v>
      </c>
      <c r="AQ62" s="30">
        <f t="shared" si="148"/>
        <v>-7.4921135646687675E-2</v>
      </c>
      <c r="AR62" s="30">
        <f t="shared" si="148"/>
        <v>-0.17089065894279509</v>
      </c>
      <c r="AS62" s="30">
        <f t="shared" si="148"/>
        <v>-0.17394468704512378</v>
      </c>
      <c r="AT62" s="30">
        <f t="shared" si="148"/>
        <v>-0.19494584837545126</v>
      </c>
      <c r="AU62" s="30">
        <f t="shared" si="148"/>
        <v>-0.25149190110826936</v>
      </c>
      <c r="AV62" s="30">
        <f t="shared" si="148"/>
        <v>-0.20786026200873364</v>
      </c>
      <c r="AW62" s="30">
        <f t="shared" si="148"/>
        <v>-0.19999999999999996</v>
      </c>
      <c r="AX62" s="30">
        <f t="shared" si="148"/>
        <v>-0.19013452914798201</v>
      </c>
      <c r="AY62" s="30">
        <f t="shared" si="148"/>
        <v>-4.5558086560364419E-2</v>
      </c>
      <c r="AZ62" s="30">
        <f t="shared" ref="AZ62:AZ63" si="149">+AZ7/AV7-1</f>
        <v>-5.0000000000000044E-2</v>
      </c>
      <c r="BA62" s="30">
        <f t="shared" ref="BA62:BA63" si="150">+BA7/AW7-1</f>
        <v>-5.0000000000000155E-2</v>
      </c>
      <c r="BB62" s="30">
        <f t="shared" ref="BB62:BB63" si="151">+BB7/AX7-1</f>
        <v>-5.0000000000000155E-2</v>
      </c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>
        <f t="shared" ref="BN62:BY62" si="152">+BN7/BM7-1</f>
        <v>0.30194986072423391</v>
      </c>
      <c r="BO62" s="30">
        <f t="shared" si="152"/>
        <v>0.13692768506632436</v>
      </c>
      <c r="BP62" s="30">
        <f t="shared" si="152"/>
        <v>1.7689123071132906E-2</v>
      </c>
      <c r="BQ62" s="30">
        <f t="shared" si="152"/>
        <v>-0.15532544378698221</v>
      </c>
      <c r="BR62" s="30">
        <f t="shared" si="152"/>
        <v>-0.21278458844133097</v>
      </c>
      <c r="BS62" s="30">
        <f t="shared" si="152"/>
        <v>-4.8915461624026713E-2</v>
      </c>
      <c r="BT62" s="30">
        <f t="shared" si="152"/>
        <v>-9.9999999999999978E-2</v>
      </c>
      <c r="BU62" s="30">
        <f t="shared" si="152"/>
        <v>-9.9999999999999867E-2</v>
      </c>
      <c r="BV62" s="30">
        <f t="shared" si="152"/>
        <v>-9.9999999999999978E-2</v>
      </c>
      <c r="BW62" s="30">
        <f t="shared" si="152"/>
        <v>-9.9999999999999867E-2</v>
      </c>
      <c r="BX62" s="30">
        <f t="shared" si="152"/>
        <v>-9.9999999999999978E-2</v>
      </c>
      <c r="BY62" s="30">
        <f t="shared" si="152"/>
        <v>-9.9999999999999978E-2</v>
      </c>
      <c r="CA62" s="51" t="s">
        <v>251</v>
      </c>
      <c r="CB62" s="14">
        <f>CB61/Main!K3</f>
        <v>157.03006912339822</v>
      </c>
    </row>
    <row r="63" spans="2:204" s="29" customFormat="1" x14ac:dyDescent="0.2">
      <c r="B63" s="31" t="s">
        <v>155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70" t="s">
        <v>203</v>
      </c>
      <c r="X63" s="70" t="s">
        <v>203</v>
      </c>
      <c r="Y63" s="70" t="s">
        <v>203</v>
      </c>
      <c r="Z63" s="70" t="s">
        <v>203</v>
      </c>
      <c r="AA63" s="70" t="s">
        <v>203</v>
      </c>
      <c r="AB63" s="70" t="s">
        <v>203</v>
      </c>
      <c r="AC63" s="70" t="s">
        <v>203</v>
      </c>
      <c r="AD63" s="70" t="s">
        <v>203</v>
      </c>
      <c r="AE63" s="70" t="s">
        <v>203</v>
      </c>
      <c r="AF63" s="70" t="s">
        <v>203</v>
      </c>
      <c r="AG63" s="70" t="s">
        <v>203</v>
      </c>
      <c r="AH63" s="70" t="s">
        <v>203</v>
      </c>
      <c r="AI63" s="70" t="s">
        <v>203</v>
      </c>
      <c r="AJ63" s="30">
        <f t="shared" ref="AJ63:AY63" si="153">+AJ8/AF8-1</f>
        <v>5.875</v>
      </c>
      <c r="AK63" s="30">
        <f t="shared" si="153"/>
        <v>3.7802197802197801</v>
      </c>
      <c r="AL63" s="30">
        <f t="shared" si="153"/>
        <v>1.4305555555555554</v>
      </c>
      <c r="AM63" s="30">
        <f t="shared" si="153"/>
        <v>0.91333333333333333</v>
      </c>
      <c r="AN63" s="30">
        <f t="shared" si="153"/>
        <v>1.0424242424242425</v>
      </c>
      <c r="AO63" s="30">
        <f t="shared" si="153"/>
        <v>0.8298850574712644</v>
      </c>
      <c r="AP63" s="30">
        <f t="shared" si="153"/>
        <v>0.7047619047619047</v>
      </c>
      <c r="AQ63" s="30">
        <f t="shared" si="153"/>
        <v>0.63763066202090601</v>
      </c>
      <c r="AR63" s="30">
        <f t="shared" si="153"/>
        <v>0.85756676557863498</v>
      </c>
      <c r="AS63" s="30">
        <f t="shared" si="153"/>
        <v>0.75502512562814061</v>
      </c>
      <c r="AT63" s="30">
        <f t="shared" si="153"/>
        <v>0.76089385474860327</v>
      </c>
      <c r="AU63" s="30">
        <f t="shared" si="153"/>
        <v>0.44680851063829796</v>
      </c>
      <c r="AV63" s="30">
        <f t="shared" si="153"/>
        <v>0.5039936102236422</v>
      </c>
      <c r="AW63" s="30">
        <f t="shared" si="153"/>
        <v>0.52183249821045097</v>
      </c>
      <c r="AX63" s="30">
        <f t="shared" si="153"/>
        <v>0.51903553299492389</v>
      </c>
      <c r="AY63" s="30">
        <f t="shared" si="153"/>
        <v>0.4764705882352942</v>
      </c>
      <c r="AZ63" s="30">
        <f t="shared" si="149"/>
        <v>0.30000000000000004</v>
      </c>
      <c r="BA63" s="30">
        <f t="shared" si="150"/>
        <v>0.25</v>
      </c>
      <c r="BB63" s="30">
        <f t="shared" si="151"/>
        <v>0.19999999999999996</v>
      </c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70" t="s">
        <v>203</v>
      </c>
      <c r="BO63" s="30">
        <f t="shared" ref="BO63:BY63" si="154">+BO8/BN8-1</f>
        <v>3.47887323943662</v>
      </c>
      <c r="BP63" s="30">
        <f t="shared" si="154"/>
        <v>0.84842767295597477</v>
      </c>
      <c r="BQ63" s="30">
        <f t="shared" si="154"/>
        <v>0.75740047635250085</v>
      </c>
      <c r="BR63" s="30">
        <f t="shared" si="154"/>
        <v>0.50300096805421113</v>
      </c>
      <c r="BS63" s="30">
        <f t="shared" si="154"/>
        <v>0.28638412984670869</v>
      </c>
      <c r="BT63" s="30">
        <f t="shared" si="154"/>
        <v>0.30000000000000004</v>
      </c>
      <c r="BU63" s="30">
        <f t="shared" si="154"/>
        <v>3.0000000000000027E-2</v>
      </c>
      <c r="BV63" s="30">
        <f t="shared" si="154"/>
        <v>3.0000000000000027E-2</v>
      </c>
      <c r="BW63" s="30">
        <f t="shared" si="154"/>
        <v>3.0000000000000027E-2</v>
      </c>
      <c r="BX63" s="30">
        <f t="shared" si="154"/>
        <v>3.0000000000000027E-2</v>
      </c>
      <c r="BY63" s="30">
        <f t="shared" si="154"/>
        <v>3.0000000000000027E-2</v>
      </c>
    </row>
    <row r="64" spans="2:204" s="29" customFormat="1" x14ac:dyDescent="0.2">
      <c r="B64" s="71" t="s">
        <v>326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>
        <f t="shared" ref="AE64:AY64" si="155">+AE3/AA3-1</f>
        <v>-5.5850499044383106E-2</v>
      </c>
      <c r="AF64" s="30">
        <f t="shared" si="155"/>
        <v>-5.1494696239151372E-2</v>
      </c>
      <c r="AG64" s="30">
        <f t="shared" si="155"/>
        <v>-1.6198282591725177E-2</v>
      </c>
      <c r="AH64" s="30">
        <f t="shared" si="155"/>
        <v>5.0427002846685554E-2</v>
      </c>
      <c r="AI64" s="30">
        <f t="shared" si="155"/>
        <v>0.14462438146648671</v>
      </c>
      <c r="AJ64" s="30">
        <f t="shared" si="155"/>
        <v>8.0927206181374611E-2</v>
      </c>
      <c r="AK64" s="30">
        <f t="shared" si="155"/>
        <v>0.14858163062884344</v>
      </c>
      <c r="AL64" s="30">
        <f t="shared" si="155"/>
        <v>0.1533101045296168</v>
      </c>
      <c r="AM64" s="30">
        <f t="shared" si="155"/>
        <v>0.1287089801532717</v>
      </c>
      <c r="AN64" s="30">
        <f t="shared" si="155"/>
        <v>0.15124153498871329</v>
      </c>
      <c r="AO64" s="30">
        <f t="shared" si="155"/>
        <v>0.15267702936096716</v>
      </c>
      <c r="AP64" s="30">
        <f t="shared" si="155"/>
        <v>0.13225914736488753</v>
      </c>
      <c r="AQ64" s="30">
        <f t="shared" si="155"/>
        <v>6.9115598885793883E-2</v>
      </c>
      <c r="AR64" s="30">
        <f t="shared" si="155"/>
        <v>0.17761437908496736</v>
      </c>
      <c r="AS64" s="30">
        <f t="shared" si="155"/>
        <v>0.14638897213065638</v>
      </c>
      <c r="AT64" s="30">
        <f t="shared" si="155"/>
        <v>0.17477023421286697</v>
      </c>
      <c r="AU64" s="30">
        <f t="shared" si="155"/>
        <v>-9.0213320306139044E-2</v>
      </c>
      <c r="AV64" s="30">
        <f t="shared" si="155"/>
        <v>-5.4669071735812369E-2</v>
      </c>
      <c r="AW64" s="30">
        <f t="shared" si="155"/>
        <v>-0.11344922232387922</v>
      </c>
      <c r="AX64" s="30">
        <f t="shared" si="155"/>
        <v>-0.12264984227129339</v>
      </c>
      <c r="AY64" s="30">
        <f t="shared" si="155"/>
        <v>-3.8661177734025443E-2</v>
      </c>
      <c r="AZ64" s="30">
        <f t="shared" ref="AZ64" si="156">+AZ3/AV3-1</f>
        <v>-0.18457360927638333</v>
      </c>
      <c r="BA64" s="30">
        <f t="shared" ref="BA64" si="157">+BA3/AW3-1</f>
        <v>-9.8083443903877354E-2</v>
      </c>
      <c r="BB64" s="30">
        <f t="shared" ref="BB64" si="158">+BB3/AX3-1</f>
        <v>-8.5114339134186756E-2</v>
      </c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>
        <f>+Model!BN3/Model!BM3-1</f>
        <v>-1.8308587479935801E-2</v>
      </c>
      <c r="BO64" s="30">
        <f>+Model!BO3/Model!BN3-1</f>
        <v>0.13192989627510099</v>
      </c>
      <c r="BP64" s="30">
        <f>+Model!BP3/Model!BO3-1</f>
        <v>0.14133525933282165</v>
      </c>
      <c r="BQ64" s="30">
        <f>+Model!BQ3/Model!BP3-1</f>
        <v>0.14396456256921364</v>
      </c>
      <c r="BR64" s="30">
        <f>+Model!BR3/Model!BQ3-1</f>
        <v>-9.639054072742359E-2</v>
      </c>
      <c r="BS64" s="30">
        <f>+Model!BS3/Model!BR3-1</f>
        <v>-0.10447658402203852</v>
      </c>
      <c r="BT64" s="30">
        <f>+Model!BT3/Model!BS3-1</f>
        <v>9.8617327625248885E-2</v>
      </c>
      <c r="BU64" s="30">
        <f>+Model!BU3/Model!BT3-1</f>
        <v>-3.7513988134984522E-2</v>
      </c>
      <c r="BV64" s="30">
        <f>+Model!BV3/Model!BU3-1</f>
        <v>-2.6116338151584872E-2</v>
      </c>
      <c r="BW64" s="30">
        <f>+Model!BW3/Model!BV3-1</f>
        <v>-7.6223416116979914E-2</v>
      </c>
      <c r="BX64" s="30">
        <f>+Model!BX3/Model!BW3-1</f>
        <v>-2.7494105160404847E-2</v>
      </c>
      <c r="BY64" s="30">
        <f>+Model!BY3/Model!BX3-1</f>
        <v>-0.25013508114265548</v>
      </c>
    </row>
    <row r="65" spans="2:76" s="29" customFormat="1" x14ac:dyDescent="0.2">
      <c r="B65" s="43" t="s">
        <v>118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50" t="s">
        <v>203</v>
      </c>
      <c r="X65" s="50" t="s">
        <v>203</v>
      </c>
      <c r="Y65" s="50" t="s">
        <v>203</v>
      </c>
      <c r="Z65" s="50" t="s">
        <v>203</v>
      </c>
      <c r="AA65" s="50" t="s">
        <v>203</v>
      </c>
      <c r="AB65" s="50" t="s">
        <v>203</v>
      </c>
      <c r="AC65" s="50" t="s">
        <v>203</v>
      </c>
      <c r="AD65" s="50" t="s">
        <v>203</v>
      </c>
      <c r="AE65" s="50" t="s">
        <v>203</v>
      </c>
      <c r="AF65" s="50" t="s">
        <v>203</v>
      </c>
      <c r="AG65" s="50" t="s">
        <v>203</v>
      </c>
      <c r="AH65" s="50" t="s">
        <v>203</v>
      </c>
      <c r="AI65" s="50" t="s">
        <v>203</v>
      </c>
      <c r="AJ65" s="50" t="s">
        <v>203</v>
      </c>
      <c r="AK65" s="50" t="s">
        <v>203</v>
      </c>
      <c r="AL65" s="50" t="s">
        <v>203</v>
      </c>
      <c r="AM65" s="50" t="s">
        <v>203</v>
      </c>
      <c r="AN65" s="30">
        <f t="shared" ref="AN65:AY66" si="159">AN9/AJ9-1</f>
        <v>1.584070796460177</v>
      </c>
      <c r="AO65" s="30">
        <f t="shared" si="159"/>
        <v>0.38676844783715003</v>
      </c>
      <c r="AP65" s="30">
        <f t="shared" si="159"/>
        <v>0.26977687626774838</v>
      </c>
      <c r="AQ65" s="30">
        <f t="shared" si="159"/>
        <v>0.34381551362683438</v>
      </c>
      <c r="AR65" s="30">
        <f t="shared" si="159"/>
        <v>0.19006849315068486</v>
      </c>
      <c r="AS65" s="30">
        <f t="shared" si="159"/>
        <v>0.16880733944954129</v>
      </c>
      <c r="AT65" s="30">
        <f t="shared" si="159"/>
        <v>2.5559105431310014E-2</v>
      </c>
      <c r="AU65" s="30">
        <f t="shared" si="159"/>
        <v>2.808112324492984E-2</v>
      </c>
      <c r="AV65" s="30">
        <f t="shared" si="159"/>
        <v>-1.4388489208633115E-2</v>
      </c>
      <c r="AW65" s="30">
        <f t="shared" si="159"/>
        <v>-2.6687598116169498E-2</v>
      </c>
      <c r="AX65" s="30">
        <f t="shared" si="159"/>
        <v>0.11838006230529596</v>
      </c>
      <c r="AY65" s="30">
        <f t="shared" si="159"/>
        <v>-3.9453717754172946E-2</v>
      </c>
      <c r="AZ65" s="30">
        <f t="shared" ref="AZ65:AZ66" si="160">AZ9/AV9-1</f>
        <v>-3.0000000000000138E-2</v>
      </c>
      <c r="BA65" s="30">
        <f t="shared" ref="BA65:BA66" si="161">BA9/AW9-1</f>
        <v>-3.0000000000000027E-2</v>
      </c>
      <c r="BB65" s="30">
        <f t="shared" ref="BB65:BB66" si="162">BB9/AX9-1</f>
        <v>-2.9999999999999916E-2</v>
      </c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 spans="2:76" s="29" customFormat="1" x14ac:dyDescent="0.2">
      <c r="B66" s="43" t="s">
        <v>121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50" t="s">
        <v>203</v>
      </c>
      <c r="X66" s="50" t="s">
        <v>203</v>
      </c>
      <c r="Y66" s="50" t="s">
        <v>203</v>
      </c>
      <c r="Z66" s="50" t="s">
        <v>203</v>
      </c>
      <c r="AA66" s="50" t="s">
        <v>203</v>
      </c>
      <c r="AB66" s="50" t="s">
        <v>203</v>
      </c>
      <c r="AC66" s="50" t="s">
        <v>203</v>
      </c>
      <c r="AD66" s="50" t="s">
        <v>203</v>
      </c>
      <c r="AE66" s="50" t="s">
        <v>203</v>
      </c>
      <c r="AF66" s="50" t="s">
        <v>203</v>
      </c>
      <c r="AG66" s="50" t="s">
        <v>203</v>
      </c>
      <c r="AH66" s="50" t="s">
        <v>203</v>
      </c>
      <c r="AI66" s="50" t="s">
        <v>203</v>
      </c>
      <c r="AJ66" s="50" t="s">
        <v>203</v>
      </c>
      <c r="AK66" s="50" t="s">
        <v>203</v>
      </c>
      <c r="AL66" s="50" t="s">
        <v>203</v>
      </c>
      <c r="AM66" s="50" t="s">
        <v>203</v>
      </c>
      <c r="AN66" s="30">
        <f t="shared" si="159"/>
        <v>1.0303030303030303</v>
      </c>
      <c r="AO66" s="30">
        <f t="shared" si="159"/>
        <v>0.23326959847036322</v>
      </c>
      <c r="AP66" s="30">
        <f t="shared" si="159"/>
        <v>0.18342151675485008</v>
      </c>
      <c r="AQ66" s="30">
        <f t="shared" si="159"/>
        <v>0.15413533834586457</v>
      </c>
      <c r="AR66" s="30">
        <f t="shared" si="159"/>
        <v>0.12437810945273631</v>
      </c>
      <c r="AS66" s="30">
        <f t="shared" si="159"/>
        <v>8.3720930232558111E-2</v>
      </c>
      <c r="AT66" s="30">
        <f t="shared" si="159"/>
        <v>8.4947839046199736E-2</v>
      </c>
      <c r="AU66" s="30">
        <f t="shared" si="159"/>
        <v>0.17100977198697076</v>
      </c>
      <c r="AV66" s="30">
        <f t="shared" si="159"/>
        <v>0.10324483775811211</v>
      </c>
      <c r="AW66" s="30">
        <f t="shared" si="159"/>
        <v>7.0100143061516462E-2</v>
      </c>
      <c r="AX66" s="30">
        <f t="shared" si="159"/>
        <v>6.5934065934065922E-2</v>
      </c>
      <c r="AY66" s="30">
        <f t="shared" si="159"/>
        <v>4.0333796940194677E-2</v>
      </c>
      <c r="AZ66" s="30">
        <f t="shared" si="160"/>
        <v>3.0000000000000027E-2</v>
      </c>
      <c r="BA66" s="30">
        <f t="shared" si="161"/>
        <v>3.0000000000000027E-2</v>
      </c>
      <c r="BB66" s="30">
        <f t="shared" si="162"/>
        <v>3.0000000000000027E-2</v>
      </c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 spans="2:76" s="29" customFormat="1" x14ac:dyDescent="0.2">
      <c r="B67" s="53" t="s">
        <v>253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54" t="s">
        <v>203</v>
      </c>
      <c r="X67" s="54" t="s">
        <v>203</v>
      </c>
      <c r="Y67" s="54" t="s">
        <v>203</v>
      </c>
      <c r="Z67" s="54" t="s">
        <v>203</v>
      </c>
      <c r="AA67" s="54" t="s">
        <v>203</v>
      </c>
      <c r="AB67" s="54" t="s">
        <v>203</v>
      </c>
      <c r="AC67" s="54" t="s">
        <v>203</v>
      </c>
      <c r="AD67" s="54" t="s">
        <v>203</v>
      </c>
      <c r="AE67" s="54" t="s">
        <v>203</v>
      </c>
      <c r="AF67" s="54" t="s">
        <v>203</v>
      </c>
      <c r="AG67" s="54" t="s">
        <v>203</v>
      </c>
      <c r="AH67" s="54" t="s">
        <v>203</v>
      </c>
      <c r="AI67" s="54" t="s">
        <v>203</v>
      </c>
      <c r="AJ67" s="54" t="s">
        <v>203</v>
      </c>
      <c r="AK67" s="30">
        <f t="shared" ref="AK67:AY67" si="163">AK12/AG12-1</f>
        <v>14.357142857142858</v>
      </c>
      <c r="AL67" s="30">
        <f t="shared" si="163"/>
        <v>7.5151515151515156</v>
      </c>
      <c r="AM67" s="30">
        <f t="shared" si="163"/>
        <v>2.5232558139534884</v>
      </c>
      <c r="AN67" s="30">
        <f t="shared" si="163"/>
        <v>1.5369127516778525</v>
      </c>
      <c r="AO67" s="30">
        <f t="shared" si="163"/>
        <v>1.1069767441860465</v>
      </c>
      <c r="AP67" s="30">
        <f t="shared" si="163"/>
        <v>0.83985765124555156</v>
      </c>
      <c r="AQ67" s="30">
        <f t="shared" si="163"/>
        <v>0.53465346534653468</v>
      </c>
      <c r="AR67" s="30">
        <f t="shared" si="163"/>
        <v>0.56613756613756605</v>
      </c>
      <c r="AS67" s="30">
        <f t="shared" si="163"/>
        <v>0.53421633554083892</v>
      </c>
      <c r="AT67" s="30">
        <f t="shared" si="163"/>
        <v>0.4893617021276595</v>
      </c>
      <c r="AU67" s="30">
        <f t="shared" si="163"/>
        <v>0.47526881720430114</v>
      </c>
      <c r="AV67" s="30">
        <f t="shared" si="163"/>
        <v>0.55067567567567566</v>
      </c>
      <c r="AW67" s="30">
        <f t="shared" si="163"/>
        <v>0.59712230215827344</v>
      </c>
      <c r="AX67" s="30">
        <f t="shared" si="163"/>
        <v>0.62987012987012991</v>
      </c>
      <c r="AY67" s="30">
        <f t="shared" si="163"/>
        <v>0.59329446064139946</v>
      </c>
      <c r="AZ67" s="30">
        <f t="shared" ref="AZ67" si="164">AZ12/AV12-1</f>
        <v>0.19999999999999996</v>
      </c>
      <c r="BA67" s="30">
        <f t="shared" ref="BA67" si="165">BA12/AW12-1</f>
        <v>0.19999999999999996</v>
      </c>
      <c r="BB67" s="30">
        <f t="shared" ref="BB67" si="166">BB12/AX12-1</f>
        <v>0.19999999999999996</v>
      </c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 spans="2:76" s="29" customFormat="1" x14ac:dyDescent="0.2">
      <c r="B68" s="43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 spans="2:76" s="29" customFormat="1" x14ac:dyDescent="0.2">
      <c r="B69" s="43" t="s">
        <v>204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>
        <f t="shared" ref="Y69" si="167">+Y47/Y45</f>
        <v>0.80814867762687637</v>
      </c>
      <c r="Z69" s="30">
        <f t="shared" ref="Z69" si="168">+Z47/Z45</f>
        <v>0.78989533531464018</v>
      </c>
      <c r="AA69" s="30">
        <f t="shared" ref="AA69" si="169">+AA47/AA45</f>
        <v>0.80186538946307029</v>
      </c>
      <c r="AB69" s="30">
        <f t="shared" ref="AB69:AG69" si="170">+AB47/AB45</f>
        <v>0.80540082344393316</v>
      </c>
      <c r="AC69" s="30">
        <f t="shared" si="170"/>
        <v>0.81677999028654691</v>
      </c>
      <c r="AD69" s="30">
        <f t="shared" si="170"/>
        <v>0.79843467790487654</v>
      </c>
      <c r="AE69" s="30">
        <f t="shared" si="170"/>
        <v>0.83354624425140522</v>
      </c>
      <c r="AF69" s="30">
        <f t="shared" si="170"/>
        <v>0.8271350696547547</v>
      </c>
      <c r="AG69" s="30">
        <f t="shared" si="170"/>
        <v>0.82014388489208634</v>
      </c>
      <c r="AH69" s="30">
        <f>+AH47/AH45</f>
        <v>0.81560202205882348</v>
      </c>
      <c r="AI69" s="30">
        <f>+AI47/AI45</f>
        <v>0.82666202575704839</v>
      </c>
      <c r="AJ69" s="30">
        <f>+AJ47/AJ45</f>
        <v>0.82772182254196647</v>
      </c>
      <c r="AK69" s="30">
        <f>+AK47/AK45</f>
        <v>0.81664337835739786</v>
      </c>
      <c r="AL69" s="30">
        <f t="shared" ref="AL69:AT69" si="171">+AL47/AL45</f>
        <v>0.81793909655072883</v>
      </c>
      <c r="AM69" s="30">
        <f t="shared" si="171"/>
        <v>0.83880943177425593</v>
      </c>
      <c r="AN69" s="30">
        <f t="shared" si="171"/>
        <v>0.82240848198295002</v>
      </c>
      <c r="AO69" s="30">
        <f t="shared" si="171"/>
        <v>0.83175289359921911</v>
      </c>
      <c r="AP69" s="30">
        <f t="shared" si="171"/>
        <v>0.83555018137847648</v>
      </c>
      <c r="AQ69" s="30">
        <f t="shared" si="171"/>
        <v>0.84465947702762589</v>
      </c>
      <c r="AR69" s="30">
        <f t="shared" si="171"/>
        <v>0.85140231776726327</v>
      </c>
      <c r="AS69" s="30">
        <f>+AS47/AS45</f>
        <v>0.85369970294355924</v>
      </c>
      <c r="AT69" s="30">
        <f t="shared" si="171"/>
        <v>0.85</v>
      </c>
      <c r="AU69" s="30">
        <f t="shared" ref="AU69:AX69" si="172">+AU47/AU45</f>
        <v>0.84204498977505116</v>
      </c>
      <c r="AV69" s="30">
        <f t="shared" si="172"/>
        <v>0.84731337901190051</v>
      </c>
      <c r="AW69" s="30">
        <f t="shared" si="172"/>
        <v>0.83478135994830183</v>
      </c>
      <c r="AX69" s="30">
        <f t="shared" si="172"/>
        <v>0.83938186140829307</v>
      </c>
      <c r="AY69" s="30">
        <f t="shared" ref="AY69:BB69" si="173">+AY47/AY45</f>
        <v>0.82875710804224212</v>
      </c>
      <c r="AZ69" s="30">
        <f t="shared" si="173"/>
        <v>0.83000000000000007</v>
      </c>
      <c r="BA69" s="30">
        <f t="shared" si="173"/>
        <v>0.83</v>
      </c>
      <c r="BB69" s="30">
        <f t="shared" si="173"/>
        <v>0.82999999999999985</v>
      </c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>
        <f>+BM47/BM45</f>
        <v>0.80563956863104513</v>
      </c>
      <c r="BN69" s="30">
        <f>+BN47/BN45</f>
        <v>0.82384416521373172</v>
      </c>
      <c r="BO69" s="30">
        <f>+BO47/BO45</f>
        <v>0.82144417263672898</v>
      </c>
      <c r="BP69" s="30">
        <f>+BP47/BP45</f>
        <v>0.8320622928619793</v>
      </c>
      <c r="BQ69" s="30">
        <f>+BQ47/BQ45</f>
        <v>0.84949081918461911</v>
      </c>
      <c r="BR69" s="30">
        <f t="shared" ref="BR69:BV69" si="174">+BR47/BR45</f>
        <v>0.84082624544349938</v>
      </c>
      <c r="BS69" s="30">
        <f t="shared" si="174"/>
        <v>0.85</v>
      </c>
      <c r="BT69" s="30">
        <f t="shared" si="174"/>
        <v>0.85</v>
      </c>
      <c r="BU69" s="30">
        <f t="shared" si="174"/>
        <v>0.85</v>
      </c>
      <c r="BV69" s="30">
        <f t="shared" si="174"/>
        <v>0.85</v>
      </c>
      <c r="BW69" s="30"/>
      <c r="BX69" s="30"/>
    </row>
    <row r="70" spans="2:76" s="29" customFormat="1" x14ac:dyDescent="0.2">
      <c r="B70" s="43" t="s">
        <v>205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>
        <f t="shared" ref="Y70" si="175">+Y54/Y53</f>
        <v>0.18934280639431617</v>
      </c>
      <c r="Z70" s="30">
        <f t="shared" ref="Z70" si="176">+Z54/Z53</f>
        <v>0.18853848762292302</v>
      </c>
      <c r="AA70" s="30">
        <f t="shared" ref="AA70" si="177">+AA54/AA53</f>
        <v>7.6450721522873813E-2</v>
      </c>
      <c r="AB70" s="30">
        <f t="shared" ref="AB70:AG70" si="178">+AB54/AB53</f>
        <v>9.0040532715691957E-2</v>
      </c>
      <c r="AC70" s="30">
        <f t="shared" si="178"/>
        <v>9.1036023457134879E-2</v>
      </c>
      <c r="AD70" s="30">
        <f t="shared" si="178"/>
        <v>9.1716915264995244E-2</v>
      </c>
      <c r="AE70" s="30">
        <f t="shared" si="178"/>
        <v>7.8917050691244245E-2</v>
      </c>
      <c r="AF70" s="30">
        <f t="shared" si="178"/>
        <v>8.7567567567567561E-2</v>
      </c>
      <c r="AG70" s="30">
        <f t="shared" si="178"/>
        <v>8.7848500789058384E-2</v>
      </c>
      <c r="AH70" s="30">
        <f>+AH54/AH53</f>
        <v>8.8544548976203646E-2</v>
      </c>
      <c r="AI70" s="30">
        <f>+AI54/AI53</f>
        <v>9.7426929802648013E-2</v>
      </c>
      <c r="AJ70" s="30">
        <f>+AJ54/AJ53</f>
        <v>0.11399317406143344</v>
      </c>
      <c r="AK70" s="30">
        <f>+AK54/AK53</f>
        <v>9.6755504055619931E-2</v>
      </c>
      <c r="AL70" s="30">
        <f t="shared" ref="AL70:AT70" si="179">+AL54/AL53</f>
        <v>9.6443132292984679E-2</v>
      </c>
      <c r="AM70" s="30">
        <f t="shared" si="179"/>
        <v>0.1234113712374582</v>
      </c>
      <c r="AN70" s="30">
        <f t="shared" si="179"/>
        <v>0.12653834017040075</v>
      </c>
      <c r="AO70" s="30">
        <f t="shared" si="179"/>
        <v>0.12783291364242336</v>
      </c>
      <c r="AP70" s="30">
        <f t="shared" si="179"/>
        <v>0.12496302868973676</v>
      </c>
      <c r="AQ70" s="30">
        <f t="shared" si="179"/>
        <v>0.11802184466019418</v>
      </c>
      <c r="AR70" s="30">
        <f t="shared" si="179"/>
        <v>0.12982644961657475</v>
      </c>
      <c r="AS70" s="30">
        <f>+AS54/AS53</f>
        <v>0.1274432118330692</v>
      </c>
      <c r="AT70" s="30">
        <f t="shared" si="179"/>
        <v>0.15</v>
      </c>
      <c r="AU70" s="30">
        <f t="shared" ref="AU70:AX70" si="180">+AU54/AU53</f>
        <v>0.1364907375043691</v>
      </c>
      <c r="AV70" s="30">
        <f t="shared" si="180"/>
        <v>9.4106311225309144E-2</v>
      </c>
      <c r="AW70" s="30">
        <f t="shared" si="180"/>
        <v>2.767235926628716E-2</v>
      </c>
      <c r="AX70" s="30">
        <f t="shared" si="180"/>
        <v>6.2390017597184454E-2</v>
      </c>
      <c r="AY70" s="30">
        <f t="shared" ref="AY70:BB70" si="181">+AY54/AY53</f>
        <v>0.14282860567319217</v>
      </c>
      <c r="AZ70" s="30">
        <f t="shared" si="181"/>
        <v>0.1</v>
      </c>
      <c r="BA70" s="30">
        <f t="shared" si="181"/>
        <v>0.1</v>
      </c>
      <c r="BB70" s="30">
        <f t="shared" si="181"/>
        <v>0.1</v>
      </c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>
        <f t="shared" ref="BM70" si="182">+BM54/BM53</f>
        <v>8.7406084951275761E-2</v>
      </c>
      <c r="BN70" s="30">
        <f t="shared" ref="BN70:BV70" si="183">+BN54/BN53</f>
        <v>8.5823964902659713E-2</v>
      </c>
      <c r="BO70" s="30">
        <f t="shared" si="183"/>
        <v>0.10015614543832255</v>
      </c>
      <c r="BP70" s="30">
        <f t="shared" si="183"/>
        <v>0.12574038945453136</v>
      </c>
      <c r="BQ70" s="30">
        <f t="shared" si="183"/>
        <v>0.13260849871780578</v>
      </c>
      <c r="BR70" s="30">
        <f t="shared" si="183"/>
        <v>7.8779970641004726E-2</v>
      </c>
      <c r="BS70" s="30">
        <f t="shared" si="183"/>
        <v>0.15</v>
      </c>
      <c r="BT70" s="30">
        <f t="shared" si="183"/>
        <v>0.15</v>
      </c>
      <c r="BU70" s="30">
        <f t="shared" si="183"/>
        <v>0.15</v>
      </c>
      <c r="BV70" s="30">
        <f t="shared" si="183"/>
        <v>0.15</v>
      </c>
      <c r="BW70" s="30"/>
      <c r="BX70" s="30"/>
    </row>
    <row r="72" spans="2:76" x14ac:dyDescent="0.2">
      <c r="B72" s="25" t="s">
        <v>145</v>
      </c>
      <c r="AQ72" s="16">
        <f t="shared" ref="AQ72:AY72" si="184">AQ73-AQ82</f>
        <v>-65642</v>
      </c>
      <c r="AR72" s="16">
        <f t="shared" si="184"/>
        <v>-62727</v>
      </c>
      <c r="AS72" s="16">
        <f t="shared" si="184"/>
        <v>-57492</v>
      </c>
      <c r="AT72" s="16">
        <f t="shared" si="184"/>
        <v>0</v>
      </c>
      <c r="AU72" s="16">
        <f t="shared" si="184"/>
        <v>-55114</v>
      </c>
      <c r="AV72" s="16">
        <f t="shared" si="184"/>
        <v>-51961</v>
      </c>
      <c r="AW72" s="16">
        <f t="shared" si="184"/>
        <v>-47181</v>
      </c>
      <c r="AX72" s="16">
        <f t="shared" si="184"/>
        <v>-46265</v>
      </c>
      <c r="AY72" s="16">
        <f t="shared" si="184"/>
        <v>-55627</v>
      </c>
      <c r="AZ72" s="16">
        <f>+AY72+AZ55</f>
        <v>-50848.63882</v>
      </c>
      <c r="BA72" s="16">
        <f>+AZ72+BA55</f>
        <v>-45656.172790000004</v>
      </c>
      <c r="BB72" s="16">
        <f>+BA72+BB55</f>
        <v>-40568.072110000008</v>
      </c>
    </row>
    <row r="73" spans="2:76" s="15" customFormat="1" x14ac:dyDescent="0.2">
      <c r="B73" s="23" t="s">
        <v>50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f>6098+1474+260</f>
        <v>7832</v>
      </c>
      <c r="AR73" s="16">
        <f>8521+1440+244</f>
        <v>10205</v>
      </c>
      <c r="AS73" s="16">
        <f>11832+47+235</f>
        <v>12114</v>
      </c>
      <c r="AT73" s="16"/>
      <c r="AU73" s="16">
        <f>6711+11+257</f>
        <v>6979</v>
      </c>
      <c r="AV73" s="16">
        <f>8759+7+288</f>
        <v>9054</v>
      </c>
      <c r="AW73" s="16">
        <f>13287+3+275</f>
        <v>13565</v>
      </c>
      <c r="AX73" s="16">
        <f>12814+2+304</f>
        <v>13120</v>
      </c>
      <c r="AY73" s="16">
        <f>18069+305</f>
        <v>18374</v>
      </c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</row>
    <row r="74" spans="2:76" s="15" customFormat="1" x14ac:dyDescent="0.2">
      <c r="B74" s="23" t="s">
        <v>135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v>10733</v>
      </c>
      <c r="AR74" s="16">
        <v>11237</v>
      </c>
      <c r="AS74" s="16">
        <v>10743</v>
      </c>
      <c r="AT74" s="16"/>
      <c r="AU74" s="16">
        <v>11473</v>
      </c>
      <c r="AV74" s="16">
        <v>11491</v>
      </c>
      <c r="AW74" s="16">
        <v>11412</v>
      </c>
      <c r="AX74" s="16">
        <v>11155</v>
      </c>
      <c r="AY74" s="16">
        <v>11949</v>
      </c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</row>
    <row r="75" spans="2:76" s="15" customFormat="1" x14ac:dyDescent="0.2">
      <c r="B75" s="23" t="s">
        <v>136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v>3483</v>
      </c>
      <c r="AR75" s="16">
        <v>3396</v>
      </c>
      <c r="AS75" s="16">
        <v>3172</v>
      </c>
      <c r="AT75" s="16"/>
      <c r="AU75" s="16">
        <v>3833</v>
      </c>
      <c r="AV75" s="16">
        <v>4055</v>
      </c>
      <c r="AW75" s="16">
        <v>3981</v>
      </c>
      <c r="AX75" s="16">
        <v>4099</v>
      </c>
      <c r="AY75" s="16">
        <v>4245</v>
      </c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</row>
    <row r="76" spans="2:76" s="15" customFormat="1" x14ac:dyDescent="0.2">
      <c r="B76" s="23" t="s">
        <v>137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>
        <v>4721</v>
      </c>
      <c r="AR76" s="16">
        <v>4506</v>
      </c>
      <c r="AS76" s="16">
        <v>4570</v>
      </c>
      <c r="AT76" s="16"/>
      <c r="AU76" s="16">
        <v>4460</v>
      </c>
      <c r="AV76" s="16">
        <v>4540</v>
      </c>
      <c r="AW76" s="16">
        <v>4541</v>
      </c>
      <c r="AX76" s="16">
        <v>4932</v>
      </c>
      <c r="AY76" s="16">
        <v>4608</v>
      </c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</row>
    <row r="77" spans="2:76" s="15" customFormat="1" x14ac:dyDescent="0.2">
      <c r="B77" s="23" t="s">
        <v>138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>
        <v>5075</v>
      </c>
      <c r="AR77" s="16">
        <v>4958</v>
      </c>
      <c r="AS77" s="16">
        <v>4893</v>
      </c>
      <c r="AT77" s="16"/>
      <c r="AU77" s="16">
        <v>4931</v>
      </c>
      <c r="AV77" s="16">
        <v>4943</v>
      </c>
      <c r="AW77" s="16">
        <v>4934</v>
      </c>
      <c r="AX77" s="16">
        <v>4989</v>
      </c>
      <c r="AY77" s="16">
        <v>4980</v>
      </c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</row>
    <row r="78" spans="2:76" s="15" customFormat="1" x14ac:dyDescent="0.2">
      <c r="B78" s="23" t="s">
        <v>139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>
        <f>73986+32298</f>
        <v>106284</v>
      </c>
      <c r="AR78" s="16">
        <f>71823+32028</f>
        <v>103851</v>
      </c>
      <c r="AS78" s="16">
        <f>68725+31726</f>
        <v>100451</v>
      </c>
      <c r="AT78" s="16"/>
      <c r="AU78" s="16">
        <f>64848+32220</f>
        <v>97068</v>
      </c>
      <c r="AV78" s="16">
        <f>62862+32224</f>
        <v>95086</v>
      </c>
      <c r="AW78" s="16">
        <f>58603+32091</f>
        <v>90694</v>
      </c>
      <c r="AX78" s="16">
        <f>55610+32293</f>
        <v>87903</v>
      </c>
      <c r="AY78" s="16">
        <f>62225+33426</f>
        <v>95651</v>
      </c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</row>
    <row r="79" spans="2:76" s="15" customFormat="1" x14ac:dyDescent="0.2">
      <c r="B79" s="23" t="s">
        <v>12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>
        <v>5083</v>
      </c>
      <c r="AR79" s="16">
        <v>5033</v>
      </c>
      <c r="AS79" s="16">
        <v>5382</v>
      </c>
      <c r="AT79" s="16"/>
      <c r="AU79" s="16">
        <v>5800</v>
      </c>
      <c r="AV79" s="16">
        <v>6198</v>
      </c>
      <c r="AW79" s="16">
        <v>7094</v>
      </c>
      <c r="AX79" s="16">
        <v>8513</v>
      </c>
      <c r="AY79" s="16">
        <v>9067</v>
      </c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</row>
    <row r="80" spans="2:76" s="15" customFormat="1" x14ac:dyDescent="0.2">
      <c r="B80" s="23" t="s">
        <v>134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>
        <f>SUM(AQ73:AQ79)</f>
        <v>143211</v>
      </c>
      <c r="AR80" s="16">
        <f>SUM(AR73:AR79)</f>
        <v>143186</v>
      </c>
      <c r="AS80" s="16">
        <f>SUM(AS73:AS79)</f>
        <v>141325</v>
      </c>
      <c r="AT80" s="16"/>
      <c r="AU80" s="16">
        <f>SUM(AU73:AU79)</f>
        <v>134544</v>
      </c>
      <c r="AV80" s="16">
        <f>SUM(AV73:AV79)</f>
        <v>135367</v>
      </c>
      <c r="AW80" s="16">
        <f>SUM(AW73:AW79)</f>
        <v>136221</v>
      </c>
      <c r="AX80" s="16">
        <f>SUM(AX73:AX79)</f>
        <v>134711</v>
      </c>
      <c r="AY80" s="16">
        <f>SUM(AY73:AY79)</f>
        <v>148874</v>
      </c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</row>
    <row r="82" spans="2:76" s="15" customFormat="1" x14ac:dyDescent="0.2">
      <c r="B82" s="23" t="s">
        <v>51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>
        <f>12+9940+63522</f>
        <v>73474</v>
      </c>
      <c r="AR82" s="16">
        <f>17+61002+11913</f>
        <v>72932</v>
      </c>
      <c r="AS82" s="16">
        <f>10+9197+60399</f>
        <v>69606</v>
      </c>
      <c r="AT82" s="16"/>
      <c r="AU82" s="16">
        <f>1+59292+2800</f>
        <v>62093</v>
      </c>
      <c r="AV82" s="16">
        <f>5203+55812</f>
        <v>61015</v>
      </c>
      <c r="AW82" s="16">
        <f>2+55631+5113</f>
        <v>60746</v>
      </c>
      <c r="AX82" s="16">
        <f>7191+52194</f>
        <v>59385</v>
      </c>
      <c r="AY82" s="16">
        <f>3+63805+10193</f>
        <v>74001</v>
      </c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</row>
    <row r="83" spans="2:76" s="15" customFormat="1" x14ac:dyDescent="0.2">
      <c r="B83" s="23" t="s">
        <v>140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>
        <v>22569</v>
      </c>
      <c r="AR83" s="16">
        <v>22543</v>
      </c>
      <c r="AS83" s="16">
        <v>23505</v>
      </c>
      <c r="AT83" s="16"/>
      <c r="AU83" s="16">
        <v>24789</v>
      </c>
      <c r="AV83" s="16">
        <v>27036</v>
      </c>
      <c r="AW83" s="16">
        <v>29658</v>
      </c>
      <c r="AX83" s="16">
        <v>30650</v>
      </c>
      <c r="AY83" s="16">
        <v>31326</v>
      </c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</row>
    <row r="84" spans="2:76" s="15" customFormat="1" x14ac:dyDescent="0.2">
      <c r="B84" s="23" t="s">
        <v>141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>
        <v>2831</v>
      </c>
      <c r="AR84" s="16">
        <v>2255</v>
      </c>
      <c r="AS84" s="16">
        <v>1972</v>
      </c>
      <c r="AT84" s="16"/>
      <c r="AU84" s="16">
        <v>2110</v>
      </c>
      <c r="AV84" s="16">
        <v>2124</v>
      </c>
      <c r="AW84" s="16">
        <v>2044</v>
      </c>
      <c r="AX84" s="16">
        <v>1952</v>
      </c>
      <c r="AY84" s="16">
        <v>2722</v>
      </c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</row>
    <row r="85" spans="2:76" s="15" customFormat="1" x14ac:dyDescent="0.2">
      <c r="B85" s="23" t="s">
        <v>142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>
        <v>28023</v>
      </c>
      <c r="AR85" s="16">
        <v>30768</v>
      </c>
      <c r="AS85" s="16">
        <v>30215</v>
      </c>
      <c r="AT85" s="16"/>
      <c r="AU85" s="16">
        <v>32249</v>
      </c>
      <c r="AV85" s="16">
        <v>32294</v>
      </c>
      <c r="AW85" s="16">
        <v>31644</v>
      </c>
      <c r="AX85" s="16">
        <v>32327</v>
      </c>
      <c r="AY85" s="16">
        <v>32778</v>
      </c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</row>
    <row r="86" spans="2:76" s="15" customFormat="1" x14ac:dyDescent="0.2">
      <c r="B86" s="23" t="s">
        <v>143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>
        <v>16314</v>
      </c>
      <c r="AR86" s="16">
        <v>14688</v>
      </c>
      <c r="AS86" s="16">
        <v>16027</v>
      </c>
      <c r="AT86" s="16"/>
      <c r="AU86" s="16">
        <v>13303</v>
      </c>
      <c r="AV86" s="16">
        <v>12898</v>
      </c>
      <c r="AW86" s="16">
        <v>12129</v>
      </c>
      <c r="AX86" s="16">
        <v>10397</v>
      </c>
      <c r="AY86" s="16">
        <v>8047</v>
      </c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</row>
    <row r="87" spans="2:76" s="15" customFormat="1" x14ac:dyDescent="0.2">
      <c r="B87" s="23" t="s">
        <v>144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>
        <f>SUM(AQ82:AQ86)</f>
        <v>143211</v>
      </c>
      <c r="AR87" s="16">
        <f>SUM(AR82:AR86)</f>
        <v>143186</v>
      </c>
      <c r="AS87" s="16">
        <f>SUM(AS82:AS86)</f>
        <v>141325</v>
      </c>
      <c r="AT87" s="16"/>
      <c r="AU87" s="16">
        <f>SUM(AU82:AU86)</f>
        <v>134544</v>
      </c>
      <c r="AV87" s="16">
        <f>SUM(AV82:AV86)</f>
        <v>135367</v>
      </c>
      <c r="AW87" s="16">
        <f>SUM(AW82:AW86)</f>
        <v>136221</v>
      </c>
      <c r="AX87" s="16">
        <f>SUM(AX82:AX86)</f>
        <v>134711</v>
      </c>
      <c r="AY87" s="16">
        <f>SUM(AY82:AY86)</f>
        <v>148874</v>
      </c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</row>
    <row r="89" spans="2:76" s="15" customFormat="1" x14ac:dyDescent="0.2">
      <c r="B89" s="66" t="s">
        <v>301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>
        <f>+AQ55</f>
        <v>5814</v>
      </c>
      <c r="AR89" s="16"/>
      <c r="AS89" s="16"/>
      <c r="AT89" s="16"/>
      <c r="AU89" s="16">
        <f>+AU55</f>
        <v>4941</v>
      </c>
      <c r="AV89" s="16">
        <f>+AV55</f>
        <v>5641</v>
      </c>
      <c r="AW89" s="16">
        <f>+AW55</f>
        <v>6149</v>
      </c>
      <c r="AX89" s="16">
        <f>+AX55</f>
        <v>5861</v>
      </c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</row>
    <row r="90" spans="2:76" s="15" customFormat="1" x14ac:dyDescent="0.2">
      <c r="B90" s="66" t="s">
        <v>302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>
        <v>4493</v>
      </c>
      <c r="AR90" s="16"/>
      <c r="AS90" s="16"/>
      <c r="AT90" s="16"/>
      <c r="AU90" s="16">
        <v>241</v>
      </c>
      <c r="AV90" s="16">
        <f>2268-AU90</f>
        <v>2027</v>
      </c>
      <c r="AW90" s="16">
        <f>4049-AV90-AU90</f>
        <v>1781</v>
      </c>
      <c r="AX90" s="16">
        <f>4873-AW90-AV90-AU90</f>
        <v>824</v>
      </c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</row>
    <row r="91" spans="2:76" s="15" customFormat="1" x14ac:dyDescent="0.2">
      <c r="B91" s="66" t="s">
        <v>303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>
        <v>198</v>
      </c>
      <c r="AR91" s="16"/>
      <c r="AS91" s="16"/>
      <c r="AT91" s="16"/>
      <c r="AU91" s="16">
        <v>179</v>
      </c>
      <c r="AV91" s="16">
        <f>369-AU91</f>
        <v>190</v>
      </c>
      <c r="AW91" s="16">
        <f>565-AV91-AU91</f>
        <v>196</v>
      </c>
      <c r="AX91" s="16">
        <f>752-AW91-AV91-AU91</f>
        <v>187</v>
      </c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</row>
    <row r="92" spans="2:76" s="15" customFormat="1" x14ac:dyDescent="0.2">
      <c r="B92" s="66" t="s">
        <v>304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>
        <v>1855</v>
      </c>
      <c r="AR92" s="16"/>
      <c r="AS92" s="16"/>
      <c r="AT92" s="16"/>
      <c r="AU92" s="16">
        <v>1948</v>
      </c>
      <c r="AV92" s="16">
        <f>4018-AU92</f>
        <v>2070</v>
      </c>
      <c r="AW92" s="16">
        <f>6057-AV92-AU92</f>
        <v>2039</v>
      </c>
      <c r="AX92" s="16">
        <f>7946-AW92-AV92-AU92</f>
        <v>1889</v>
      </c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</row>
    <row r="93" spans="2:76" s="15" customFormat="1" x14ac:dyDescent="0.2">
      <c r="B93" s="66" t="s">
        <v>141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>
        <v>-194</v>
      </c>
      <c r="AR93" s="16"/>
      <c r="AS93" s="16"/>
      <c r="AT93" s="16"/>
      <c r="AU93" s="16">
        <v>-267</v>
      </c>
      <c r="AV93" s="16">
        <f>-635-AU93</f>
        <v>-368</v>
      </c>
      <c r="AW93" s="16">
        <f>-1498-AV93-AU93</f>
        <v>-863</v>
      </c>
      <c r="AX93" s="16">
        <f>-2889-AW93-AV93-AU93</f>
        <v>-1391</v>
      </c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</row>
    <row r="94" spans="2:76" s="15" customFormat="1" x14ac:dyDescent="0.2">
      <c r="B94" s="66" t="s">
        <v>305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>
        <v>-748</v>
      </c>
      <c r="AR94" s="16"/>
      <c r="AS94" s="16"/>
      <c r="AT94" s="16"/>
      <c r="AU94" s="16">
        <v>1872</v>
      </c>
      <c r="AV94" s="16">
        <f>3424-AU94</f>
        <v>1552</v>
      </c>
      <c r="AW94" s="16">
        <f>3432-AV94-AU94-407</f>
        <v>-399</v>
      </c>
      <c r="AX94" s="16">
        <f>5128-870-AW94-AV94-AU94</f>
        <v>1233</v>
      </c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</row>
    <row r="95" spans="2:76" s="15" customFormat="1" x14ac:dyDescent="0.2">
      <c r="B95" s="66" t="s">
        <v>306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>
        <v>306</v>
      </c>
      <c r="AR95" s="16"/>
      <c r="AS95" s="16"/>
      <c r="AT95" s="16"/>
      <c r="AU95" s="16">
        <v>313</v>
      </c>
      <c r="AV95" s="16">
        <f>492-AU95</f>
        <v>179</v>
      </c>
      <c r="AW95" s="16">
        <f>622-AV95-AU95</f>
        <v>130</v>
      </c>
      <c r="AX95" s="16">
        <f>747-AW95-AV95-AU95</f>
        <v>125</v>
      </c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</row>
    <row r="96" spans="2:76" x14ac:dyDescent="0.2">
      <c r="B96" s="63" t="s">
        <v>309</v>
      </c>
      <c r="AQ96" s="16">
        <v>145</v>
      </c>
      <c r="AU96" s="2">
        <f>150+710</f>
        <v>860</v>
      </c>
      <c r="AV96" s="2">
        <f>430-AU96</f>
        <v>-430</v>
      </c>
      <c r="AW96" s="16">
        <f>496-AV96-AU96</f>
        <v>66</v>
      </c>
      <c r="AX96" s="16">
        <f>778-AW96-AV96-AU96</f>
        <v>282</v>
      </c>
    </row>
    <row r="97" spans="2:76" x14ac:dyDescent="0.2">
      <c r="B97" s="63" t="s">
        <v>12</v>
      </c>
      <c r="AQ97" s="16">
        <v>128</v>
      </c>
      <c r="AU97" s="2">
        <v>-128</v>
      </c>
      <c r="AV97" s="2">
        <f>-118+710-173-AU97</f>
        <v>547</v>
      </c>
      <c r="AW97" s="16">
        <f>-205-AV97-AU97</f>
        <v>-624</v>
      </c>
      <c r="AX97" s="16">
        <f>-443+4229-225-AW97-AV97-AU97</f>
        <v>3766</v>
      </c>
    </row>
    <row r="98" spans="2:76" x14ac:dyDescent="0.2">
      <c r="B98" s="63" t="s">
        <v>308</v>
      </c>
      <c r="AQ98" s="16">
        <f>-785-385-285-258+438</f>
        <v>-1275</v>
      </c>
      <c r="AU98" s="2">
        <f>-195-185-167-465+187</f>
        <v>-825</v>
      </c>
      <c r="AV98" s="2">
        <f>-275-458+285+1107-932-AU98</f>
        <v>552</v>
      </c>
      <c r="AW98" s="16">
        <f>2824-219-273-513+394+3661-899-AV98-AU98</f>
        <v>5248</v>
      </c>
      <c r="AX98" s="16">
        <f>66-417-188+3840-488-AW98-AV98-AU98</f>
        <v>-2162</v>
      </c>
    </row>
    <row r="99" spans="2:76" x14ac:dyDescent="0.2">
      <c r="B99" s="63" t="s">
        <v>307</v>
      </c>
      <c r="AQ99" s="16">
        <f>SUM(AQ90:AQ98)</f>
        <v>4908</v>
      </c>
      <c r="AU99" s="16">
        <f>SUM(AU90:AU98)</f>
        <v>4193</v>
      </c>
      <c r="AV99" s="16">
        <f>SUM(AV90:AV98)</f>
        <v>6319</v>
      </c>
      <c r="AW99" s="16">
        <f>SUM(AW90:AW98)</f>
        <v>7574</v>
      </c>
      <c r="AX99" s="16">
        <f>SUM(AX90:AX98)</f>
        <v>4753</v>
      </c>
    </row>
    <row r="101" spans="2:76" s="15" customFormat="1" x14ac:dyDescent="0.2">
      <c r="B101" s="66" t="s">
        <v>311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>
        <f>-185-1406+8+154</f>
        <v>-1429</v>
      </c>
      <c r="AR101" s="16"/>
      <c r="AS101" s="16"/>
      <c r="AT101" s="16"/>
      <c r="AU101" s="16">
        <f>-353-19+22+26</f>
        <v>-324</v>
      </c>
      <c r="AV101" s="16">
        <f>-513-35+36-AU101+25</f>
        <v>-163</v>
      </c>
      <c r="AW101" s="16">
        <f>-670-43+41-AV101-AU101+35</f>
        <v>-150</v>
      </c>
      <c r="AX101" s="16">
        <f>-1223-77+55+13-AW101-AV101-AU101</f>
        <v>-595</v>
      </c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</row>
    <row r="102" spans="2:76" s="15" customFormat="1" x14ac:dyDescent="0.2">
      <c r="B102" s="66" t="s">
        <v>312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>
        <v>-162</v>
      </c>
      <c r="AR102" s="16"/>
      <c r="AS102" s="16"/>
      <c r="AT102" s="16"/>
      <c r="AU102" s="16">
        <v>-175</v>
      </c>
      <c r="AV102" s="16">
        <f>-353-AU102</f>
        <v>-178</v>
      </c>
      <c r="AW102" s="16">
        <f>-572-AV102-AU102</f>
        <v>-219</v>
      </c>
      <c r="AX102" s="16">
        <f>-777-AW102-AV102-AU102</f>
        <v>-205</v>
      </c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</row>
    <row r="103" spans="2:76" s="15" customFormat="1" x14ac:dyDescent="0.2">
      <c r="B103" s="66" t="s">
        <v>310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>
        <f>AQ101+AQ102</f>
        <v>-1591</v>
      </c>
      <c r="AR103" s="16"/>
      <c r="AS103" s="16"/>
      <c r="AT103" s="16"/>
      <c r="AU103" s="16">
        <f>SUM(AU101:AU102)</f>
        <v>-499</v>
      </c>
      <c r="AV103" s="16">
        <f>SUM(AV101:AV102)</f>
        <v>-341</v>
      </c>
      <c r="AW103" s="16">
        <f>SUM(AW101:AW102)</f>
        <v>-369</v>
      </c>
      <c r="AX103" s="16">
        <f>SUM(AX101:AX102)</f>
        <v>-800</v>
      </c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</row>
    <row r="105" spans="2:76" x14ac:dyDescent="0.2">
      <c r="B105" s="63" t="s">
        <v>51</v>
      </c>
      <c r="AQ105" s="16">
        <f>2000-4879</f>
        <v>-2879</v>
      </c>
      <c r="AU105" s="16">
        <v>-1351</v>
      </c>
      <c r="AV105" s="16">
        <f>-2353-AU105</f>
        <v>-1002</v>
      </c>
      <c r="AW105" s="16">
        <f>-2355-AV105-AU105</f>
        <v>-2</v>
      </c>
      <c r="AX105" s="16">
        <f>-4149-38-AW105-AV105-AU105</f>
        <v>-1832</v>
      </c>
    </row>
    <row r="106" spans="2:76" x14ac:dyDescent="0.2">
      <c r="B106" s="63" t="s">
        <v>313</v>
      </c>
      <c r="AQ106" s="16">
        <v>-2526</v>
      </c>
      <c r="AU106" s="16">
        <v>-2661</v>
      </c>
      <c r="AV106" s="16">
        <f>-5286-AU106</f>
        <v>-2625</v>
      </c>
      <c r="AW106" s="16">
        <f>-7913-AV106-AU106</f>
        <v>-2627</v>
      </c>
      <c r="AX106" s="16">
        <f>-10539-AW106-AV106-AU106</f>
        <v>-2626</v>
      </c>
    </row>
    <row r="107" spans="2:76" x14ac:dyDescent="0.2">
      <c r="B107" s="63" t="s">
        <v>317</v>
      </c>
      <c r="AQ107" s="16">
        <v>-1470</v>
      </c>
      <c r="AU107" s="16">
        <v>-1955</v>
      </c>
      <c r="AV107" s="16">
        <f>-1965-AU107</f>
        <v>-10</v>
      </c>
      <c r="AW107" s="16">
        <f>-1969-AV107-AU107</f>
        <v>-4</v>
      </c>
      <c r="AX107" s="16">
        <f>-1972-AW107-AV107-AU107</f>
        <v>-3</v>
      </c>
    </row>
    <row r="108" spans="2:76" x14ac:dyDescent="0.2">
      <c r="B108" s="63" t="s">
        <v>318</v>
      </c>
      <c r="AQ108" s="16">
        <v>128</v>
      </c>
      <c r="AU108" s="16">
        <v>65</v>
      </c>
      <c r="AV108" s="16">
        <f>113-AU108</f>
        <v>48</v>
      </c>
      <c r="AW108" s="16">
        <f>149-AV108-AU108</f>
        <v>36</v>
      </c>
      <c r="AX108" s="16">
        <f>180-AW108-AV108-AU108</f>
        <v>31</v>
      </c>
    </row>
    <row r="109" spans="2:76" x14ac:dyDescent="0.2">
      <c r="B109" s="63" t="s">
        <v>305</v>
      </c>
      <c r="AQ109" s="16">
        <v>-246</v>
      </c>
      <c r="AU109" s="16">
        <v>-311</v>
      </c>
      <c r="AV109" s="16">
        <f>-641-AU109</f>
        <v>-330</v>
      </c>
      <c r="AW109" s="16">
        <f>-735-AV109-AU109</f>
        <v>-94</v>
      </c>
      <c r="AX109" s="16">
        <f>-752-AW109-AV109-AU109</f>
        <v>-17</v>
      </c>
    </row>
    <row r="110" spans="2:76" x14ac:dyDescent="0.2">
      <c r="B110" s="63" t="s">
        <v>12</v>
      </c>
      <c r="AQ110" s="16">
        <v>21</v>
      </c>
      <c r="AU110" s="16">
        <v>21</v>
      </c>
      <c r="AV110" s="16">
        <f>20-AU110</f>
        <v>-1</v>
      </c>
      <c r="AW110" s="16">
        <f>50-AV110-AU110</f>
        <v>30</v>
      </c>
      <c r="AX110" s="16">
        <f>48-AW110-AV110-AU110</f>
        <v>-2</v>
      </c>
    </row>
    <row r="111" spans="2:76" x14ac:dyDescent="0.2">
      <c r="B111" s="63" t="s">
        <v>316</v>
      </c>
      <c r="AQ111" s="16">
        <f>SUM(AQ105:AQ110)</f>
        <v>-6972</v>
      </c>
      <c r="AU111" s="16">
        <f>SUM(AU105:AU110)</f>
        <v>-6192</v>
      </c>
      <c r="AV111" s="16">
        <f>SUM(AV105:AV110)</f>
        <v>-3920</v>
      </c>
      <c r="AW111" s="16">
        <f>SUM(AW105:AW110)</f>
        <v>-2661</v>
      </c>
      <c r="AX111" s="16">
        <f>SUM(AX105:AX110)</f>
        <v>-4449</v>
      </c>
    </row>
    <row r="112" spans="2:76" x14ac:dyDescent="0.2">
      <c r="B112" s="63" t="s">
        <v>315</v>
      </c>
      <c r="AQ112" s="16">
        <v>7</v>
      </c>
      <c r="AU112" s="16">
        <v>8</v>
      </c>
      <c r="AV112" s="16">
        <f>-2-AU112</f>
        <v>-10</v>
      </c>
      <c r="AW112" s="16">
        <f>-18-AV112-AU112</f>
        <v>-16</v>
      </c>
      <c r="AX112" s="16">
        <f>5-AW112-AV112-AU112</f>
        <v>23</v>
      </c>
    </row>
    <row r="113" spans="2:50" x14ac:dyDescent="0.2">
      <c r="B113" s="63" t="s">
        <v>314</v>
      </c>
      <c r="AQ113" s="16">
        <f>+AQ112+AQ111+AQ103+AQ99</f>
        <v>-3648</v>
      </c>
      <c r="AU113" s="16">
        <f>+AU112+AU111+AU103+AU99</f>
        <v>-2490</v>
      </c>
      <c r="AV113" s="16">
        <f>+AV112+AV111+AV103+AV99</f>
        <v>2048</v>
      </c>
      <c r="AW113" s="16">
        <f>+AW112+AW111+AW103+AW99</f>
        <v>4528</v>
      </c>
      <c r="AX113" s="16">
        <f>+AX112+AX111+AX103+AX99</f>
        <v>-473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E7"/>
  <sheetViews>
    <sheetView zoomScale="160" zoomScaleNormal="160" workbookViewId="0"/>
  </sheetViews>
  <sheetFormatPr defaultRowHeight="12.75" x14ac:dyDescent="0.2"/>
  <cols>
    <col min="1" max="1" width="5" style="56" bestFit="1" customWidth="1"/>
    <col min="2" max="16384" width="9.140625" style="56"/>
  </cols>
  <sheetData>
    <row r="1" spans="1:5" x14ac:dyDescent="0.2">
      <c r="A1" s="20" t="s">
        <v>74</v>
      </c>
    </row>
    <row r="2" spans="1:5" x14ac:dyDescent="0.2">
      <c r="B2" s="56" t="s">
        <v>147</v>
      </c>
      <c r="C2" s="56" t="s">
        <v>116</v>
      </c>
    </row>
    <row r="3" spans="1:5" x14ac:dyDescent="0.2">
      <c r="B3" s="56" t="s">
        <v>190</v>
      </c>
      <c r="C3" s="56" t="s">
        <v>267</v>
      </c>
    </row>
    <row r="4" spans="1:5" x14ac:dyDescent="0.2">
      <c r="B4" s="56" t="s">
        <v>27</v>
      </c>
      <c r="C4" s="56" t="s">
        <v>268</v>
      </c>
    </row>
    <row r="5" spans="1:5" x14ac:dyDescent="0.2">
      <c r="B5" s="56" t="s">
        <v>33</v>
      </c>
      <c r="C5" s="56" t="s">
        <v>161</v>
      </c>
    </row>
    <row r="6" spans="1:5" x14ac:dyDescent="0.2">
      <c r="B6" s="56" t="s">
        <v>53</v>
      </c>
      <c r="C6" s="56" t="s">
        <v>269</v>
      </c>
    </row>
    <row r="7" spans="1:5" ht="15" x14ac:dyDescent="0.25">
      <c r="E7"/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74</v>
      </c>
    </row>
    <row r="2" spans="1:3" x14ac:dyDescent="0.2">
      <c r="B2" s="1" t="s">
        <v>75</v>
      </c>
      <c r="C2" s="1" t="s">
        <v>0</v>
      </c>
    </row>
    <row r="3" spans="1:3" x14ac:dyDescent="0.2">
      <c r="B3" s="1" t="s">
        <v>76</v>
      </c>
      <c r="C3" s="1" t="s">
        <v>77</v>
      </c>
    </row>
    <row r="4" spans="1:3" x14ac:dyDescent="0.2">
      <c r="B4" s="45" t="s">
        <v>230</v>
      </c>
      <c r="C4" s="45" t="s">
        <v>231</v>
      </c>
    </row>
    <row r="5" spans="1:3" x14ac:dyDescent="0.2">
      <c r="B5" s="26" t="s">
        <v>33</v>
      </c>
      <c r="C5" s="26" t="s">
        <v>146</v>
      </c>
    </row>
    <row r="6" spans="1:3" x14ac:dyDescent="0.2">
      <c r="B6" s="45" t="s">
        <v>53</v>
      </c>
      <c r="C6" s="26"/>
    </row>
    <row r="7" spans="1:3" x14ac:dyDescent="0.2">
      <c r="B7" s="45" t="s">
        <v>36</v>
      </c>
      <c r="C7" s="26"/>
    </row>
    <row r="8" spans="1:3" x14ac:dyDescent="0.2">
      <c r="B8" s="45" t="s">
        <v>232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199</v>
      </c>
    </row>
    <row r="3" spans="1:3" x14ac:dyDescent="0.2">
      <c r="B3" s="41" t="s">
        <v>190</v>
      </c>
      <c r="C3" s="41" t="s">
        <v>200</v>
      </c>
    </row>
    <row r="4" spans="1:3" x14ac:dyDescent="0.2">
      <c r="B4" s="41" t="s">
        <v>33</v>
      </c>
      <c r="C4" s="56" t="s">
        <v>259</v>
      </c>
    </row>
    <row r="5" spans="1:3" ht="15" x14ac:dyDescent="0.25">
      <c r="B5" s="41" t="s">
        <v>27</v>
      </c>
      <c r="C5"/>
    </row>
    <row r="6" spans="1:3" x14ac:dyDescent="0.2">
      <c r="C6" s="41" t="s">
        <v>217</v>
      </c>
    </row>
    <row r="7" spans="1:3" x14ac:dyDescent="0.2">
      <c r="C7" s="41" t="s">
        <v>218</v>
      </c>
    </row>
    <row r="8" spans="1:3" x14ac:dyDescent="0.2">
      <c r="C8" s="41" t="s">
        <v>219</v>
      </c>
    </row>
    <row r="9" spans="1:3" x14ac:dyDescent="0.2">
      <c r="C9" s="41" t="s">
        <v>220</v>
      </c>
    </row>
    <row r="10" spans="1:3" x14ac:dyDescent="0.2">
      <c r="C10" s="41" t="s">
        <v>221</v>
      </c>
    </row>
    <row r="12" spans="1:3" x14ac:dyDescent="0.2">
      <c r="C12" s="56" t="s">
        <v>260</v>
      </c>
    </row>
    <row r="13" spans="1:3" x14ac:dyDescent="0.2">
      <c r="C13" s="56" t="s">
        <v>261</v>
      </c>
    </row>
    <row r="14" spans="1:3" x14ac:dyDescent="0.2">
      <c r="C14" s="56" t="s">
        <v>262</v>
      </c>
    </row>
    <row r="15" spans="1:3" x14ac:dyDescent="0.2">
      <c r="C15" s="56" t="s">
        <v>266</v>
      </c>
    </row>
    <row r="16" spans="1:3" x14ac:dyDescent="0.2">
      <c r="C16" s="56" t="s">
        <v>265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7"/>
  <sheetViews>
    <sheetView zoomScale="205" zoomScaleNormal="205" workbookViewId="0"/>
  </sheetViews>
  <sheetFormatPr defaultRowHeight="12.75" x14ac:dyDescent="0.2"/>
  <cols>
    <col min="1" max="1" width="5" style="63" bestFit="1" customWidth="1"/>
    <col min="2" max="2" width="11" style="63" bestFit="1" customWidth="1"/>
    <col min="3" max="16384" width="9.140625" style="63"/>
  </cols>
  <sheetData>
    <row r="1" spans="1:3" x14ac:dyDescent="0.2">
      <c r="A1" s="20" t="s">
        <v>74</v>
      </c>
    </row>
    <row r="2" spans="1:3" x14ac:dyDescent="0.2">
      <c r="B2" s="63" t="s">
        <v>147</v>
      </c>
      <c r="C2" s="63" t="s">
        <v>295</v>
      </c>
    </row>
    <row r="3" spans="1:3" x14ac:dyDescent="0.2">
      <c r="B3" s="63" t="s">
        <v>190</v>
      </c>
      <c r="C3" s="63" t="s">
        <v>296</v>
      </c>
    </row>
    <row r="4" spans="1:3" x14ac:dyDescent="0.2">
      <c r="B4" s="63" t="s">
        <v>27</v>
      </c>
    </row>
    <row r="5" spans="1:3" x14ac:dyDescent="0.2">
      <c r="B5" s="63" t="s">
        <v>297</v>
      </c>
      <c r="C5" s="64">
        <v>33581</v>
      </c>
    </row>
    <row r="6" spans="1:3" x14ac:dyDescent="0.2">
      <c r="B6" s="63" t="s">
        <v>33</v>
      </c>
      <c r="C6" s="63" t="s">
        <v>298</v>
      </c>
    </row>
    <row r="7" spans="1:3" x14ac:dyDescent="0.2">
      <c r="B7" s="63" t="s">
        <v>299</v>
      </c>
      <c r="C7" s="63" t="s">
        <v>300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5"/>
  <sheetViews>
    <sheetView workbookViewId="0"/>
  </sheetViews>
  <sheetFormatPr defaultRowHeight="12.75" x14ac:dyDescent="0.2"/>
  <cols>
    <col min="1" max="1" width="5" style="41" bestFit="1" customWidth="1"/>
    <col min="2" max="16384" width="9.140625" style="41"/>
  </cols>
  <sheetData>
    <row r="1" spans="1:3" x14ac:dyDescent="0.2">
      <c r="A1" s="20" t="s">
        <v>74</v>
      </c>
    </row>
    <row r="2" spans="1:3" x14ac:dyDescent="0.2">
      <c r="B2" s="41" t="s">
        <v>147</v>
      </c>
      <c r="C2" s="41" t="s">
        <v>225</v>
      </c>
    </row>
    <row r="3" spans="1:3" x14ac:dyDescent="0.2">
      <c r="B3" s="41" t="s">
        <v>190</v>
      </c>
      <c r="C3" s="41" t="s">
        <v>222</v>
      </c>
    </row>
    <row r="4" spans="1:3" x14ac:dyDescent="0.2">
      <c r="B4" s="41" t="s">
        <v>33</v>
      </c>
      <c r="C4" s="41" t="s">
        <v>226</v>
      </c>
    </row>
    <row r="5" spans="1:3" x14ac:dyDescent="0.2">
      <c r="B5" s="41" t="s">
        <v>27</v>
      </c>
      <c r="C5" s="41" t="s">
        <v>227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5"/>
  <sheetViews>
    <sheetView zoomScale="190" zoomScaleNormal="190" workbookViewId="0"/>
  </sheetViews>
  <sheetFormatPr defaultRowHeight="12.75" x14ac:dyDescent="0.2"/>
  <cols>
    <col min="1" max="1" width="5" style="86" bestFit="1" customWidth="1"/>
    <col min="2" max="2" width="13.140625" style="86" bestFit="1" customWidth="1"/>
    <col min="3" max="16384" width="9.140625" style="86"/>
  </cols>
  <sheetData>
    <row r="1" spans="1:3" x14ac:dyDescent="0.2">
      <c r="A1" s="20" t="s">
        <v>74</v>
      </c>
    </row>
    <row r="2" spans="1:3" x14ac:dyDescent="0.2">
      <c r="B2" s="86" t="s">
        <v>75</v>
      </c>
      <c r="C2" s="86" t="s">
        <v>335</v>
      </c>
    </row>
    <row r="3" spans="1:3" x14ac:dyDescent="0.2">
      <c r="B3" s="86" t="s">
        <v>76</v>
      </c>
      <c r="C3" s="86" t="s">
        <v>351</v>
      </c>
    </row>
    <row r="4" spans="1:3" x14ac:dyDescent="0.2">
      <c r="B4" s="86" t="s">
        <v>232</v>
      </c>
    </row>
    <row r="5" spans="1:3" x14ac:dyDescent="0.2">
      <c r="C5" s="87" t="s">
        <v>352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2024-05-27T03:35:15Z</dcterms:modified>
</cp:coreProperties>
</file>