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1A2588CF-258C-444D-AA2B-059E5601CB36}" xr6:coauthVersionLast="47" xr6:coauthVersionMax="47" xr10:uidLastSave="{00000000-0000-0000-0000-000000000000}"/>
  <bookViews>
    <workbookView xWindow="-20505" yWindow="495" windowWidth="20190" windowHeight="20160" tabRatio="566" firstSheet="1"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6" i="3" l="1"/>
  <c r="Q5" i="3"/>
  <c r="DG213" i="71"/>
  <c r="DF216" i="71"/>
  <c r="DE216" i="71"/>
  <c r="DG214" i="71"/>
  <c r="DG216" i="71" s="1"/>
  <c r="DF214" i="71"/>
  <c r="DE214" i="71"/>
  <c r="DG212" i="71"/>
  <c r="DG205" i="71"/>
  <c r="DG208" i="71"/>
  <c r="DG200" i="71"/>
  <c r="DF200" i="71"/>
  <c r="DE200" i="71"/>
  <c r="DE187" i="71"/>
  <c r="DF187" i="71"/>
  <c r="DG187" i="71"/>
  <c r="DG180" i="71"/>
  <c r="DG176" i="71"/>
  <c r="DF176" i="71"/>
  <c r="DE176" i="71"/>
  <c r="DG174" i="71"/>
  <c r="DF174" i="71"/>
  <c r="DE174" i="71"/>
  <c r="DG165" i="71"/>
  <c r="DG163" i="71"/>
  <c r="DG155" i="71"/>
  <c r="DG150" i="71"/>
  <c r="DG152" i="71"/>
  <c r="DG145" i="71"/>
  <c r="DN144" i="71"/>
  <c r="DM144" i="71"/>
  <c r="DL144" i="71"/>
  <c r="DK144" i="71"/>
  <c r="DJ144" i="71"/>
  <c r="DI144" i="71"/>
  <c r="DH144" i="71"/>
  <c r="DG144" i="71"/>
  <c r="DF144" i="71"/>
  <c r="DE144" i="71"/>
  <c r="DN97" i="71"/>
  <c r="DM97" i="71"/>
  <c r="DL97" i="71"/>
  <c r="DK97" i="71"/>
  <c r="DJ97" i="71"/>
  <c r="DI97" i="71"/>
  <c r="DH97" i="71"/>
  <c r="DN96" i="71"/>
  <c r="DM96" i="71"/>
  <c r="DL96" i="71"/>
  <c r="DK96" i="71"/>
  <c r="DJ96" i="71"/>
  <c r="DI96" i="71"/>
  <c r="DH96" i="71"/>
  <c r="DN95" i="71"/>
  <c r="DM95" i="71"/>
  <c r="DL95" i="71"/>
  <c r="DK95" i="71"/>
  <c r="DJ95" i="71"/>
  <c r="DI95" i="71"/>
  <c r="DH95" i="71"/>
  <c r="DN94" i="71"/>
  <c r="DM94" i="71"/>
  <c r="DL94" i="71"/>
  <c r="DK94" i="71"/>
  <c r="DJ94" i="71"/>
  <c r="DI94" i="71"/>
  <c r="DH94" i="71"/>
  <c r="DN91" i="71"/>
  <c r="DM91" i="71"/>
  <c r="DL91" i="71"/>
  <c r="DK91" i="71"/>
  <c r="DJ91" i="71"/>
  <c r="DI91" i="71"/>
  <c r="DH91" i="71"/>
  <c r="DN90" i="71"/>
  <c r="DM90" i="71"/>
  <c r="DL90" i="71"/>
  <c r="DK90" i="71"/>
  <c r="DJ90" i="71"/>
  <c r="DI90" i="71"/>
  <c r="DH90" i="71"/>
  <c r="DN89" i="71"/>
  <c r="DM89" i="71"/>
  <c r="DL89" i="71"/>
  <c r="DK89" i="71"/>
  <c r="DJ89" i="71"/>
  <c r="DI89" i="71"/>
  <c r="DH89" i="71"/>
  <c r="DN88" i="71"/>
  <c r="DM88" i="71"/>
  <c r="DL88" i="71"/>
  <c r="DK88" i="71"/>
  <c r="DJ88" i="71"/>
  <c r="DI88" i="71"/>
  <c r="DH88" i="71"/>
  <c r="DN86" i="71"/>
  <c r="DM86" i="71"/>
  <c r="DL86" i="71"/>
  <c r="DK86" i="71"/>
  <c r="DJ86" i="71"/>
  <c r="DI86" i="71"/>
  <c r="DH86" i="71"/>
  <c r="DN85" i="71"/>
  <c r="DM85" i="71"/>
  <c r="DL85" i="71"/>
  <c r="DK85" i="71"/>
  <c r="DJ85" i="71"/>
  <c r="DI85" i="71"/>
  <c r="DH85" i="71"/>
  <c r="DN84" i="71"/>
  <c r="DM84" i="71"/>
  <c r="DL84" i="71"/>
  <c r="DK84" i="71"/>
  <c r="DJ84" i="71"/>
  <c r="DI84" i="71"/>
  <c r="DH84" i="71"/>
  <c r="DN83" i="71"/>
  <c r="DM83" i="71"/>
  <c r="DL83" i="71"/>
  <c r="DK83" i="71"/>
  <c r="DJ83" i="71"/>
  <c r="DI83" i="71"/>
  <c r="DH83" i="71"/>
  <c r="DN82" i="71"/>
  <c r="DM82" i="71"/>
  <c r="DL82" i="71"/>
  <c r="DK82" i="71"/>
  <c r="DJ82" i="71"/>
  <c r="DI82" i="71"/>
  <c r="DH82" i="71"/>
  <c r="DN81" i="71"/>
  <c r="DM81" i="71"/>
  <c r="DL81" i="71"/>
  <c r="DK81" i="71"/>
  <c r="DJ81" i="71"/>
  <c r="DI81" i="71"/>
  <c r="DH81" i="71"/>
  <c r="DN62" i="71"/>
  <c r="DM62" i="71"/>
  <c r="DL62" i="71"/>
  <c r="DK62" i="71"/>
  <c r="DJ62" i="71"/>
  <c r="DI62" i="71"/>
  <c r="DH62" i="71"/>
  <c r="DN36" i="71"/>
  <c r="DM36" i="71"/>
  <c r="DL36" i="71"/>
  <c r="DK36" i="71"/>
  <c r="DN35" i="71"/>
  <c r="DM35" i="71"/>
  <c r="DL35" i="71"/>
  <c r="DK35" i="71"/>
  <c r="DK32" i="71"/>
  <c r="DL32" i="71" s="1"/>
  <c r="DM32" i="71" s="1"/>
  <c r="DN32" i="71" s="1"/>
  <c r="DN31" i="71"/>
  <c r="DM31" i="71"/>
  <c r="DL31" i="71"/>
  <c r="DK31" i="71"/>
  <c r="DK30" i="71"/>
  <c r="DL30" i="71" s="1"/>
  <c r="DM30" i="71" s="1"/>
  <c r="DN30" i="71" s="1"/>
  <c r="DK29" i="71"/>
  <c r="DL29" i="71" s="1"/>
  <c r="DM29" i="71" s="1"/>
  <c r="DN29" i="71" s="1"/>
  <c r="DK28" i="71"/>
  <c r="DL28" i="71" s="1"/>
  <c r="DM28" i="71" s="1"/>
  <c r="DN28" i="71" s="1"/>
  <c r="DN27" i="71"/>
  <c r="DM27" i="71"/>
  <c r="DL27" i="71"/>
  <c r="DK27" i="71"/>
  <c r="DN26" i="71"/>
  <c r="DM26" i="71"/>
  <c r="DL26" i="71"/>
  <c r="DK26" i="71"/>
  <c r="DK25" i="71"/>
  <c r="DL25" i="71" s="1"/>
  <c r="DM25" i="71" s="1"/>
  <c r="DN25" i="71" s="1"/>
  <c r="DN19" i="71"/>
  <c r="DM19" i="71"/>
  <c r="DL19" i="71"/>
  <c r="DK19" i="71"/>
  <c r="DN18" i="71"/>
  <c r="DM18" i="71"/>
  <c r="DL18" i="71"/>
  <c r="DK18" i="71"/>
  <c r="DN14" i="71"/>
  <c r="DM14" i="71"/>
  <c r="DL14" i="71"/>
  <c r="DK14" i="71"/>
  <c r="DK13" i="71"/>
  <c r="DL13" i="71" s="1"/>
  <c r="DM13" i="71" s="1"/>
  <c r="DN13" i="71" s="1"/>
  <c r="DN12" i="71"/>
  <c r="DM12" i="71"/>
  <c r="DL12" i="71"/>
  <c r="DK12" i="71"/>
  <c r="DN11" i="71"/>
  <c r="DM11" i="71"/>
  <c r="DL11" i="71"/>
  <c r="DK11" i="71"/>
  <c r="DK7" i="71"/>
  <c r="DL7" i="71" s="1"/>
  <c r="DM7" i="71" s="1"/>
  <c r="DN7" i="71" s="1"/>
  <c r="DN6" i="71"/>
  <c r="DM6" i="71"/>
  <c r="DL6" i="71"/>
  <c r="DK6" i="71"/>
  <c r="DN5" i="71"/>
  <c r="DM5" i="71"/>
  <c r="DL5" i="71"/>
  <c r="DK5" i="71"/>
  <c r="DN4" i="71"/>
  <c r="DM4" i="71"/>
  <c r="DL4" i="71"/>
  <c r="DK4" i="71"/>
  <c r="DN3" i="71"/>
  <c r="DM3" i="71"/>
  <c r="DL3" i="71"/>
  <c r="DK3" i="71"/>
  <c r="DN47" i="71"/>
  <c r="DM47" i="71"/>
  <c r="DL47" i="71"/>
  <c r="DK47" i="71"/>
  <c r="DK50" i="71"/>
  <c r="DJ50" i="71"/>
  <c r="DN50" i="71" s="1"/>
  <c r="DI50" i="71"/>
  <c r="DM50" i="71" s="1"/>
  <c r="DH50" i="71"/>
  <c r="DL50" i="71" s="1"/>
  <c r="DN49" i="71"/>
  <c r="DM49" i="71"/>
  <c r="DK49" i="71"/>
  <c r="DJ49" i="71"/>
  <c r="DI49" i="71"/>
  <c r="DH49" i="71"/>
  <c r="DL49" i="71" s="1"/>
  <c r="DL48" i="71"/>
  <c r="DK48" i="71"/>
  <c r="DJ48" i="71"/>
  <c r="DN48" i="71" s="1"/>
  <c r="DI48" i="71"/>
  <c r="DM48" i="71" s="1"/>
  <c r="DH48" i="71"/>
  <c r="DM51" i="71"/>
  <c r="DL51" i="71"/>
  <c r="DK51" i="71"/>
  <c r="DJ51" i="71"/>
  <c r="DN51" i="71" s="1"/>
  <c r="DI51" i="71"/>
  <c r="DH51" i="71"/>
  <c r="DK58" i="71"/>
  <c r="DJ58" i="71"/>
  <c r="DN58" i="71" s="1"/>
  <c r="DI58" i="71"/>
  <c r="DM58" i="71" s="1"/>
  <c r="DH58" i="71"/>
  <c r="DL58" i="71" s="1"/>
  <c r="DK55" i="71"/>
  <c r="DJ55" i="71"/>
  <c r="DN55" i="71" s="1"/>
  <c r="DI55" i="71"/>
  <c r="DM55" i="71" s="1"/>
  <c r="DH55" i="71"/>
  <c r="DL55" i="71" s="1"/>
  <c r="DL54" i="71"/>
  <c r="DK54" i="71"/>
  <c r="DJ54" i="71"/>
  <c r="DN54" i="71" s="1"/>
  <c r="DI54" i="71"/>
  <c r="DM54" i="71" s="1"/>
  <c r="DH54" i="71"/>
  <c r="DN79" i="71"/>
  <c r="DM79" i="71"/>
  <c r="DL79" i="71"/>
  <c r="DK79" i="71"/>
  <c r="DN78" i="71"/>
  <c r="DM78" i="71"/>
  <c r="DL78" i="71"/>
  <c r="DK78" i="71"/>
  <c r="DN66" i="71"/>
  <c r="DM66" i="71"/>
  <c r="DL66" i="71"/>
  <c r="DK66" i="71"/>
  <c r="DJ66" i="71"/>
  <c r="DI66" i="71"/>
  <c r="DH66" i="71"/>
  <c r="DI74" i="71"/>
  <c r="DJ74" i="71" s="1"/>
  <c r="DK74" i="71" s="1"/>
  <c r="DL74" i="71" s="1"/>
  <c r="DM74" i="71" s="1"/>
  <c r="DN74" i="71" s="1"/>
  <c r="DH74" i="71"/>
  <c r="DF68" i="71"/>
  <c r="DF30" i="71"/>
  <c r="DJ6" i="71"/>
  <c r="DI6" i="71"/>
  <c r="DH6" i="71"/>
  <c r="DJ78" i="71"/>
  <c r="DI78" i="71"/>
  <c r="DH78" i="71"/>
  <c r="DG78" i="71"/>
  <c r="DF78" i="71"/>
  <c r="DE78" i="71"/>
  <c r="DD78" i="71"/>
  <c r="DC78" i="71"/>
  <c r="DG68" i="71"/>
  <c r="DI79" i="71"/>
  <c r="DH79" i="71"/>
  <c r="DG61" i="71"/>
  <c r="DG96" i="71" s="1"/>
  <c r="DG90" i="71"/>
  <c r="DG91" i="71"/>
  <c r="DG89" i="71"/>
  <c r="DG88" i="71"/>
  <c r="DG86" i="71"/>
  <c r="DG85" i="71"/>
  <c r="DG84" i="71"/>
  <c r="DG83" i="71"/>
  <c r="DG82" i="71"/>
  <c r="DG81" i="71"/>
  <c r="DG79" i="71"/>
  <c r="DG66" i="71"/>
  <c r="DI36" i="71"/>
  <c r="DH36" i="71"/>
  <c r="DI35" i="71"/>
  <c r="DH35" i="71"/>
  <c r="DH32" i="71"/>
  <c r="DI32" i="71" s="1"/>
  <c r="DJ32" i="71" s="1"/>
  <c r="DH28" i="71"/>
  <c r="DI28" i="71" s="1"/>
  <c r="DJ28" i="71" s="1"/>
  <c r="DI19" i="71"/>
  <c r="DH19" i="71"/>
  <c r="CZ215" i="71"/>
  <c r="DB215" i="71" s="1"/>
  <c r="CZ211" i="71"/>
  <c r="DB211" i="71" s="1"/>
  <c r="CZ210" i="71"/>
  <c r="DB210" i="71" s="1"/>
  <c r="CZ207" i="71"/>
  <c r="CZ206" i="71"/>
  <c r="DB206" i="71" s="1"/>
  <c r="CZ202" i="71"/>
  <c r="DB202" i="71" s="1"/>
  <c r="CZ199" i="71"/>
  <c r="DB199" i="71" s="1"/>
  <c r="CZ198" i="71"/>
  <c r="DB198" i="71" s="1"/>
  <c r="CZ197" i="71"/>
  <c r="DB197" i="71" s="1"/>
  <c r="CZ196" i="71"/>
  <c r="DB196" i="71" s="1"/>
  <c r="CZ195" i="71"/>
  <c r="DB195" i="71" s="1"/>
  <c r="CZ194" i="71"/>
  <c r="DB194" i="71" s="1"/>
  <c r="CZ193" i="71"/>
  <c r="DB193" i="71" s="1"/>
  <c r="CZ192" i="71"/>
  <c r="DB192" i="71" s="1"/>
  <c r="CZ191" i="71"/>
  <c r="CZ190" i="71"/>
  <c r="DB190" i="71" s="1"/>
  <c r="CZ189" i="71"/>
  <c r="DB189" i="71" s="1"/>
  <c r="CZ188" i="71"/>
  <c r="DB188" i="71" s="1"/>
  <c r="DD215" i="71"/>
  <c r="DD211" i="71"/>
  <c r="DD210" i="71"/>
  <c r="DC203" i="71"/>
  <c r="DD203" i="71" s="1"/>
  <c r="DD207" i="71"/>
  <c r="DD206" i="71"/>
  <c r="DD202" i="71"/>
  <c r="DD199" i="71"/>
  <c r="DD198" i="71"/>
  <c r="DD197" i="71"/>
  <c r="DD196" i="71"/>
  <c r="DD195" i="71"/>
  <c r="DD194" i="71"/>
  <c r="DD193" i="71"/>
  <c r="DD192" i="71"/>
  <c r="DD191" i="71"/>
  <c r="DD190" i="71"/>
  <c r="DD189" i="71"/>
  <c r="DD188" i="71"/>
  <c r="DD145" i="71"/>
  <c r="DD150" i="71" s="1"/>
  <c r="DD180" i="71"/>
  <c r="DD173" i="71"/>
  <c r="DD165" i="71"/>
  <c r="DD163" i="71"/>
  <c r="DD152" i="71"/>
  <c r="DD68" i="71"/>
  <c r="DD51" i="71"/>
  <c r="DD48" i="71"/>
  <c r="DE68" i="71"/>
  <c r="DE66" i="71"/>
  <c r="DE48" i="71"/>
  <c r="BS47" i="71"/>
  <c r="BX66" i="71"/>
  <c r="BT68" i="71"/>
  <c r="BS68" i="71"/>
  <c r="BT66" i="71"/>
  <c r="BS66" i="71"/>
  <c r="BW66" i="71"/>
  <c r="BT25" i="71"/>
  <c r="BU66" i="71"/>
  <c r="BU11" i="71"/>
  <c r="BV66" i="71"/>
  <c r="BV54" i="71"/>
  <c r="BV11" i="71"/>
  <c r="CI86" i="71"/>
  <c r="CH86" i="71"/>
  <c r="CG86" i="71"/>
  <c r="CF86" i="71"/>
  <c r="CI85" i="71"/>
  <c r="CL86" i="71"/>
  <c r="CK86" i="71"/>
  <c r="CJ86" i="71"/>
  <c r="CL85" i="71"/>
  <c r="CK85" i="71"/>
  <c r="CJ85" i="71"/>
  <c r="CL84" i="71"/>
  <c r="CL87" i="71"/>
  <c r="CK87" i="71"/>
  <c r="CJ87" i="71"/>
  <c r="CI87" i="71"/>
  <c r="CH87" i="71"/>
  <c r="CG87" i="71"/>
  <c r="CF87" i="71"/>
  <c r="CL83" i="71"/>
  <c r="CK83" i="71"/>
  <c r="CJ83" i="71"/>
  <c r="CI83" i="71"/>
  <c r="CH83" i="71"/>
  <c r="CG83" i="71"/>
  <c r="CF83" i="71"/>
  <c r="CE83" i="71"/>
  <c r="CD83" i="71"/>
  <c r="CC83" i="71"/>
  <c r="CB83" i="71"/>
  <c r="CA83" i="71"/>
  <c r="CL82" i="71"/>
  <c r="CK82" i="71"/>
  <c r="CJ82" i="71"/>
  <c r="CI82" i="71"/>
  <c r="CH82" i="71"/>
  <c r="CG82" i="71"/>
  <c r="CF82" i="71"/>
  <c r="CE82" i="71"/>
  <c r="CD82" i="71"/>
  <c r="CC82" i="71"/>
  <c r="CB82" i="71"/>
  <c r="CA82" i="71"/>
  <c r="CL81" i="71"/>
  <c r="CK81" i="71"/>
  <c r="CJ81" i="71"/>
  <c r="CI81" i="71"/>
  <c r="CH81" i="71"/>
  <c r="CG81" i="71"/>
  <c r="CF81" i="71"/>
  <c r="CE81" i="71"/>
  <c r="CD81" i="71"/>
  <c r="CC81" i="71"/>
  <c r="CB81" i="71"/>
  <c r="CA81" i="71"/>
  <c r="CJ79" i="71"/>
  <c r="CI79" i="71"/>
  <c r="CH79" i="71"/>
  <c r="CG79" i="71"/>
  <c r="CF79" i="71"/>
  <c r="CE79" i="71"/>
  <c r="CD79" i="71"/>
  <c r="CC79" i="71"/>
  <c r="CB79" i="71"/>
  <c r="CA79" i="71"/>
  <c r="CL78" i="71"/>
  <c r="CK78" i="71"/>
  <c r="CJ78" i="71"/>
  <c r="CI78" i="71"/>
  <c r="CH78" i="71"/>
  <c r="CG78" i="71"/>
  <c r="CF78" i="71"/>
  <c r="CE78" i="71"/>
  <c r="CC78" i="71"/>
  <c r="CB78" i="71"/>
  <c r="CA78" i="71"/>
  <c r="CA25" i="71"/>
  <c r="BW54" i="71"/>
  <c r="CA11" i="71"/>
  <c r="BW11" i="71"/>
  <c r="BX11" i="71"/>
  <c r="CB11" i="71"/>
  <c r="CF85" i="71" s="1"/>
  <c r="BY66" i="71"/>
  <c r="CC68" i="71"/>
  <c r="CC66" i="71"/>
  <c r="BY54" i="71"/>
  <c r="CC54" i="71"/>
  <c r="CC11" i="71"/>
  <c r="CG85" i="71" s="1"/>
  <c r="BY11" i="71"/>
  <c r="BZ54" i="71"/>
  <c r="BZ11" i="71"/>
  <c r="CD11" i="71"/>
  <c r="CA68" i="71"/>
  <c r="CA66" i="71"/>
  <c r="CE68" i="71"/>
  <c r="CE66" i="71"/>
  <c r="CA54" i="71"/>
  <c r="CE54" i="71"/>
  <c r="CE61" i="71" s="1"/>
  <c r="CE63" i="71" s="1"/>
  <c r="CB66" i="71"/>
  <c r="CF66" i="71"/>
  <c r="CB54" i="71"/>
  <c r="CF54" i="71"/>
  <c r="CF61" i="71" s="1"/>
  <c r="CF63" i="71" s="1"/>
  <c r="CG68" i="71"/>
  <c r="CG66" i="71"/>
  <c r="CG54" i="71"/>
  <c r="CG61" i="71" s="1"/>
  <c r="CD68" i="71"/>
  <c r="CD66" i="71"/>
  <c r="CH68" i="71"/>
  <c r="CH66" i="71"/>
  <c r="CD54" i="71"/>
  <c r="CH54" i="71"/>
  <c r="CH58" i="71"/>
  <c r="DC212" i="71"/>
  <c r="DD212" i="71" s="1"/>
  <c r="DC213" i="71"/>
  <c r="DC214" i="71" s="1"/>
  <c r="DC205" i="71"/>
  <c r="DD205" i="71" s="1"/>
  <c r="DC200" i="71"/>
  <c r="DB180" i="71"/>
  <c r="DC180" i="71"/>
  <c r="DC165" i="71"/>
  <c r="DC163" i="71"/>
  <c r="DC152" i="71"/>
  <c r="DC145" i="71"/>
  <c r="DC150" i="71" s="1"/>
  <c r="FJ68" i="71"/>
  <c r="FI68" i="71"/>
  <c r="FH68" i="71"/>
  <c r="FG68" i="71"/>
  <c r="FF68" i="71"/>
  <c r="EY44" i="71"/>
  <c r="EX44" i="71"/>
  <c r="EY42" i="71"/>
  <c r="EX42" i="71"/>
  <c r="EY41" i="71"/>
  <c r="EX41" i="71"/>
  <c r="EY40" i="71"/>
  <c r="EX40" i="71"/>
  <c r="EY39" i="71"/>
  <c r="EX39" i="71"/>
  <c r="EY38" i="71"/>
  <c r="EX38" i="71"/>
  <c r="EY37" i="71"/>
  <c r="EX37" i="71"/>
  <c r="EY24" i="71"/>
  <c r="EX24" i="71"/>
  <c r="EY23" i="71"/>
  <c r="EX23" i="71"/>
  <c r="EY22" i="71"/>
  <c r="EX22" i="71"/>
  <c r="EY21" i="71"/>
  <c r="EX21" i="71"/>
  <c r="EX20" i="71"/>
  <c r="EY17" i="71"/>
  <c r="EX17" i="71"/>
  <c r="EY16" i="71"/>
  <c r="EX16" i="71"/>
  <c r="EY15" i="71"/>
  <c r="EX15" i="71"/>
  <c r="EY9" i="71"/>
  <c r="EX9" i="71"/>
  <c r="EY8" i="71"/>
  <c r="EX8" i="71"/>
  <c r="DJ31" i="71"/>
  <c r="DI31" i="71"/>
  <c r="DH31" i="71"/>
  <c r="DJ27" i="71"/>
  <c r="DI27" i="71"/>
  <c r="DH4" i="71"/>
  <c r="DJ4" i="71"/>
  <c r="DJ5" i="71"/>
  <c r="DI5" i="71"/>
  <c r="DH5" i="71"/>
  <c r="DA214" i="71"/>
  <c r="DA208" i="71"/>
  <c r="DA200" i="71"/>
  <c r="EU74" i="71"/>
  <c r="ET74" i="71"/>
  <c r="ES74" i="71"/>
  <c r="EU71" i="71"/>
  <c r="ES65" i="71"/>
  <c r="ES62" i="71"/>
  <c r="EU65" i="71"/>
  <c r="ET65" i="71"/>
  <c r="ET62" i="71"/>
  <c r="EU64" i="71"/>
  <c r="EU62" i="71"/>
  <c r="EW71" i="71"/>
  <c r="EW65" i="71"/>
  <c r="EW62" i="71"/>
  <c r="EW58" i="71"/>
  <c r="EW60" i="71"/>
  <c r="EV60" i="71"/>
  <c r="EV137" i="71"/>
  <c r="EW137" i="71"/>
  <c r="DB165" i="71"/>
  <c r="DB163" i="71"/>
  <c r="DB152" i="71"/>
  <c r="DB145" i="71"/>
  <c r="DB144" i="71" s="1"/>
  <c r="EW144" i="71" s="1"/>
  <c r="EU60" i="71"/>
  <c r="ET60" i="71"/>
  <c r="ES60" i="71"/>
  <c r="EV58" i="71"/>
  <c r="EU58" i="71"/>
  <c r="ET58" i="71"/>
  <c r="ES58" i="71"/>
  <c r="ES57" i="71"/>
  <c r="ES56" i="71"/>
  <c r="EW55" i="71"/>
  <c r="EV55" i="71"/>
  <c r="EU55" i="71"/>
  <c r="ET55" i="71"/>
  <c r="ES55" i="71"/>
  <c r="EW54" i="71"/>
  <c r="EV54" i="71"/>
  <c r="EU54" i="71"/>
  <c r="EW51" i="71"/>
  <c r="EV51" i="71"/>
  <c r="EU51" i="71"/>
  <c r="ET51" i="71"/>
  <c r="ES51" i="71"/>
  <c r="EW48" i="71"/>
  <c r="EV48" i="71"/>
  <c r="EU48" i="71"/>
  <c r="ET48" i="71"/>
  <c r="ES48" i="71"/>
  <c r="EW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4" i="71"/>
  <c r="EV34" i="71"/>
  <c r="EU34" i="71"/>
  <c r="ET34" i="71"/>
  <c r="ES34" i="71"/>
  <c r="EW33" i="71"/>
  <c r="EV33" i="71"/>
  <c r="EU33" i="71"/>
  <c r="ET33" i="71"/>
  <c r="ES33" i="71"/>
  <c r="EW31" i="71"/>
  <c r="EV31" i="71"/>
  <c r="EU31" i="71"/>
  <c r="ET31" i="71"/>
  <c r="ES31"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W25" i="71"/>
  <c r="EV25" i="71"/>
  <c r="EU25" i="71"/>
  <c r="ET25" i="71"/>
  <c r="ES25"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38" i="71"/>
  <c r="DC61" i="71"/>
  <c r="DC63" i="71" s="1"/>
  <c r="DI45" i="71"/>
  <c r="DC86" i="71"/>
  <c r="DJ26" i="71"/>
  <c r="DI26" i="71"/>
  <c r="DH26" i="71"/>
  <c r="DB61" i="71"/>
  <c r="DB63" i="71" s="1"/>
  <c r="DB68" i="71"/>
  <c r="DB78" i="71"/>
  <c r="CY213" i="71"/>
  <c r="CZ213" i="71" s="1"/>
  <c r="CY212" i="71"/>
  <c r="CY205" i="71"/>
  <c r="CY204" i="71"/>
  <c r="CY200" i="71"/>
  <c r="CZ165" i="71"/>
  <c r="CZ163" i="71"/>
  <c r="CZ152" i="71"/>
  <c r="CZ145" i="71"/>
  <c r="CZ144" i="71" s="1"/>
  <c r="DA167" i="71"/>
  <c r="DA163" i="71"/>
  <c r="DA152" i="71"/>
  <c r="DA145" i="71"/>
  <c r="DA144" i="71" s="1"/>
  <c r="DA78" i="71"/>
  <c r="CT91" i="71"/>
  <c r="CS91" i="71"/>
  <c r="CR91" i="71"/>
  <c r="CQ91" i="71"/>
  <c r="CP91" i="71"/>
  <c r="CO91" i="71"/>
  <c r="CN91" i="71"/>
  <c r="CM91" i="71"/>
  <c r="CT89" i="71"/>
  <c r="CS89" i="71"/>
  <c r="CR89" i="71"/>
  <c r="CQ89" i="71"/>
  <c r="CP89" i="71"/>
  <c r="CO89" i="71"/>
  <c r="CN89" i="71"/>
  <c r="CM89" i="71"/>
  <c r="CT88" i="71"/>
  <c r="CS88" i="71"/>
  <c r="CR88" i="71"/>
  <c r="CQ88" i="71"/>
  <c r="CP88" i="71"/>
  <c r="CO88" i="71"/>
  <c r="CN88" i="71"/>
  <c r="CM88" i="71"/>
  <c r="CT87" i="71"/>
  <c r="CS87" i="71"/>
  <c r="CR87" i="71"/>
  <c r="CQ87" i="71"/>
  <c r="CP87" i="71"/>
  <c r="CO87" i="71"/>
  <c r="CN87" i="71"/>
  <c r="CM87" i="71"/>
  <c r="CI68" i="71"/>
  <c r="CI66" i="71"/>
  <c r="CM68" i="71"/>
  <c r="CM66" i="71"/>
  <c r="CM86" i="71"/>
  <c r="CM85" i="71"/>
  <c r="CM84" i="71"/>
  <c r="CM83" i="71"/>
  <c r="CM82" i="71"/>
  <c r="CM81" i="71"/>
  <c r="CM79" i="71"/>
  <c r="CM78" i="71"/>
  <c r="CN86" i="71"/>
  <c r="CN85" i="71"/>
  <c r="CN84" i="71"/>
  <c r="CN83" i="71"/>
  <c r="CN82" i="71"/>
  <c r="CN81" i="71"/>
  <c r="CN79" i="71"/>
  <c r="CN78" i="71"/>
  <c r="CJ66" i="71"/>
  <c r="CN66" i="71"/>
  <c r="CJ54" i="71"/>
  <c r="CJ61" i="71" s="1"/>
  <c r="CJ63" i="71" s="1"/>
  <c r="CN54" i="71"/>
  <c r="CR90" i="71" s="1"/>
  <c r="CI54" i="71"/>
  <c r="CI61" i="71" s="1"/>
  <c r="CI63" i="71" s="1"/>
  <c r="CM54" i="71"/>
  <c r="CQ90" i="71" s="1"/>
  <c r="CL68" i="71"/>
  <c r="CL64" i="71"/>
  <c r="CL66" i="71" s="1"/>
  <c r="CP64" i="71"/>
  <c r="CT79" i="71" s="1"/>
  <c r="CT86" i="71"/>
  <c r="CS86" i="71"/>
  <c r="CR86" i="71"/>
  <c r="CQ86" i="71"/>
  <c r="CP86" i="71"/>
  <c r="CO86" i="71"/>
  <c r="CT85" i="71"/>
  <c r="CS85" i="71"/>
  <c r="CR85" i="71"/>
  <c r="CQ85" i="71"/>
  <c r="CP85" i="71"/>
  <c r="CO85" i="71"/>
  <c r="CT84" i="71"/>
  <c r="CS84" i="71"/>
  <c r="CR84" i="71"/>
  <c r="CQ84" i="71"/>
  <c r="CP84" i="71"/>
  <c r="CO84" i="71"/>
  <c r="CT83" i="71"/>
  <c r="CS83" i="71"/>
  <c r="CR83" i="71"/>
  <c r="CQ83" i="71"/>
  <c r="CP83" i="71"/>
  <c r="CO83" i="71"/>
  <c r="CT82" i="71"/>
  <c r="CS82" i="71"/>
  <c r="CR82" i="71"/>
  <c r="CQ82" i="71"/>
  <c r="CP82" i="71"/>
  <c r="CO82" i="71"/>
  <c r="CT81" i="71"/>
  <c r="CS81" i="71"/>
  <c r="CR81" i="71"/>
  <c r="CQ81" i="71"/>
  <c r="CP81" i="71"/>
  <c r="CO81" i="71"/>
  <c r="CR79" i="71"/>
  <c r="CQ79" i="71"/>
  <c r="CT78" i="71"/>
  <c r="CS78" i="71"/>
  <c r="CR78" i="71"/>
  <c r="CQ78" i="71"/>
  <c r="CP78" i="71"/>
  <c r="CO78" i="71"/>
  <c r="CP68" i="71"/>
  <c r="CL54" i="71"/>
  <c r="CP54" i="71"/>
  <c r="CT90" i="71" s="1"/>
  <c r="DG168" i="71" l="1"/>
  <c r="DK61" i="71"/>
  <c r="DK77" i="71" s="1"/>
  <c r="DN61" i="71"/>
  <c r="DN63" i="71" s="1"/>
  <c r="DN67" i="71" s="1"/>
  <c r="DN70" i="71" s="1"/>
  <c r="DN72" i="71" s="1"/>
  <c r="DN73" i="71" s="1"/>
  <c r="DL61" i="71"/>
  <c r="DL63" i="71" s="1"/>
  <c r="DL67" i="71" s="1"/>
  <c r="DL70" i="71" s="1"/>
  <c r="DL72" i="71" s="1"/>
  <c r="DL73" i="71" s="1"/>
  <c r="DM61" i="71"/>
  <c r="DM63" i="71" s="1"/>
  <c r="DM67" i="71" s="1"/>
  <c r="DM70" i="71" s="1"/>
  <c r="DM72" i="71" s="1"/>
  <c r="DM73" i="71" s="1"/>
  <c r="DK63" i="71"/>
  <c r="DK67" i="71" s="1"/>
  <c r="DK70" i="71" s="1"/>
  <c r="DK72" i="71" s="1"/>
  <c r="DK73" i="71" s="1"/>
  <c r="DK80" i="71" s="1"/>
  <c r="DD168" i="71"/>
  <c r="DD174" i="71" s="1"/>
  <c r="DG63" i="71"/>
  <c r="DG94" i="71" s="1"/>
  <c r="DD155" i="71"/>
  <c r="CD61" i="71"/>
  <c r="CD63" i="71" s="1"/>
  <c r="CD67" i="71" s="1"/>
  <c r="CD70" i="71" s="1"/>
  <c r="CD72" i="71" s="1"/>
  <c r="CD73" i="71" s="1"/>
  <c r="DC144" i="71"/>
  <c r="DG95" i="71"/>
  <c r="DG77" i="71"/>
  <c r="DG67" i="71"/>
  <c r="DC155" i="71"/>
  <c r="CH61" i="71"/>
  <c r="CH63" i="71" s="1"/>
  <c r="CH67" i="71" s="1"/>
  <c r="CH70" i="71" s="1"/>
  <c r="CH72" i="71" s="1"/>
  <c r="CH73" i="71" s="1"/>
  <c r="DC168" i="71"/>
  <c r="DC174" i="71" s="1"/>
  <c r="CC61" i="71"/>
  <c r="CC63" i="71" s="1"/>
  <c r="CC67" i="71" s="1"/>
  <c r="CC70" i="71" s="1"/>
  <c r="CC72" i="71" s="1"/>
  <c r="CC73" i="71" s="1"/>
  <c r="CZ204" i="71"/>
  <c r="DB204" i="71" s="1"/>
  <c r="CZ205" i="71"/>
  <c r="DB205" i="71" s="1"/>
  <c r="EX27" i="71"/>
  <c r="CA61" i="71"/>
  <c r="CA63" i="71" s="1"/>
  <c r="CA67" i="71" s="1"/>
  <c r="CA70" i="71" s="1"/>
  <c r="CA72" i="71" s="1"/>
  <c r="CA73" i="71" s="1"/>
  <c r="CZ212" i="71"/>
  <c r="CZ214" i="71" s="1"/>
  <c r="CH85" i="71"/>
  <c r="DB213" i="71"/>
  <c r="DD213" i="71"/>
  <c r="DD214" i="71" s="1"/>
  <c r="DD200" i="71"/>
  <c r="DB207" i="71"/>
  <c r="CZ200" i="71"/>
  <c r="DB191" i="71"/>
  <c r="DB200" i="71" s="1"/>
  <c r="DD208" i="71"/>
  <c r="DD176" i="71"/>
  <c r="DC208" i="71"/>
  <c r="DC216" i="71" s="1"/>
  <c r="DD144" i="71"/>
  <c r="CL79" i="71"/>
  <c r="CB61" i="71"/>
  <c r="CB63" i="71" s="1"/>
  <c r="CB67" i="71" s="1"/>
  <c r="CB70" i="71" s="1"/>
  <c r="CB72" i="71" s="1"/>
  <c r="CB73" i="71" s="1"/>
  <c r="CE67" i="71"/>
  <c r="CE70" i="71" s="1"/>
  <c r="CE72" i="71" s="1"/>
  <c r="CE73" i="71" s="1"/>
  <c r="CG63" i="71"/>
  <c r="CG67" i="71" s="1"/>
  <c r="CG70" i="71" s="1"/>
  <c r="CG72" i="71" s="1"/>
  <c r="CG73" i="71" s="1"/>
  <c r="CI77" i="71"/>
  <c r="CJ77" i="71"/>
  <c r="CF67" i="71"/>
  <c r="CF70" i="71" s="1"/>
  <c r="CF72" i="71" s="1"/>
  <c r="CF73" i="71" s="1"/>
  <c r="DH25" i="71"/>
  <c r="DI25" i="71" s="1"/>
  <c r="DJ25" i="71" s="1"/>
  <c r="EX25" i="71"/>
  <c r="EY6" i="71"/>
  <c r="EZ6" i="71" s="1"/>
  <c r="FA6" i="71" s="1"/>
  <c r="FB6" i="71" s="1"/>
  <c r="FC6" i="71" s="1"/>
  <c r="FD6" i="71" s="1"/>
  <c r="FE6" i="71" s="1"/>
  <c r="FF6" i="71" s="1"/>
  <c r="FG6" i="71" s="1"/>
  <c r="FH6" i="71" s="1"/>
  <c r="FI6" i="71" s="1"/>
  <c r="FJ6" i="71" s="1"/>
  <c r="EX45" i="71"/>
  <c r="EX4" i="71"/>
  <c r="EX31" i="71"/>
  <c r="EY5" i="71"/>
  <c r="EX6" i="71"/>
  <c r="EY31" i="71"/>
  <c r="DB168" i="71"/>
  <c r="DB174" i="71" s="1"/>
  <c r="EX5" i="71"/>
  <c r="DH45" i="71"/>
  <c r="EY45" i="71" s="1"/>
  <c r="EY26" i="71"/>
  <c r="DA216" i="71"/>
  <c r="DI4" i="71"/>
  <c r="DH29" i="71"/>
  <c r="DI29" i="71" s="1"/>
  <c r="DJ29" i="71" s="1"/>
  <c r="EX28" i="71"/>
  <c r="DH27" i="71"/>
  <c r="EY27" i="71" s="1"/>
  <c r="EX26" i="71"/>
  <c r="DB150" i="71"/>
  <c r="DB155" i="71" s="1"/>
  <c r="EX29" i="71"/>
  <c r="CZ168" i="71"/>
  <c r="CZ174" i="71" s="1"/>
  <c r="CY214" i="71"/>
  <c r="CY208" i="71"/>
  <c r="DA168" i="71"/>
  <c r="DA174" i="71" s="1"/>
  <c r="CZ150" i="71"/>
  <c r="CZ155" i="71" s="1"/>
  <c r="DA150" i="71"/>
  <c r="DA155" i="71" s="1"/>
  <c r="CJ67" i="71"/>
  <c r="CJ70" i="71" s="1"/>
  <c r="CJ72" i="71" s="1"/>
  <c r="CJ73" i="71" s="1"/>
  <c r="CM90" i="71"/>
  <c r="CP66" i="71"/>
  <c r="CN90" i="71"/>
  <c r="CP90" i="71"/>
  <c r="CP79" i="71"/>
  <c r="CI67" i="71"/>
  <c r="CI70" i="71" s="1"/>
  <c r="CI72" i="71" s="1"/>
  <c r="CI73" i="71" s="1"/>
  <c r="CI80" i="71" s="1"/>
  <c r="CK68" i="71"/>
  <c r="ES68" i="71" s="1"/>
  <c r="CK71" i="71"/>
  <c r="ES71" i="71" s="1"/>
  <c r="CO71" i="71"/>
  <c r="ET71" i="71" s="1"/>
  <c r="CK64" i="71"/>
  <c r="CK79" i="71" s="1"/>
  <c r="CO64" i="71"/>
  <c r="CO68" i="71"/>
  <c r="ET68" i="71" s="1"/>
  <c r="CL61" i="71"/>
  <c r="CL63" i="71" s="1"/>
  <c r="CL67" i="71" s="1"/>
  <c r="CL70" i="71" s="1"/>
  <c r="CL72" i="71" s="1"/>
  <c r="CL73" i="71" s="1"/>
  <c r="CM61" i="71"/>
  <c r="CN61" i="71"/>
  <c r="CP61" i="71"/>
  <c r="CK54" i="71"/>
  <c r="CO54" i="71"/>
  <c r="CV61" i="71"/>
  <c r="CV63" i="71" s="1"/>
  <c r="CV94" i="71" s="1"/>
  <c r="CV68" i="71"/>
  <c r="CZ68" i="71"/>
  <c r="CZ66" i="71"/>
  <c r="EU24" i="71"/>
  <c r="EU23" i="71"/>
  <c r="EU22" i="71"/>
  <c r="EU21" i="71"/>
  <c r="EU19" i="71"/>
  <c r="EU14" i="71"/>
  <c r="EU11" i="71"/>
  <c r="EU10" i="71"/>
  <c r="EU7" i="71"/>
  <c r="EU6" i="71"/>
  <c r="EU5" i="71"/>
  <c r="EU4" i="71"/>
  <c r="EU3" i="71"/>
  <c r="CX165" i="71"/>
  <c r="CX173" i="71"/>
  <c r="DB176" i="71" s="1"/>
  <c r="CX163" i="71"/>
  <c r="CX152" i="71"/>
  <c r="CX145" i="71"/>
  <c r="CX144" i="71" s="1"/>
  <c r="CY173" i="71"/>
  <c r="DC176" i="71" s="1"/>
  <c r="CY165" i="71"/>
  <c r="CY163" i="71"/>
  <c r="CY152" i="71"/>
  <c r="CY145" i="71"/>
  <c r="FE68" i="71"/>
  <c r="FD68" i="71"/>
  <c r="FC68" i="71"/>
  <c r="FB68" i="71"/>
  <c r="FA68" i="71"/>
  <c r="EV64" i="71"/>
  <c r="EV74" i="71"/>
  <c r="EV71" i="71"/>
  <c r="EV62" i="71"/>
  <c r="EV65" i="71"/>
  <c r="EV78" i="71" s="1"/>
  <c r="EW24" i="71"/>
  <c r="EW23" i="71"/>
  <c r="EW22" i="71"/>
  <c r="EW21" i="71"/>
  <c r="EW20" i="71"/>
  <c r="EV7" i="71"/>
  <c r="EV24" i="71"/>
  <c r="EV23" i="71"/>
  <c r="EV22" i="71"/>
  <c r="EV21" i="71"/>
  <c r="EV20" i="71"/>
  <c r="EV19" i="71"/>
  <c r="EV14" i="71"/>
  <c r="EV11" i="71"/>
  <c r="EV10" i="71"/>
  <c r="EV6" i="71"/>
  <c r="EV5" i="71"/>
  <c r="EV4" i="71"/>
  <c r="EV3" i="71"/>
  <c r="CX91" i="71"/>
  <c r="CW91" i="71"/>
  <c r="CV91" i="71"/>
  <c r="CU91" i="71"/>
  <c r="CX90" i="71"/>
  <c r="CW90" i="71"/>
  <c r="CV90" i="71"/>
  <c r="CU90" i="71"/>
  <c r="CY91" i="71"/>
  <c r="CY90" i="71"/>
  <c r="CX89" i="71"/>
  <c r="CW89" i="71"/>
  <c r="CV89" i="71"/>
  <c r="CU89" i="71"/>
  <c r="CY89" i="71"/>
  <c r="CX88" i="71"/>
  <c r="CW88" i="71"/>
  <c r="CV88" i="71"/>
  <c r="CU88" i="71"/>
  <c r="CY88" i="71"/>
  <c r="DC91" i="71"/>
  <c r="DF91" i="71"/>
  <c r="DE91" i="71"/>
  <c r="DD91" i="71"/>
  <c r="DC90" i="71"/>
  <c r="DF90" i="71"/>
  <c r="DA90" i="71"/>
  <c r="CZ90" i="71"/>
  <c r="DC89" i="71"/>
  <c r="DF89" i="71"/>
  <c r="DE89" i="71"/>
  <c r="CZ89" i="71"/>
  <c r="DC88" i="71"/>
  <c r="DF88" i="71"/>
  <c r="DE88" i="71"/>
  <c r="DD88" i="71"/>
  <c r="DJ47" i="71"/>
  <c r="DI47" i="71"/>
  <c r="DJ18" i="71"/>
  <c r="DI18" i="71"/>
  <c r="DJ19" i="71"/>
  <c r="DJ36" i="71"/>
  <c r="DJ35" i="71"/>
  <c r="DJ14" i="71"/>
  <c r="DI14" i="71"/>
  <c r="DJ12" i="71"/>
  <c r="DI12" i="71"/>
  <c r="DC85" i="71"/>
  <c r="CX86" i="71"/>
  <c r="CW86" i="71"/>
  <c r="CV86" i="71"/>
  <c r="CU86" i="71"/>
  <c r="CY86" i="71"/>
  <c r="CX85" i="71"/>
  <c r="CW85" i="71"/>
  <c r="CV85" i="71"/>
  <c r="CU85" i="71"/>
  <c r="CY85" i="71"/>
  <c r="DC81" i="71"/>
  <c r="DC82" i="71"/>
  <c r="DB82" i="71"/>
  <c r="CZ82" i="71"/>
  <c r="DC84" i="71"/>
  <c r="DF84" i="71"/>
  <c r="DE84" i="71"/>
  <c r="CZ84" i="71"/>
  <c r="CZ81" i="71"/>
  <c r="CZ78" i="71"/>
  <c r="CX84" i="71"/>
  <c r="CW84" i="71"/>
  <c r="CV84" i="71"/>
  <c r="CU84" i="71"/>
  <c r="CY84" i="71"/>
  <c r="DC83" i="71"/>
  <c r="DF83" i="71"/>
  <c r="DE83" i="71"/>
  <c r="CZ83" i="71"/>
  <c r="CU87" i="71"/>
  <c r="CU83" i="71"/>
  <c r="CU82" i="71"/>
  <c r="CU81" i="71"/>
  <c r="CU79" i="71"/>
  <c r="CU78" i="71"/>
  <c r="CQ66" i="71"/>
  <c r="CU47" i="71"/>
  <c r="CQ61" i="71"/>
  <c r="CQ63" i="71" s="1"/>
  <c r="CQ94" i="71" s="1"/>
  <c r="CX87" i="71"/>
  <c r="CW87" i="71"/>
  <c r="CV87" i="71"/>
  <c r="CY87" i="71"/>
  <c r="DC87" i="71"/>
  <c r="CZ87" i="71"/>
  <c r="CV83" i="71"/>
  <c r="CV82" i="71"/>
  <c r="CV81" i="71"/>
  <c r="CV79" i="71"/>
  <c r="CV78" i="71"/>
  <c r="CR68" i="71"/>
  <c r="EU68" i="71" s="1"/>
  <c r="CR66" i="71"/>
  <c r="CX83" i="71"/>
  <c r="CW83" i="71"/>
  <c r="CY83" i="71"/>
  <c r="CX82" i="71"/>
  <c r="CW82" i="71"/>
  <c r="CY82" i="71"/>
  <c r="CX81" i="71"/>
  <c r="CW81" i="71"/>
  <c r="CY81" i="71"/>
  <c r="CX79" i="71"/>
  <c r="CW79" i="71"/>
  <c r="CY79" i="71"/>
  <c r="CX78" i="71"/>
  <c r="CW78" i="71"/>
  <c r="CY78" i="71"/>
  <c r="CW66" i="71"/>
  <c r="CV66" i="71"/>
  <c r="CU66" i="71"/>
  <c r="CT66" i="71"/>
  <c r="CS66" i="71"/>
  <c r="CX68" i="71"/>
  <c r="CX66" i="71"/>
  <c r="CX61" i="71"/>
  <c r="CW61" i="71"/>
  <c r="CW63" i="71" s="1"/>
  <c r="CW94" i="71" s="1"/>
  <c r="CT61" i="71"/>
  <c r="CT63" i="71" s="1"/>
  <c r="CT94" i="71" s="1"/>
  <c r="CS61" i="71"/>
  <c r="CS63" i="71" s="1"/>
  <c r="CS94" i="71" s="1"/>
  <c r="CR61" i="71"/>
  <c r="CR63" i="71" s="1"/>
  <c r="CR94" i="71" s="1"/>
  <c r="CU68" i="71"/>
  <c r="CY68" i="71"/>
  <c r="CY66" i="71"/>
  <c r="CY61" i="71"/>
  <c r="CY63" i="71" s="1"/>
  <c r="CY94" i="71" s="1"/>
  <c r="BZ81" i="71"/>
  <c r="BV83" i="71"/>
  <c r="BR11" i="71"/>
  <c r="BR47" i="71"/>
  <c r="BZ88" i="71"/>
  <c r="BZ89" i="71"/>
  <c r="BR54" i="71"/>
  <c r="BZ92" i="71"/>
  <c r="BY82" i="71"/>
  <c r="BY83" i="71"/>
  <c r="BQ11" i="71"/>
  <c r="BQ47" i="71"/>
  <c r="BY88" i="71"/>
  <c r="BY89" i="71"/>
  <c r="BQ54" i="71"/>
  <c r="BU92" i="71"/>
  <c r="BX81" i="71"/>
  <c r="BX82" i="71"/>
  <c r="BX83" i="71"/>
  <c r="BT11" i="71"/>
  <c r="BX88" i="71"/>
  <c r="BX89" i="71"/>
  <c r="BX92" i="71"/>
  <c r="BW81" i="71"/>
  <c r="BW82" i="71"/>
  <c r="BW83" i="71"/>
  <c r="BS11" i="71"/>
  <c r="BW88" i="71"/>
  <c r="BW89" i="71"/>
  <c r="BW92" i="71"/>
  <c r="BY78" i="71"/>
  <c r="BX78" i="71"/>
  <c r="BW78" i="71"/>
  <c r="BY79" i="71"/>
  <c r="BX79" i="71"/>
  <c r="BW79" i="71"/>
  <c r="BZ79" i="71"/>
  <c r="EO22" i="71"/>
  <c r="EP22" i="71" s="1"/>
  <c r="EQ22" i="71" s="1"/>
  <c r="ER22" i="71" s="1"/>
  <c r="ES22" i="71" s="1"/>
  <c r="ET22" i="71" s="1"/>
  <c r="FN76" i="71"/>
  <c r="BM82" i="71"/>
  <c r="BL82" i="71"/>
  <c r="BK82" i="71"/>
  <c r="BS82" i="71"/>
  <c r="BR82" i="71"/>
  <c r="BQ82" i="71"/>
  <c r="BP82" i="71"/>
  <c r="BO82" i="71"/>
  <c r="BN82" i="71"/>
  <c r="BT83" i="71"/>
  <c r="BL83" i="71"/>
  <c r="BK83" i="71"/>
  <c r="BR83" i="71"/>
  <c r="BQ83" i="71"/>
  <c r="BP83" i="71"/>
  <c r="BO83" i="71"/>
  <c r="BN83" i="71"/>
  <c r="BM83" i="71"/>
  <c r="BS83" i="71"/>
  <c r="BS81" i="71"/>
  <c r="BS92" i="71"/>
  <c r="BS89" i="71"/>
  <c r="BS88" i="71"/>
  <c r="BS79" i="71"/>
  <c r="BS78" i="71"/>
  <c r="BG54" i="71"/>
  <c r="BG109" i="71" s="1"/>
  <c r="BM54" i="71"/>
  <c r="BL54" i="71"/>
  <c r="BK54" i="71"/>
  <c r="BJ54" i="71"/>
  <c r="BJ109" i="71" s="1"/>
  <c r="BI54" i="71"/>
  <c r="BI109" i="71" s="1"/>
  <c r="BN54" i="71"/>
  <c r="BO54" i="71"/>
  <c r="BP54" i="71"/>
  <c r="EY78" i="71"/>
  <c r="EX78" i="71"/>
  <c r="EU78" i="71"/>
  <c r="ET78" i="71"/>
  <c r="ES78" i="71"/>
  <c r="ER78" i="71"/>
  <c r="EQ78" i="71"/>
  <c r="EP78" i="71"/>
  <c r="EN56" i="71"/>
  <c r="EO56" i="71" s="1"/>
  <c r="EP56" i="71" s="1"/>
  <c r="EQ56" i="71" s="1"/>
  <c r="EN58" i="71"/>
  <c r="EO58" i="71" s="1"/>
  <c r="EP58" i="71" s="1"/>
  <c r="EQ58" i="71" s="1"/>
  <c r="EM58" i="71"/>
  <c r="EL58" i="71"/>
  <c r="EV2" i="71"/>
  <c r="EW2" i="71" s="1"/>
  <c r="EX2" i="71" s="1"/>
  <c r="EY2" i="71" s="1"/>
  <c r="EZ2" i="71" s="1"/>
  <c r="FA2" i="71" s="1"/>
  <c r="FB2" i="71" s="1"/>
  <c r="FC2" i="71" s="1"/>
  <c r="FD2" i="71" s="1"/>
  <c r="FE2" i="71" s="1"/>
  <c r="FF2" i="71" s="1"/>
  <c r="FG2" i="71" s="1"/>
  <c r="FH2" i="71" s="1"/>
  <c r="FI2" i="71" s="1"/>
  <c r="FJ2" i="71" s="1"/>
  <c r="EN29" i="71"/>
  <c r="EO29" i="71" s="1"/>
  <c r="EP29" i="71" s="1"/>
  <c r="EQ29" i="71" s="1"/>
  <c r="EN74" i="71"/>
  <c r="EO74" i="71" s="1"/>
  <c r="EP74" i="71" s="1"/>
  <c r="EQ74" i="71" s="1"/>
  <c r="EM74" i="71"/>
  <c r="EN65" i="71"/>
  <c r="EM64" i="71"/>
  <c r="EM62" i="71"/>
  <c r="EN62" i="71"/>
  <c r="EN60" i="71"/>
  <c r="EO60" i="71" s="1"/>
  <c r="EN57" i="71"/>
  <c r="EN55" i="71"/>
  <c r="EO55" i="71" s="1"/>
  <c r="EP55" i="71" s="1"/>
  <c r="EQ55" i="71" s="1"/>
  <c r="EN51" i="71"/>
  <c r="EO51" i="71" s="1"/>
  <c r="EP51" i="71" s="1"/>
  <c r="EQ51" i="71" s="1"/>
  <c r="EN48" i="71"/>
  <c r="EO48" i="71" s="1"/>
  <c r="EP48" i="71" s="1"/>
  <c r="EQ48" i="71" s="1"/>
  <c r="EN24" i="71"/>
  <c r="EN45" i="71"/>
  <c r="EN18" i="71"/>
  <c r="EN22" i="71"/>
  <c r="EN16" i="71"/>
  <c r="EN34" i="71"/>
  <c r="EN12" i="71"/>
  <c r="EN33" i="71"/>
  <c r="EN10" i="71"/>
  <c r="EN6" i="71"/>
  <c r="EN4" i="71"/>
  <c r="EM3" i="71"/>
  <c r="EN3" i="71"/>
  <c r="BQ211" i="71"/>
  <c r="BR211" i="71" s="1"/>
  <c r="BP183" i="71"/>
  <c r="BP182" i="71" s="1"/>
  <c r="BP210" i="71"/>
  <c r="BQ210" i="71" s="1"/>
  <c r="BR210" i="71" s="1"/>
  <c r="BP204" i="71"/>
  <c r="BQ204" i="71" s="1"/>
  <c r="BR204" i="71" s="1"/>
  <c r="BP202" i="71"/>
  <c r="BQ202" i="71" s="1"/>
  <c r="BP199" i="71"/>
  <c r="BQ199" i="71" s="1"/>
  <c r="BR199" i="71" s="1"/>
  <c r="BP198" i="71"/>
  <c r="BQ198" i="71" s="1"/>
  <c r="BR198" i="71" s="1"/>
  <c r="BP197" i="71"/>
  <c r="BQ197" i="71" s="1"/>
  <c r="BR197" i="71" s="1"/>
  <c r="BP196" i="71"/>
  <c r="BQ196" i="71" s="1"/>
  <c r="BR196" i="71" s="1"/>
  <c r="BP195" i="71"/>
  <c r="BQ195" i="71" s="1"/>
  <c r="BR195" i="71" s="1"/>
  <c r="BP194" i="71"/>
  <c r="BQ194" i="71" s="1"/>
  <c r="BR194" i="71" s="1"/>
  <c r="BP193" i="71"/>
  <c r="BQ193" i="71" s="1"/>
  <c r="BR193" i="71" s="1"/>
  <c r="BP190" i="71"/>
  <c r="BQ190" i="71" s="1"/>
  <c r="BR190" i="71" s="1"/>
  <c r="BP189" i="71"/>
  <c r="BQ189" i="71" s="1"/>
  <c r="BR189" i="71" s="1"/>
  <c r="BP188" i="71"/>
  <c r="BQ188" i="71" s="1"/>
  <c r="BO191" i="71"/>
  <c r="BP191" i="71" s="1"/>
  <c r="BQ191" i="71" s="1"/>
  <c r="BR191" i="71" s="1"/>
  <c r="BN184" i="71"/>
  <c r="BM184" i="71"/>
  <c r="BL184" i="71"/>
  <c r="BK184" i="71"/>
  <c r="BJ184" i="71"/>
  <c r="BO180" i="71"/>
  <c r="BN180" i="71"/>
  <c r="BO182" i="71"/>
  <c r="BN182" i="71"/>
  <c r="BM182" i="71"/>
  <c r="BJ180" i="71"/>
  <c r="BJ152" i="71"/>
  <c r="BJ145" i="71"/>
  <c r="BJ150" i="71" s="1"/>
  <c r="BJ173" i="71"/>
  <c r="BJ163" i="71"/>
  <c r="BJ168" i="71" s="1"/>
  <c r="BK180" i="71"/>
  <c r="BK152" i="71"/>
  <c r="BK145" i="71"/>
  <c r="BK150" i="71" s="1"/>
  <c r="BK173" i="71"/>
  <c r="BK163" i="71"/>
  <c r="BK168" i="71" s="1"/>
  <c r="BL180" i="71"/>
  <c r="BL152" i="71"/>
  <c r="BL145" i="71"/>
  <c r="BL150" i="71" s="1"/>
  <c r="BL173" i="71"/>
  <c r="BL163" i="71"/>
  <c r="BL168" i="71" s="1"/>
  <c r="BM180" i="71"/>
  <c r="BM152" i="71"/>
  <c r="BM173" i="71"/>
  <c r="BM163" i="71"/>
  <c r="BM168" i="71" s="1"/>
  <c r="BM145" i="71"/>
  <c r="BM141" i="71" s="1"/>
  <c r="BP180" i="71"/>
  <c r="BR180" i="71"/>
  <c r="BR152" i="71"/>
  <c r="BR173" i="71"/>
  <c r="BR163" i="71"/>
  <c r="BR168" i="71" s="1"/>
  <c r="BR145" i="71"/>
  <c r="BR150" i="71" s="1"/>
  <c r="BP64" i="71"/>
  <c r="EN64" i="71" s="1"/>
  <c r="BT92" i="71"/>
  <c r="BT89" i="71"/>
  <c r="BT88" i="71"/>
  <c r="BQ180" i="71"/>
  <c r="BQ173" i="71"/>
  <c r="BQ163" i="71"/>
  <c r="BQ168" i="71" s="1"/>
  <c r="BQ152" i="71"/>
  <c r="BQ145" i="71"/>
  <c r="BQ141" i="71" s="1"/>
  <c r="BT81" i="71"/>
  <c r="BT82" i="71"/>
  <c r="BT78" i="71"/>
  <c r="BO184" i="71"/>
  <c r="EM60" i="71"/>
  <c r="EM116" i="71" s="1"/>
  <c r="EM228" i="71" s="1"/>
  <c r="EM57" i="71"/>
  <c r="EM56" i="71"/>
  <c r="EM55" i="71"/>
  <c r="EM51" i="71"/>
  <c r="EM48" i="71"/>
  <c r="EL29" i="71"/>
  <c r="EL24" i="71"/>
  <c r="EM29" i="71"/>
  <c r="EM37" i="71"/>
  <c r="EM24" i="71"/>
  <c r="EM45" i="71"/>
  <c r="EM22" i="71"/>
  <c r="EM18" i="71"/>
  <c r="EM16" i="71"/>
  <c r="EM34" i="71"/>
  <c r="EM12" i="71"/>
  <c r="BN152" i="71"/>
  <c r="BN145" i="71"/>
  <c r="BN150" i="71" s="1"/>
  <c r="BN173" i="71"/>
  <c r="BN163" i="71"/>
  <c r="BN168" i="71" s="1"/>
  <c r="BP173" i="71"/>
  <c r="BP163" i="71"/>
  <c r="BP168" i="71" s="1"/>
  <c r="BP152" i="71"/>
  <c r="BP145" i="71"/>
  <c r="BP150" i="71" s="1"/>
  <c r="EM21" i="71"/>
  <c r="EM33" i="71"/>
  <c r="EL33" i="71"/>
  <c r="EL21" i="71"/>
  <c r="EM10" i="71"/>
  <c r="EL10" i="71"/>
  <c r="EM6" i="71"/>
  <c r="EL6" i="71"/>
  <c r="EM4" i="71"/>
  <c r="EL4" i="71"/>
  <c r="BN69" i="71"/>
  <c r="EM69" i="71" s="1"/>
  <c r="BN47" i="71"/>
  <c r="BP47" i="71"/>
  <c r="BO69" i="71"/>
  <c r="EN69" i="71" s="1"/>
  <c r="BO47" i="71"/>
  <c r="BO11" i="71"/>
  <c r="BO173" i="71"/>
  <c r="BO163" i="71"/>
  <c r="BO168" i="71" s="1"/>
  <c r="BO152" i="71"/>
  <c r="BO145" i="71"/>
  <c r="BO150" i="71" s="1"/>
  <c r="BP11" i="71"/>
  <c r="BN11" i="71"/>
  <c r="EL3" i="71"/>
  <c r="BP89" i="71"/>
  <c r="BN89" i="71"/>
  <c r="BN88" i="71"/>
  <c r="BP92" i="71"/>
  <c r="BN92" i="71"/>
  <c r="BP81" i="71"/>
  <c r="BN81" i="71"/>
  <c r="BL79" i="71"/>
  <c r="BK79" i="71"/>
  <c r="BJ79" i="71"/>
  <c r="BI79" i="71"/>
  <c r="BH79" i="71"/>
  <c r="BG79" i="71"/>
  <c r="BF79" i="71"/>
  <c r="BE79" i="71"/>
  <c r="BD79" i="71"/>
  <c r="BM79" i="71"/>
  <c r="BQ78" i="71"/>
  <c r="BG78" i="71"/>
  <c r="BF78" i="71"/>
  <c r="BE78" i="71"/>
  <c r="BD78" i="71"/>
  <c r="BL78" i="71"/>
  <c r="BK78" i="71"/>
  <c r="BJ78" i="71"/>
  <c r="BI78" i="71"/>
  <c r="BH78" i="71"/>
  <c r="BM78" i="71"/>
  <c r="BP78" i="71"/>
  <c r="BO78" i="71"/>
  <c r="BQ79" i="71"/>
  <c r="BO79" i="71"/>
  <c r="BO92" i="71"/>
  <c r="BR89" i="71"/>
  <c r="BQ89" i="71"/>
  <c r="BR88" i="71"/>
  <c r="BP88" i="71"/>
  <c r="BO88" i="71"/>
  <c r="BM89" i="71"/>
  <c r="BM88" i="71"/>
  <c r="BM81" i="71"/>
  <c r="BM92" i="71"/>
  <c r="BK81" i="71"/>
  <c r="BK68" i="71"/>
  <c r="BG47" i="71"/>
  <c r="BI11" i="71"/>
  <c r="BI47" i="71" s="1"/>
  <c r="BM68" i="71"/>
  <c r="BO81" i="71"/>
  <c r="BQ81" i="71"/>
  <c r="BQ88" i="71"/>
  <c r="BQ92" i="71"/>
  <c r="BO89" i="71"/>
  <c r="BM47" i="71"/>
  <c r="BM11" i="71"/>
  <c r="BL92" i="71"/>
  <c r="BK92" i="71"/>
  <c r="BL89" i="71"/>
  <c r="BK89" i="71"/>
  <c r="BL88" i="71"/>
  <c r="BK88" i="71"/>
  <c r="EK3" i="71"/>
  <c r="EJ3" i="71"/>
  <c r="BL71" i="71"/>
  <c r="EM71" i="71" s="1"/>
  <c r="BL81" i="71"/>
  <c r="BL47" i="71"/>
  <c r="BL11" i="71"/>
  <c r="BK11" i="71"/>
  <c r="EL74" i="71"/>
  <c r="EL65" i="71"/>
  <c r="EL64" i="71"/>
  <c r="EL127" i="71"/>
  <c r="EM65" i="71"/>
  <c r="BR78" i="71"/>
  <c r="BN78" i="71"/>
  <c r="BN79" i="71"/>
  <c r="BR79" i="71"/>
  <c r="BJ116" i="71"/>
  <c r="BJ71" i="71"/>
  <c r="EL71" i="71" s="1"/>
  <c r="BJ68" i="71"/>
  <c r="BJ92" i="71"/>
  <c r="BJ91" i="71"/>
  <c r="BJ90" i="71"/>
  <c r="BJ89" i="71"/>
  <c r="BJ88" i="71"/>
  <c r="BJ81" i="71"/>
  <c r="BJ47" i="71"/>
  <c r="BJ102" i="71" s="1"/>
  <c r="BF47" i="71"/>
  <c r="BF102" i="71" s="1"/>
  <c r="EK60" i="71"/>
  <c r="EK116" i="71" s="1"/>
  <c r="EK228" i="71" s="1"/>
  <c r="EK58" i="71"/>
  <c r="EK57" i="71"/>
  <c r="EK56" i="71"/>
  <c r="EK53" i="71"/>
  <c r="EK52" i="71"/>
  <c r="EK51" i="71"/>
  <c r="EK48" i="71"/>
  <c r="EK18" i="71"/>
  <c r="EK17" i="71"/>
  <c r="EK16" i="71"/>
  <c r="EK34" i="71"/>
  <c r="EK15" i="71"/>
  <c r="EK12" i="71"/>
  <c r="EK21" i="71"/>
  <c r="EK33" i="71"/>
  <c r="EK11" i="71"/>
  <c r="EK10" i="71"/>
  <c r="EK9" i="71"/>
  <c r="EL60" i="71"/>
  <c r="EL116" i="71" s="1"/>
  <c r="EL228" i="71" s="1"/>
  <c r="EL57" i="71"/>
  <c r="EL56" i="71"/>
  <c r="EL53" i="71"/>
  <c r="EM91" i="71" s="1"/>
  <c r="EL52" i="71"/>
  <c r="EM90" i="71" s="1"/>
  <c r="EL51" i="71"/>
  <c r="EL48" i="71"/>
  <c r="EL22" i="71"/>
  <c r="EL37" i="71"/>
  <c r="EL18" i="71"/>
  <c r="EL17" i="71"/>
  <c r="EL16" i="71"/>
  <c r="EL34" i="71"/>
  <c r="EL15" i="71"/>
  <c r="EL12" i="71"/>
  <c r="EL9" i="71"/>
  <c r="BE182" i="71"/>
  <c r="BD182" i="71"/>
  <c r="BH211" i="71"/>
  <c r="BI211" i="71" s="1"/>
  <c r="BH210" i="71"/>
  <c r="BI210" i="71" s="1"/>
  <c r="BH204" i="71"/>
  <c r="BI204" i="71" s="1"/>
  <c r="BH199" i="71"/>
  <c r="BI199" i="71" s="1"/>
  <c r="BH198" i="71"/>
  <c r="BI198" i="71" s="1"/>
  <c r="BH197" i="71"/>
  <c r="BI197" i="71" s="1"/>
  <c r="BH196" i="71"/>
  <c r="BI196" i="71" s="1"/>
  <c r="BH195" i="71"/>
  <c r="BI195" i="71" s="1"/>
  <c r="BH194" i="71"/>
  <c r="BI194" i="71" s="1"/>
  <c r="BH193" i="71"/>
  <c r="BI193" i="71" s="1"/>
  <c r="BH190" i="71"/>
  <c r="BI190" i="71" s="1"/>
  <c r="BH189" i="71"/>
  <c r="BI189" i="71" s="1"/>
  <c r="BH188" i="71"/>
  <c r="BI188" i="71" s="1"/>
  <c r="BH183" i="71"/>
  <c r="BH163" i="71"/>
  <c r="BH168" i="71" s="1"/>
  <c r="BH152" i="71"/>
  <c r="BH145" i="71"/>
  <c r="BH141" i="71" s="1"/>
  <c r="BH173" i="71"/>
  <c r="BH176" i="71" s="1"/>
  <c r="BD204" i="71"/>
  <c r="BE204" i="71" s="1"/>
  <c r="BF204" i="71" s="1"/>
  <c r="BG202" i="71"/>
  <c r="BH202" i="71" s="1"/>
  <c r="BG200" i="71"/>
  <c r="BC184" i="71"/>
  <c r="BF183" i="71"/>
  <c r="BG163" i="71"/>
  <c r="BG168" i="71" s="1"/>
  <c r="BG152" i="71"/>
  <c r="BG145" i="71"/>
  <c r="BG173" i="71"/>
  <c r="BI152" i="71"/>
  <c r="BI145" i="71"/>
  <c r="BI141" i="71" s="1"/>
  <c r="BI173" i="71"/>
  <c r="BI163" i="71"/>
  <c r="BI168" i="71" s="1"/>
  <c r="BI116" i="71"/>
  <c r="BH116" i="71"/>
  <c r="BH109" i="71"/>
  <c r="BI92" i="71"/>
  <c r="BI91" i="71"/>
  <c r="BI90" i="71"/>
  <c r="BI89" i="71"/>
  <c r="BI88" i="71"/>
  <c r="BI81" i="71"/>
  <c r="BH88" i="71"/>
  <c r="BH81" i="71"/>
  <c r="BI68" i="71"/>
  <c r="BH47" i="71"/>
  <c r="BH102" i="71" s="1"/>
  <c r="BR81" i="71"/>
  <c r="BH92" i="71"/>
  <c r="BH91" i="71"/>
  <c r="BH90" i="71"/>
  <c r="BH89" i="71"/>
  <c r="BH68" i="71"/>
  <c r="BG68" i="71"/>
  <c r="BG116" i="71"/>
  <c r="BG92" i="71"/>
  <c r="BG91" i="71"/>
  <c r="BG90" i="71"/>
  <c r="BG89" i="71"/>
  <c r="BG88" i="71"/>
  <c r="BG81" i="71"/>
  <c r="BE116" i="71"/>
  <c r="BF116" i="71"/>
  <c r="BD116" i="71"/>
  <c r="BC116" i="71"/>
  <c r="BC118" i="71" s="1"/>
  <c r="BE109" i="71"/>
  <c r="BF109" i="71"/>
  <c r="BD109" i="71"/>
  <c r="BC109" i="71"/>
  <c r="BC111" i="71" s="1"/>
  <c r="BF173" i="71"/>
  <c r="BF176" i="71" s="1"/>
  <c r="BF163" i="71"/>
  <c r="BF168" i="71" s="1"/>
  <c r="BF152" i="71"/>
  <c r="BF145" i="71"/>
  <c r="BF141" i="71" s="1"/>
  <c r="BF92" i="71"/>
  <c r="BF91" i="71"/>
  <c r="BF90" i="71"/>
  <c r="BF89" i="71"/>
  <c r="BF88" i="71"/>
  <c r="BF81" i="71"/>
  <c r="BF71" i="71"/>
  <c r="BF69"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3" i="71"/>
  <c r="BE176" i="71" s="1"/>
  <c r="BL66" i="9"/>
  <c r="BL68" i="9"/>
  <c r="EK68" i="71"/>
  <c r="EK74" i="71"/>
  <c r="EK236" i="71" s="1"/>
  <c r="EK65" i="71"/>
  <c r="EK64" i="71"/>
  <c r="BD211" i="71"/>
  <c r="BE211" i="71" s="1"/>
  <c r="BF211" i="71" s="1"/>
  <c r="BD210" i="71"/>
  <c r="BE210" i="71" s="1"/>
  <c r="BF210" i="71" s="1"/>
  <c r="BD202" i="71"/>
  <c r="BD184" i="71" s="1"/>
  <c r="BD199" i="71"/>
  <c r="BE199" i="71" s="1"/>
  <c r="BF199" i="71" s="1"/>
  <c r="BD198" i="71"/>
  <c r="BE198" i="71" s="1"/>
  <c r="BF198" i="71" s="1"/>
  <c r="BD197" i="71"/>
  <c r="BE197" i="71" s="1"/>
  <c r="BF197" i="71" s="1"/>
  <c r="BD196" i="71"/>
  <c r="BE196" i="71" s="1"/>
  <c r="BF196" i="71" s="1"/>
  <c r="BD195" i="71"/>
  <c r="BE195" i="71" s="1"/>
  <c r="BF195" i="71" s="1"/>
  <c r="BD194" i="71"/>
  <c r="BE194" i="71" s="1"/>
  <c r="BF194" i="71" s="1"/>
  <c r="BD193" i="71"/>
  <c r="BE193" i="71" s="1"/>
  <c r="BF193" i="71" s="1"/>
  <c r="BD191" i="71"/>
  <c r="BE191" i="71" s="1"/>
  <c r="BF191" i="71" s="1"/>
  <c r="BD190" i="71"/>
  <c r="BE190" i="71" s="1"/>
  <c r="BF190" i="71" s="1"/>
  <c r="BD189" i="71"/>
  <c r="BE189" i="71" s="1"/>
  <c r="BF189" i="71" s="1"/>
  <c r="BD188" i="71"/>
  <c r="BE188" i="71" s="1"/>
  <c r="AT176" i="71"/>
  <c r="AU176" i="71"/>
  <c r="AV176" i="71"/>
  <c r="AW176" i="71"/>
  <c r="AX176" i="71"/>
  <c r="AY176" i="71"/>
  <c r="AZ176" i="71"/>
  <c r="BA176" i="71"/>
  <c r="BB176" i="71"/>
  <c r="BC176" i="71"/>
  <c r="BD176" i="71"/>
  <c r="BD152" i="71"/>
  <c r="BD145" i="71"/>
  <c r="BD141" i="71" s="1"/>
  <c r="BD163" i="71"/>
  <c r="BD168" i="71" s="1"/>
  <c r="BD174" i="71" s="1"/>
  <c r="BE163" i="71"/>
  <c r="BE168" i="71" s="1"/>
  <c r="BE152" i="71"/>
  <c r="BE145" i="71"/>
  <c r="BE150" i="71" s="1"/>
  <c r="BE92" i="71"/>
  <c r="BE91" i="71"/>
  <c r="BE90" i="71"/>
  <c r="BE89" i="71"/>
  <c r="BE88" i="71"/>
  <c r="BE81" i="71"/>
  <c r="BE47" i="71"/>
  <c r="BE102" i="71" s="1"/>
  <c r="S15" i="74"/>
  <c r="S16" i="74"/>
  <c r="BD71" i="71"/>
  <c r="AH89" i="71"/>
  <c r="AG89" i="71"/>
  <c r="AF89" i="71"/>
  <c r="AE89" i="71"/>
  <c r="AO89" i="71"/>
  <c r="AN89" i="71"/>
  <c r="AM89" i="71"/>
  <c r="AL89" i="71"/>
  <c r="AK89" i="71"/>
  <c r="AJ89" i="71"/>
  <c r="AI89" i="71"/>
  <c r="AW89" i="71"/>
  <c r="AV89" i="71"/>
  <c r="AU89" i="71"/>
  <c r="AT89" i="71"/>
  <c r="AS89" i="71"/>
  <c r="AR89" i="71"/>
  <c r="AQ89" i="71"/>
  <c r="AP89" i="71"/>
  <c r="BD47" i="71"/>
  <c r="BD102" i="71" s="1"/>
  <c r="BC81" i="71"/>
  <c r="EL233" i="71"/>
  <c r="EK233" i="71"/>
  <c r="EJ233" i="71"/>
  <c r="EI233" i="71"/>
  <c r="EH233" i="71"/>
  <c r="EG233" i="71"/>
  <c r="EF233" i="71"/>
  <c r="EE233" i="71"/>
  <c r="ED233" i="71"/>
  <c r="EC233" i="71"/>
  <c r="EB233" i="71"/>
  <c r="EA233" i="71"/>
  <c r="DZ233" i="71"/>
  <c r="DY233" i="71"/>
  <c r="DX233" i="71"/>
  <c r="DW233" i="71"/>
  <c r="DV233" i="71"/>
  <c r="DU233" i="71"/>
  <c r="DT233" i="71"/>
  <c r="DS233" i="71"/>
  <c r="DR233" i="71"/>
  <c r="DQ233" i="71"/>
  <c r="EG236" i="71"/>
  <c r="EB236" i="71"/>
  <c r="S14" i="74"/>
  <c r="S13" i="74"/>
  <c r="S12" i="74"/>
  <c r="S11" i="74"/>
  <c r="S10" i="74"/>
  <c r="S9" i="74"/>
  <c r="S8" i="74"/>
  <c r="S7" i="74"/>
  <c r="S6" i="74"/>
  <c r="S5" i="74"/>
  <c r="BD91" i="71"/>
  <c r="BD89" i="71"/>
  <c r="BD81" i="71"/>
  <c r="BD92" i="71"/>
  <c r="BD90" i="71"/>
  <c r="BD88" i="71"/>
  <c r="BC257" i="71"/>
  <c r="BB257" i="71"/>
  <c r="BA257" i="71"/>
  <c r="AZ257" i="71"/>
  <c r="AY257" i="71"/>
  <c r="AX257" i="71"/>
  <c r="AW257" i="71"/>
  <c r="AV257" i="71"/>
  <c r="AU257" i="71"/>
  <c r="AY261" i="71"/>
  <c r="AX261" i="71"/>
  <c r="AU261" i="71"/>
  <c r="AT261" i="71"/>
  <c r="AS261" i="71"/>
  <c r="AR261" i="71"/>
  <c r="AQ261" i="71"/>
  <c r="BC261" i="71"/>
  <c r="AU256" i="71"/>
  <c r="AV256" i="71"/>
  <c r="AW256" i="71"/>
  <c r="AX256" i="71"/>
  <c r="BC256" i="71"/>
  <c r="BB256" i="71"/>
  <c r="BA256" i="71"/>
  <c r="AZ256" i="71"/>
  <c r="AY256" i="71"/>
  <c r="BD256" i="71"/>
  <c r="AY184" i="71"/>
  <c r="BC200" i="71"/>
  <c r="BC217" i="71" s="1"/>
  <c r="BC152" i="71"/>
  <c r="BC145" i="71"/>
  <c r="BC141" i="71" s="1"/>
  <c r="BC163" i="71"/>
  <c r="BC168" i="71" s="1"/>
  <c r="BC174" i="71" s="1"/>
  <c r="BC91" i="71"/>
  <c r="BC90" i="71"/>
  <c r="AU37" i="22"/>
  <c r="AU36" i="22"/>
  <c r="AU34" i="22"/>
  <c r="AU33" i="22"/>
  <c r="AU31" i="22"/>
  <c r="AU30" i="22"/>
  <c r="AU28" i="22"/>
  <c r="AU27" i="22"/>
  <c r="AU24" i="22"/>
  <c r="AU23" i="22"/>
  <c r="AU18" i="22"/>
  <c r="AU50" i="22"/>
  <c r="AU15" i="22"/>
  <c r="AU49" i="22"/>
  <c r="AU12" i="22"/>
  <c r="AU48" i="22"/>
  <c r="AU9" i="22"/>
  <c r="AQ6" i="22"/>
  <c r="AU26" i="22"/>
  <c r="AU3" i="22"/>
  <c r="AU45" i="22"/>
  <c r="AT4" i="22"/>
  <c r="BC71" i="71"/>
  <c r="BC69" i="71"/>
  <c r="BC92" i="71"/>
  <c r="BC89" i="71"/>
  <c r="BC88" i="71"/>
  <c r="BC47" i="71"/>
  <c r="BC102" i="71" s="1"/>
  <c r="AZ188" i="71"/>
  <c r="BA188" i="71" s="1"/>
  <c r="BB188" i="71" s="1"/>
  <c r="AY200" i="71"/>
  <c r="AY217" i="71" s="1"/>
  <c r="BB152" i="71"/>
  <c r="BB145" i="71"/>
  <c r="BB150" i="71" s="1"/>
  <c r="BB163" i="71"/>
  <c r="BB168" i="71" s="1"/>
  <c r="BB174" i="71" s="1"/>
  <c r="BA152" i="71"/>
  <c r="BA145" i="71"/>
  <c r="BA141" i="71" s="1"/>
  <c r="BA163" i="71"/>
  <c r="BA168" i="71" s="1"/>
  <c r="BA174" i="71" s="1"/>
  <c r="EI140" i="71"/>
  <c r="EH140" i="71"/>
  <c r="EJ140" i="71"/>
  <c r="EJ163" i="71"/>
  <c r="EJ168" i="71" s="1"/>
  <c r="EJ152" i="71"/>
  <c r="EJ145" i="71"/>
  <c r="EJ141" i="71" s="1"/>
  <c r="EH127" i="71"/>
  <c r="EI127" i="71"/>
  <c r="EJ127" i="71"/>
  <c r="EJ60" i="71"/>
  <c r="EJ116" i="71" s="1"/>
  <c r="EJ58" i="71"/>
  <c r="EJ57" i="71"/>
  <c r="EJ56" i="71"/>
  <c r="EJ53" i="71"/>
  <c r="EJ52" i="71"/>
  <c r="EJ51" i="71"/>
  <c r="EJ48" i="71"/>
  <c r="BB71" i="71"/>
  <c r="BB69" i="71"/>
  <c r="BB62" i="71"/>
  <c r="BB92" i="71"/>
  <c r="BB91" i="71"/>
  <c r="BB90" i="71"/>
  <c r="BB89" i="71"/>
  <c r="BB88" i="71"/>
  <c r="BB81" i="71"/>
  <c r="BB47" i="71"/>
  <c r="BB61" i="71" s="1"/>
  <c r="BA92" i="71"/>
  <c r="BA91" i="71"/>
  <c r="BA90" i="71"/>
  <c r="BA89" i="71"/>
  <c r="BA88" i="71"/>
  <c r="BA81" i="71"/>
  <c r="BA47" i="71"/>
  <c r="BA61" i="71" s="1"/>
  <c r="BA95" i="71" s="1"/>
  <c r="C55" i="29"/>
  <c r="C56" i="29"/>
  <c r="C57" i="29"/>
  <c r="C58" i="29"/>
  <c r="C59" i="29"/>
  <c r="C60" i="29"/>
  <c r="C61" i="29"/>
  <c r="C62" i="29"/>
  <c r="AZ92" i="71"/>
  <c r="AZ91" i="71"/>
  <c r="AZ90" i="71"/>
  <c r="AZ89" i="71"/>
  <c r="AZ88" i="71"/>
  <c r="AY88" i="71"/>
  <c r="AX88" i="71"/>
  <c r="AY89" i="71"/>
  <c r="AX89" i="71"/>
  <c r="EJ9" i="71"/>
  <c r="AE4" i="40"/>
  <c r="AD4" i="40"/>
  <c r="K4" i="40"/>
  <c r="AC4" i="40"/>
  <c r="G4" i="40"/>
  <c r="AB4" i="40"/>
  <c r="AE3" i="40"/>
  <c r="AD3" i="40"/>
  <c r="AC3" i="40"/>
  <c r="AB3" i="40"/>
  <c r="AZ211" i="71"/>
  <c r="BA211" i="71" s="1"/>
  <c r="BB211" i="71" s="1"/>
  <c r="AZ210" i="71"/>
  <c r="BA210" i="71" s="1"/>
  <c r="BB210" i="71" s="1"/>
  <c r="AZ204" i="71"/>
  <c r="BA204" i="71" s="1"/>
  <c r="BB204" i="71" s="1"/>
  <c r="AZ202" i="71"/>
  <c r="BA202" i="71" s="1"/>
  <c r="BB202" i="71" s="1"/>
  <c r="BB184" i="71" s="1"/>
  <c r="AZ199" i="71"/>
  <c r="BA199" i="71" s="1"/>
  <c r="BB199" i="71" s="1"/>
  <c r="AZ198" i="71"/>
  <c r="BA198" i="71" s="1"/>
  <c r="BB198" i="71" s="1"/>
  <c r="AZ197" i="71"/>
  <c r="BA197" i="71" s="1"/>
  <c r="BB197" i="71" s="1"/>
  <c r="AZ196" i="71"/>
  <c r="AZ195" i="71"/>
  <c r="BA195" i="71" s="1"/>
  <c r="BB195" i="71" s="1"/>
  <c r="AZ194" i="71"/>
  <c r="BA194" i="71" s="1"/>
  <c r="BB194" i="71" s="1"/>
  <c r="AZ193" i="71"/>
  <c r="BA193" i="71" s="1"/>
  <c r="BB193" i="71" s="1"/>
  <c r="AZ190" i="71"/>
  <c r="BA190" i="71" s="1"/>
  <c r="AZ189" i="71"/>
  <c r="BA189" i="71" s="1"/>
  <c r="BB189" i="71" s="1"/>
  <c r="AZ163" i="71"/>
  <c r="AZ168" i="71" s="1"/>
  <c r="AZ174" i="71" s="1"/>
  <c r="AZ152" i="71"/>
  <c r="AZ145" i="71"/>
  <c r="AZ141" i="71" s="1"/>
  <c r="AS204" i="71"/>
  <c r="AT204" i="71" s="1"/>
  <c r="AR211" i="71"/>
  <c r="AS211" i="71" s="1"/>
  <c r="AT211" i="71" s="1"/>
  <c r="AR210" i="71"/>
  <c r="AS210" i="71" s="1"/>
  <c r="AT210" i="71" s="1"/>
  <c r="AU204" i="71"/>
  <c r="AV204" i="71" s="1"/>
  <c r="AW204" i="71" s="1"/>
  <c r="AX204" i="71" s="1"/>
  <c r="AV211" i="71"/>
  <c r="AW211" i="71" s="1"/>
  <c r="AX211" i="71" s="1"/>
  <c r="AV210" i="71"/>
  <c r="AW210" i="71" s="1"/>
  <c r="AX210" i="71" s="1"/>
  <c r="AV183" i="71"/>
  <c r="AW183" i="71" s="1"/>
  <c r="AX183" i="71" s="1"/>
  <c r="AY145" i="71"/>
  <c r="AY150" i="71" s="1"/>
  <c r="AW163" i="71"/>
  <c r="AW168" i="71" s="1"/>
  <c r="AW174" i="71" s="1"/>
  <c r="AW152" i="71"/>
  <c r="AW145" i="71"/>
  <c r="AW141" i="71" s="1"/>
  <c r="AX152" i="71"/>
  <c r="AX145" i="71"/>
  <c r="AX141" i="71" s="1"/>
  <c r="AX163" i="71"/>
  <c r="AX168" i="71" s="1"/>
  <c r="AX174" i="71" s="1"/>
  <c r="AY163" i="71"/>
  <c r="AY168" i="71" s="1"/>
  <c r="AY174" i="71" s="1"/>
  <c r="AY152" i="71"/>
  <c r="EG145" i="71"/>
  <c r="EG150" i="71" s="1"/>
  <c r="AM145" i="71"/>
  <c r="AM150" i="71" s="1"/>
  <c r="BB116" i="71"/>
  <c r="BA116" i="71"/>
  <c r="EJ68" i="71"/>
  <c r="AZ47" i="71"/>
  <c r="AZ61" i="71" s="1"/>
  <c r="AZ63" i="71" s="1"/>
  <c r="AZ94"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6" i="71"/>
  <c r="AZ252" i="71" s="1"/>
  <c r="AZ109" i="71"/>
  <c r="DY17" i="71"/>
  <c r="DW33" i="71"/>
  <c r="DV33"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5" i="71"/>
  <c r="L105" i="71"/>
  <c r="M105" i="71"/>
  <c r="N105" i="71"/>
  <c r="O105" i="71"/>
  <c r="P105" i="71"/>
  <c r="Q105" i="71"/>
  <c r="R105" i="71"/>
  <c r="E2" i="45"/>
  <c r="F2" i="45"/>
  <c r="G2" i="45"/>
  <c r="H2" i="45"/>
  <c r="I2" i="45"/>
  <c r="J2" i="45"/>
  <c r="K2" i="45"/>
  <c r="L2" i="45"/>
  <c r="M2" i="45"/>
  <c r="N2" i="45"/>
  <c r="O2" i="45"/>
  <c r="P2" i="45"/>
  <c r="Q2" i="45"/>
  <c r="R2" i="45"/>
  <c r="S2" i="45"/>
  <c r="T2" i="45"/>
  <c r="U2" i="45"/>
  <c r="V2" i="45"/>
  <c r="W2" i="45"/>
  <c r="X2" i="45"/>
  <c r="S105" i="71"/>
  <c r="T105" i="71"/>
  <c r="U105" i="71"/>
  <c r="V105" i="71"/>
  <c r="W105" i="71"/>
  <c r="X105" i="71"/>
  <c r="Y105" i="71"/>
  <c r="S69" i="71"/>
  <c r="M65" i="9"/>
  <c r="EE60" i="71"/>
  <c r="EE58" i="71"/>
  <c r="EE57" i="71"/>
  <c r="EE51" i="71"/>
  <c r="EE52" i="71"/>
  <c r="EE53" i="71"/>
  <c r="EF60" i="71"/>
  <c r="EF116" i="71" s="1"/>
  <c r="EF58" i="71"/>
  <c r="EF57" i="71"/>
  <c r="EF48" i="71"/>
  <c r="EF51" i="71"/>
  <c r="EF52" i="71"/>
  <c r="EF53" i="71"/>
  <c r="EE48" i="71"/>
  <c r="EA47" i="71"/>
  <c r="EB47" i="71"/>
  <c r="EC47" i="71"/>
  <c r="ED47" i="71"/>
  <c r="ED60" i="71"/>
  <c r="ED59" i="71"/>
  <c r="ED58" i="71"/>
  <c r="ED57" i="71"/>
  <c r="ED53" i="71"/>
  <c r="ED52" i="71"/>
  <c r="ED51" i="71"/>
  <c r="ED48" i="71"/>
  <c r="EC59" i="71"/>
  <c r="EC58" i="71"/>
  <c r="EC57" i="71"/>
  <c r="EC53" i="71"/>
  <c r="EC52" i="71"/>
  <c r="EC51" i="71"/>
  <c r="EC48" i="71"/>
  <c r="S48" i="71"/>
  <c r="EB48" i="71" s="1"/>
  <c r="R48" i="71"/>
  <c r="Q48" i="71"/>
  <c r="P48" i="71"/>
  <c r="O48" i="71"/>
  <c r="AN17" i="71"/>
  <c r="AM17" i="71"/>
  <c r="AL17" i="71"/>
  <c r="AL39" i="71"/>
  <c r="AK39" i="71"/>
  <c r="AJ39" i="71"/>
  <c r="AI39" i="71"/>
  <c r="AH39" i="71"/>
  <c r="AG39" i="71"/>
  <c r="AF39" i="71"/>
  <c r="AE39" i="71"/>
  <c r="AD39" i="71"/>
  <c r="AC39" i="71"/>
  <c r="AB39" i="71"/>
  <c r="AA39" i="71"/>
  <c r="Z39" i="71"/>
  <c r="Y39" i="71"/>
  <c r="X39" i="71"/>
  <c r="W39" i="71"/>
  <c r="V39" i="71"/>
  <c r="U39" i="71"/>
  <c r="T39" i="71"/>
  <c r="S39" i="71"/>
  <c r="AN8" i="71"/>
  <c r="AM8" i="71"/>
  <c r="AL8" i="71"/>
  <c r="S8" i="71"/>
  <c r="R8" i="71"/>
  <c r="Q8" i="71"/>
  <c r="P8" i="71"/>
  <c r="O8" i="71"/>
  <c r="AN3" i="71"/>
  <c r="AR81" i="71" s="1"/>
  <c r="AM3" i="71"/>
  <c r="AQ81" i="71" s="1"/>
  <c r="AL3" i="71"/>
  <c r="AP81" i="71" s="1"/>
  <c r="AK3" i="71"/>
  <c r="AO81" i="71" s="1"/>
  <c r="AJ3" i="71"/>
  <c r="AI3" i="71"/>
  <c r="AH3" i="71"/>
  <c r="AG3" i="71"/>
  <c r="AF3" i="71"/>
  <c r="AE3" i="71"/>
  <c r="AD3" i="71"/>
  <c r="AC3" i="71"/>
  <c r="AB3" i="71"/>
  <c r="AA3" i="71"/>
  <c r="Z3" i="71"/>
  <c r="Y3" i="71"/>
  <c r="X3" i="71"/>
  <c r="W3" i="71"/>
  <c r="V3" i="71"/>
  <c r="U3" i="71"/>
  <c r="T3" i="71"/>
  <c r="S3" i="71"/>
  <c r="R3" i="71"/>
  <c r="R81" i="71" s="1"/>
  <c r="Q3" i="71"/>
  <c r="Q81" i="71" s="1"/>
  <c r="P3" i="71"/>
  <c r="P81" i="71" s="1"/>
  <c r="O3" i="71"/>
  <c r="O81" i="71" s="1"/>
  <c r="AN40" i="71"/>
  <c r="AM40" i="71"/>
  <c r="AL40" i="71"/>
  <c r="AJ40" i="71"/>
  <c r="AN21" i="71"/>
  <c r="AM21" i="71"/>
  <c r="AL21" i="71"/>
  <c r="V21" i="71"/>
  <c r="U21" i="71"/>
  <c r="T21" i="71"/>
  <c r="S21" i="71"/>
  <c r="EJ21" i="71"/>
  <c r="AN33" i="71"/>
  <c r="S33" i="71"/>
  <c r="R33" i="71"/>
  <c r="Q33" i="71"/>
  <c r="P33" i="71"/>
  <c r="O33"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0" i="71"/>
  <c r="AV47" i="71"/>
  <c r="AV61" i="71" s="1"/>
  <c r="AV259" i="71" s="1"/>
  <c r="AW47" i="71"/>
  <c r="AX47" i="71"/>
  <c r="AX61" i="71" s="1"/>
  <c r="AX259" i="71" s="1"/>
  <c r="EI48" i="71"/>
  <c r="EI51" i="71"/>
  <c r="EI52" i="71"/>
  <c r="EI53" i="71"/>
  <c r="EI56" i="71"/>
  <c r="EI57" i="71"/>
  <c r="EI58" i="71"/>
  <c r="EI60" i="71"/>
  <c r="EI116" i="71" s="1"/>
  <c r="EI3" i="71"/>
  <c r="EI10" i="71"/>
  <c r="EI33" i="71"/>
  <c r="EI17" i="71"/>
  <c r="EI21" i="71"/>
  <c r="EI12" i="71"/>
  <c r="AW15" i="71"/>
  <c r="EI15" i="71" s="1"/>
  <c r="EI34" i="71"/>
  <c r="EI16" i="71"/>
  <c r="EI42" i="71"/>
  <c r="EI18" i="71"/>
  <c r="EI62" i="71"/>
  <c r="AT47" i="71"/>
  <c r="AT102" i="71" s="1"/>
  <c r="AS11" i="71"/>
  <c r="AS47" i="71" s="1"/>
  <c r="AR11" i="71"/>
  <c r="AR21" i="71"/>
  <c r="AQ11" i="71"/>
  <c r="AQ21" i="71"/>
  <c r="EH48" i="71"/>
  <c r="EH42" i="71"/>
  <c r="EH40" i="71"/>
  <c r="EH16" i="71"/>
  <c r="EH34" i="71"/>
  <c r="EH15" i="71"/>
  <c r="EH12" i="71"/>
  <c r="EH17" i="71"/>
  <c r="EH33" i="71"/>
  <c r="EH10" i="71"/>
  <c r="EH9" i="71"/>
  <c r="EH3" i="71"/>
  <c r="EH51" i="71"/>
  <c r="EH52" i="71"/>
  <c r="EH53" i="71"/>
  <c r="EH56" i="71"/>
  <c r="EH57" i="71"/>
  <c r="EH58" i="71"/>
  <c r="AQ59" i="71"/>
  <c r="AQ109" i="71" s="1"/>
  <c r="AR59" i="71"/>
  <c r="AR109" i="71" s="1"/>
  <c r="AS59" i="71"/>
  <c r="AS109" i="71" s="1"/>
  <c r="EH60" i="71"/>
  <c r="EH116" i="71" s="1"/>
  <c r="EH62" i="71"/>
  <c r="EH64" i="71"/>
  <c r="AT65" i="71"/>
  <c r="EH65" i="71" s="1"/>
  <c r="AR68" i="71"/>
  <c r="EH68" i="71" s="1"/>
  <c r="AS69" i="71"/>
  <c r="AT69" i="71" s="1"/>
  <c r="EH69" i="71" s="1"/>
  <c r="EH74" i="71"/>
  <c r="EH236" i="71" s="1"/>
  <c r="EI64" i="71"/>
  <c r="EI65" i="71"/>
  <c r="EI68" i="71"/>
  <c r="AX69" i="71"/>
  <c r="EI69" i="71" s="1"/>
  <c r="AX71" i="71"/>
  <c r="EI71" i="71" s="1"/>
  <c r="EG60" i="71"/>
  <c r="EG116" i="71" s="1"/>
  <c r="AM33" i="71"/>
  <c r="AO47" i="71"/>
  <c r="AO102" i="71" s="1"/>
  <c r="AP47" i="71"/>
  <c r="AP102" i="71" s="1"/>
  <c r="AY90" i="71"/>
  <c r="AY91" i="71"/>
  <c r="AY81" i="71"/>
  <c r="AE8" i="71"/>
  <c r="AF8" i="71"/>
  <c r="AG8" i="71"/>
  <c r="AH8" i="71"/>
  <c r="AE33" i="71"/>
  <c r="AF33" i="71"/>
  <c r="AG33" i="71"/>
  <c r="AH33" i="71"/>
  <c r="AE17" i="71"/>
  <c r="AF17" i="71"/>
  <c r="AG17" i="71"/>
  <c r="AH17" i="71"/>
  <c r="AE21" i="71"/>
  <c r="AF21" i="71"/>
  <c r="AG21" i="71"/>
  <c r="AH21" i="71"/>
  <c r="AE15" i="71"/>
  <c r="AF15" i="71"/>
  <c r="AG15" i="71"/>
  <c r="AH15" i="71"/>
  <c r="AE40" i="71"/>
  <c r="AF40" i="71"/>
  <c r="AG40" i="71"/>
  <c r="AH40" i="71"/>
  <c r="EE56" i="71"/>
  <c r="AA8" i="71"/>
  <c r="AB8" i="71"/>
  <c r="AC8" i="71"/>
  <c r="AD8" i="71"/>
  <c r="AA33" i="71"/>
  <c r="AB33" i="71"/>
  <c r="AC33" i="71"/>
  <c r="AD33" i="71"/>
  <c r="AA17" i="71"/>
  <c r="AB17" i="71"/>
  <c r="AC17" i="71"/>
  <c r="AD17" i="71"/>
  <c r="AA21" i="71"/>
  <c r="AB21" i="71"/>
  <c r="AC21" i="71"/>
  <c r="AD21" i="71"/>
  <c r="ED41" i="71"/>
  <c r="ED38" i="71"/>
  <c r="AA40" i="71"/>
  <c r="AB40" i="71"/>
  <c r="AC40" i="71"/>
  <c r="AD40" i="71"/>
  <c r="ED56" i="71"/>
  <c r="W8" i="71"/>
  <c r="X8" i="71"/>
  <c r="Y8" i="71"/>
  <c r="Z8" i="71"/>
  <c r="W33" i="71"/>
  <c r="X33" i="71"/>
  <c r="Y33" i="71"/>
  <c r="Z33" i="71"/>
  <c r="W17" i="71"/>
  <c r="X17" i="71"/>
  <c r="Y17" i="71"/>
  <c r="Z17" i="71"/>
  <c r="W21" i="71"/>
  <c r="X21" i="71"/>
  <c r="Y21" i="71"/>
  <c r="Z21" i="71"/>
  <c r="EC38" i="71"/>
  <c r="W40" i="71"/>
  <c r="X40" i="71"/>
  <c r="Y40" i="71"/>
  <c r="Z40" i="71"/>
  <c r="EC56" i="71"/>
  <c r="AI21" i="71"/>
  <c r="AJ21" i="71"/>
  <c r="AK21" i="71"/>
  <c r="AI8" i="71"/>
  <c r="AJ8" i="71"/>
  <c r="AK8" i="71"/>
  <c r="AI33" i="71"/>
  <c r="AJ33" i="71"/>
  <c r="AK33" i="71"/>
  <c r="AL33" i="71"/>
  <c r="EF56" i="71"/>
  <c r="EG48" i="71"/>
  <c r="EG51" i="71"/>
  <c r="EG52" i="71"/>
  <c r="EG53" i="71"/>
  <c r="EG56" i="71"/>
  <c r="EG57" i="71"/>
  <c r="EG58" i="71"/>
  <c r="AM59" i="71"/>
  <c r="AM109" i="71" s="1"/>
  <c r="AM249" i="71" s="1"/>
  <c r="AN59" i="71"/>
  <c r="AN109" i="71" s="1"/>
  <c r="AN111" i="71" s="1"/>
  <c r="AO59" i="71"/>
  <c r="AO109" i="71" s="1"/>
  <c r="AP59" i="71"/>
  <c r="AL59" i="71"/>
  <c r="AL109" i="71" s="1"/>
  <c r="AL111" i="71" s="1"/>
  <c r="AK17" i="71"/>
  <c r="AK15" i="71"/>
  <c r="AK40" i="71"/>
  <c r="AK59" i="71"/>
  <c r="AJ17" i="71"/>
  <c r="AJ15" i="71"/>
  <c r="AJ59" i="71"/>
  <c r="AJ109" i="71" s="1"/>
  <c r="AI17" i="71"/>
  <c r="AI15" i="71"/>
  <c r="AI40" i="71"/>
  <c r="AI59" i="71"/>
  <c r="AI109" i="71" s="1"/>
  <c r="AH59" i="71"/>
  <c r="AH109" i="71" s="1"/>
  <c r="AH111" i="71" s="1"/>
  <c r="AG59" i="71"/>
  <c r="AG109" i="71" s="1"/>
  <c r="AF59" i="71"/>
  <c r="AE59" i="71"/>
  <c r="AY47" i="71"/>
  <c r="AY102" i="71" s="1"/>
  <c r="AY246" i="71" s="1"/>
  <c r="EI74" i="71"/>
  <c r="EI236"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9" i="71"/>
  <c r="AU249" i="71" s="1"/>
  <c r="AY109" i="71"/>
  <c r="AY116" i="71"/>
  <c r="AY252" i="71" s="1"/>
  <c r="AU116" i="71"/>
  <c r="AU252"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3" i="71"/>
  <c r="D33" i="71"/>
  <c r="E33" i="71"/>
  <c r="F33" i="71"/>
  <c r="G33" i="71"/>
  <c r="H33" i="71"/>
  <c r="I33" i="71"/>
  <c r="J33" i="71"/>
  <c r="K33" i="71"/>
  <c r="L33" i="71"/>
  <c r="M33" i="71"/>
  <c r="N33" i="71"/>
  <c r="T33" i="71"/>
  <c r="U33" i="71"/>
  <c r="V33" i="71"/>
  <c r="K17" i="71"/>
  <c r="L17" i="71"/>
  <c r="M17" i="71"/>
  <c r="N17" i="71"/>
  <c r="O17" i="71"/>
  <c r="P17" i="71"/>
  <c r="Q17" i="71"/>
  <c r="R17" i="71"/>
  <c r="S17" i="71"/>
  <c r="T17" i="71"/>
  <c r="U17" i="71"/>
  <c r="V17" i="71"/>
  <c r="C21" i="71"/>
  <c r="D21" i="71"/>
  <c r="E21" i="71"/>
  <c r="F21" i="71"/>
  <c r="G21" i="71"/>
  <c r="H21" i="71"/>
  <c r="I21" i="71"/>
  <c r="J21" i="71"/>
  <c r="K21" i="71"/>
  <c r="L21" i="71"/>
  <c r="M21" i="71"/>
  <c r="N21" i="71"/>
  <c r="O21" i="71"/>
  <c r="P21" i="71"/>
  <c r="Q21" i="71"/>
  <c r="R21" i="71"/>
  <c r="C15" i="71"/>
  <c r="D15" i="71"/>
  <c r="E15" i="71"/>
  <c r="F15" i="71"/>
  <c r="G15" i="71"/>
  <c r="H15" i="71"/>
  <c r="I15" i="71"/>
  <c r="J15" i="71"/>
  <c r="K15" i="71"/>
  <c r="L15" i="71"/>
  <c r="M15" i="71"/>
  <c r="N15" i="71"/>
  <c r="O15" i="71"/>
  <c r="P15" i="71"/>
  <c r="Q15" i="71"/>
  <c r="R15" i="71"/>
  <c r="EB16" i="71"/>
  <c r="DX38" i="71"/>
  <c r="DY38" i="71"/>
  <c r="L38" i="71"/>
  <c r="M38" i="71"/>
  <c r="N38" i="71"/>
  <c r="O38" i="71"/>
  <c r="P38" i="71"/>
  <c r="Q38" i="71"/>
  <c r="R38" i="71"/>
  <c r="EB38" i="71"/>
  <c r="C39" i="71"/>
  <c r="D39" i="71"/>
  <c r="E39" i="71"/>
  <c r="F39" i="71"/>
  <c r="G39" i="71"/>
  <c r="H39" i="71"/>
  <c r="I39" i="71"/>
  <c r="J39" i="71"/>
  <c r="K39" i="71"/>
  <c r="L39" i="71"/>
  <c r="M39" i="71"/>
  <c r="N39" i="71"/>
  <c r="O39" i="71"/>
  <c r="P39" i="71"/>
  <c r="Q39" i="71"/>
  <c r="R39" i="71"/>
  <c r="C40" i="71"/>
  <c r="D40" i="71"/>
  <c r="E40" i="71"/>
  <c r="F40" i="71"/>
  <c r="G40" i="71"/>
  <c r="H40" i="71"/>
  <c r="I40" i="71"/>
  <c r="J40" i="71"/>
  <c r="K40" i="71"/>
  <c r="L40" i="71"/>
  <c r="M40" i="71"/>
  <c r="N40" i="71"/>
  <c r="O40" i="71"/>
  <c r="P40" i="71"/>
  <c r="Q40" i="71"/>
  <c r="R40" i="71"/>
  <c r="S40" i="71"/>
  <c r="T40" i="71"/>
  <c r="U40" i="71"/>
  <c r="V40" i="71"/>
  <c r="DW48" i="71"/>
  <c r="G48" i="71"/>
  <c r="C48" i="71" s="1"/>
  <c r="H48" i="71"/>
  <c r="D48" i="71" s="1"/>
  <c r="I48" i="71"/>
  <c r="E48" i="71" s="1"/>
  <c r="J48" i="71"/>
  <c r="F48" i="71"/>
  <c r="EA51" i="71"/>
  <c r="EA89" i="71" s="1"/>
  <c r="EB51" i="71"/>
  <c r="DX52" i="71"/>
  <c r="G52" i="71"/>
  <c r="C52" i="71" s="1"/>
  <c r="H52" i="71"/>
  <c r="L90" i="71" s="1"/>
  <c r="I52" i="71"/>
  <c r="M90" i="71" s="1"/>
  <c r="J52" i="71"/>
  <c r="DZ52" i="71"/>
  <c r="EA52" i="71"/>
  <c r="EB52" i="71"/>
  <c r="F52" i="71"/>
  <c r="G53" i="71"/>
  <c r="K91" i="71" s="1"/>
  <c r="H53" i="71"/>
  <c r="I53" i="71"/>
  <c r="M91" i="71" s="1"/>
  <c r="F53" i="71"/>
  <c r="J53" i="71"/>
  <c r="N91" i="71" s="1"/>
  <c r="DZ53" i="71"/>
  <c r="EA53" i="71"/>
  <c r="EB53" i="71"/>
  <c r="G56" i="71"/>
  <c r="C56" i="71" s="1"/>
  <c r="H56" i="71"/>
  <c r="D56" i="71" s="1"/>
  <c r="I56" i="71"/>
  <c r="F56" i="71"/>
  <c r="J56" i="71"/>
  <c r="K56" i="71"/>
  <c r="L56" i="71"/>
  <c r="M56" i="71"/>
  <c r="N56" i="71"/>
  <c r="EA56" i="71"/>
  <c r="EB56" i="71"/>
  <c r="DW57" i="71"/>
  <c r="G57" i="71"/>
  <c r="C57" i="71" s="1"/>
  <c r="H57" i="71"/>
  <c r="I57" i="71"/>
  <c r="J57" i="71"/>
  <c r="K57" i="71"/>
  <c r="L57" i="71"/>
  <c r="M57" i="71"/>
  <c r="N57" i="71"/>
  <c r="EA57" i="71"/>
  <c r="EB57" i="71"/>
  <c r="F57" i="71"/>
  <c r="DX58" i="71"/>
  <c r="DW58" i="71" s="1"/>
  <c r="G58" i="71"/>
  <c r="K92" i="71" s="1"/>
  <c r="H58" i="71"/>
  <c r="L92" i="71" s="1"/>
  <c r="I58" i="71"/>
  <c r="M92" i="71" s="1"/>
  <c r="J58" i="71"/>
  <c r="N92" i="71" s="1"/>
  <c r="EA58" i="71"/>
  <c r="EB58" i="71"/>
  <c r="F58" i="71"/>
  <c r="DY59" i="71"/>
  <c r="EA59" i="71"/>
  <c r="EB59" i="71"/>
  <c r="DY62" i="71"/>
  <c r="DY63" i="71" s="1"/>
  <c r="EG62" i="71"/>
  <c r="DP63" i="71"/>
  <c r="DP67" i="71" s="1"/>
  <c r="DQ63" i="71"/>
  <c r="DQ94" i="71" s="1"/>
  <c r="DR63" i="71"/>
  <c r="DR67" i="71" s="1"/>
  <c r="DS63" i="71"/>
  <c r="DS67" i="71" s="1"/>
  <c r="DS97" i="71" s="1"/>
  <c r="DT63" i="71"/>
  <c r="DT94" i="71" s="1"/>
  <c r="DU63" i="71"/>
  <c r="DU230" i="71" s="1"/>
  <c r="DV63" i="71"/>
  <c r="DV67" i="71" s="1"/>
  <c r="DV97" i="71" s="1"/>
  <c r="DW63" i="71"/>
  <c r="DX63" i="71"/>
  <c r="DX67" i="71" s="1"/>
  <c r="DZ63" i="71"/>
  <c r="DZ230" i="71" s="1"/>
  <c r="EA63" i="71"/>
  <c r="EA230" i="71" s="1"/>
  <c r="EB63" i="71"/>
  <c r="EB230" i="71" s="1"/>
  <c r="C63" i="71"/>
  <c r="C67" i="71" s="1"/>
  <c r="D63" i="71"/>
  <c r="D94" i="71" s="1"/>
  <c r="E63" i="71"/>
  <c r="E67" i="71" s="1"/>
  <c r="E97" i="71" s="1"/>
  <c r="F63" i="71"/>
  <c r="F94" i="71" s="1"/>
  <c r="G63" i="71"/>
  <c r="G67" i="71" s="1"/>
  <c r="G97" i="71" s="1"/>
  <c r="H63" i="71"/>
  <c r="H67" i="71" s="1"/>
  <c r="H97" i="71" s="1"/>
  <c r="I63" i="71"/>
  <c r="I67" i="71" s="1"/>
  <c r="I97" i="71" s="1"/>
  <c r="J63" i="71"/>
  <c r="J67" i="71" s="1"/>
  <c r="J70" i="71" s="1"/>
  <c r="K63" i="71"/>
  <c r="K67" i="71" s="1"/>
  <c r="K97" i="71" s="1"/>
  <c r="L63" i="71"/>
  <c r="L94" i="71" s="1"/>
  <c r="M63" i="71"/>
  <c r="M67" i="71" s="1"/>
  <c r="M97" i="71" s="1"/>
  <c r="N63" i="71"/>
  <c r="N67" i="71" s="1"/>
  <c r="N70" i="71" s="1"/>
  <c r="O63" i="71"/>
  <c r="O67" i="71" s="1"/>
  <c r="P63" i="71"/>
  <c r="P67" i="71" s="1"/>
  <c r="P97" i="71" s="1"/>
  <c r="Q63" i="71"/>
  <c r="Q67" i="71" s="1"/>
  <c r="Q97" i="71" s="1"/>
  <c r="R63" i="71"/>
  <c r="R67" i="71" s="1"/>
  <c r="S63" i="71"/>
  <c r="S67" i="71" s="1"/>
  <c r="S97" i="71" s="1"/>
  <c r="T63" i="71"/>
  <c r="T94" i="71" s="1"/>
  <c r="U63" i="71"/>
  <c r="U67" i="71" s="1"/>
  <c r="U97" i="71" s="1"/>
  <c r="V63" i="71"/>
  <c r="V94" i="71" s="1"/>
  <c r="W63" i="71"/>
  <c r="X63" i="71"/>
  <c r="X67" i="71" s="1"/>
  <c r="Y63" i="71"/>
  <c r="Y67" i="71" s="1"/>
  <c r="Z63" i="71"/>
  <c r="EG64" i="71"/>
  <c r="AN65" i="71"/>
  <c r="EG65" i="71" s="1"/>
  <c r="DP68" i="71"/>
  <c r="DQ68" i="71"/>
  <c r="DR68" i="71"/>
  <c r="DS68" i="71"/>
  <c r="DT68" i="71"/>
  <c r="DU68" i="71"/>
  <c r="DV69" i="71"/>
  <c r="DW69" i="71"/>
  <c r="DX69" i="71"/>
  <c r="DY69" i="71"/>
  <c r="DZ69" i="71"/>
  <c r="EA69" i="71"/>
  <c r="EB69" i="71"/>
  <c r="EC69" i="71"/>
  <c r="ED69" i="71"/>
  <c r="EE69" i="71"/>
  <c r="EF69" i="71"/>
  <c r="C69" i="71"/>
  <c r="D69" i="71"/>
  <c r="E69" i="71"/>
  <c r="G69" i="71"/>
  <c r="H69" i="71"/>
  <c r="I69" i="71"/>
  <c r="K69" i="71"/>
  <c r="L69" i="71"/>
  <c r="M69" i="71"/>
  <c r="O69" i="71"/>
  <c r="P69" i="71"/>
  <c r="Q69" i="71"/>
  <c r="T69" i="71"/>
  <c r="U69" i="71"/>
  <c r="W69" i="71"/>
  <c r="X69" i="71"/>
  <c r="Y69" i="71"/>
  <c r="AA69" i="71"/>
  <c r="AB69" i="71"/>
  <c r="AC69" i="71"/>
  <c r="AG69" i="71"/>
  <c r="AH71" i="71"/>
  <c r="DP74" i="71"/>
  <c r="DQ74" i="71"/>
  <c r="DQ236" i="71" s="1"/>
  <c r="DR74" i="71"/>
  <c r="DR236" i="71" s="1"/>
  <c r="DS74" i="71"/>
  <c r="DS236" i="71" s="1"/>
  <c r="DT74" i="71"/>
  <c r="DT236" i="71" s="1"/>
  <c r="DU74" i="71"/>
  <c r="DU236" i="71" s="1"/>
  <c r="DV74" i="71"/>
  <c r="DV236" i="71" s="1"/>
  <c r="DW74" i="71"/>
  <c r="DW236" i="71" s="1"/>
  <c r="DX74" i="71"/>
  <c r="DX236" i="71" s="1"/>
  <c r="DY74" i="71"/>
  <c r="DY236" i="71" s="1"/>
  <c r="DZ74" i="71"/>
  <c r="DZ236" i="71" s="1"/>
  <c r="EA74" i="71"/>
  <c r="EA236" i="71" s="1"/>
  <c r="EC74" i="71"/>
  <c r="EC236" i="71" s="1"/>
  <c r="ED74" i="71"/>
  <c r="ED236" i="71" s="1"/>
  <c r="EE74" i="71"/>
  <c r="EE236" i="71" s="1"/>
  <c r="EF74" i="71"/>
  <c r="EF236" i="71" s="1"/>
  <c r="C74" i="71"/>
  <c r="D74" i="71"/>
  <c r="E74" i="71"/>
  <c r="F74" i="71"/>
  <c r="G74" i="71"/>
  <c r="H74" i="71"/>
  <c r="I74" i="71"/>
  <c r="J74" i="71"/>
  <c r="K74" i="71"/>
  <c r="L74" i="71"/>
  <c r="M74" i="71"/>
  <c r="N74" i="71"/>
  <c r="O74" i="71"/>
  <c r="P74" i="71"/>
  <c r="Q74" i="71"/>
  <c r="R74" i="71"/>
  <c r="S74" i="71"/>
  <c r="Z74" i="71"/>
  <c r="DQ77" i="71"/>
  <c r="DR77" i="71"/>
  <c r="DS77" i="71"/>
  <c r="DT77" i="71"/>
  <c r="DU77" i="71"/>
  <c r="DV77" i="71"/>
  <c r="DW77" i="71"/>
  <c r="DX77" i="71"/>
  <c r="DY77" i="71"/>
  <c r="DZ77" i="71"/>
  <c r="EA77" i="71"/>
  <c r="EB77" i="71"/>
  <c r="H77" i="71"/>
  <c r="I77" i="71"/>
  <c r="J77" i="71"/>
  <c r="K77" i="71"/>
  <c r="L77" i="71"/>
  <c r="M77" i="71"/>
  <c r="N77" i="71"/>
  <c r="O77" i="71"/>
  <c r="P77" i="71"/>
  <c r="Q77" i="71"/>
  <c r="R77" i="71"/>
  <c r="S77" i="71"/>
  <c r="T77" i="71"/>
  <c r="U77" i="71"/>
  <c r="V77" i="71"/>
  <c r="W77" i="71"/>
  <c r="X77" i="71"/>
  <c r="Y77" i="71"/>
  <c r="Z77" i="71"/>
  <c r="EF81" i="71"/>
  <c r="AS81" i="71"/>
  <c r="AT81" i="71"/>
  <c r="AU81" i="71"/>
  <c r="AV81" i="71"/>
  <c r="AW81" i="71"/>
  <c r="AX81" i="71"/>
  <c r="O90" i="71"/>
  <c r="P90" i="71"/>
  <c r="Q90" i="71"/>
  <c r="R90" i="71"/>
  <c r="S90" i="71"/>
  <c r="T90" i="71"/>
  <c r="U90" i="71"/>
  <c r="V90" i="71"/>
  <c r="W90" i="71"/>
  <c r="X90" i="71"/>
  <c r="Y90" i="71"/>
  <c r="Z90" i="71"/>
  <c r="AA90" i="71"/>
  <c r="AB90" i="71"/>
  <c r="AC90" i="71"/>
  <c r="AD90" i="71"/>
  <c r="AE90" i="71"/>
  <c r="AF90" i="71"/>
  <c r="AG90" i="71"/>
  <c r="AH90" i="71"/>
  <c r="AI90" i="71"/>
  <c r="AJ90" i="71"/>
  <c r="AK90" i="71"/>
  <c r="AL90" i="71"/>
  <c r="AM90" i="71"/>
  <c r="AN90" i="71"/>
  <c r="AO90" i="71"/>
  <c r="AP90" i="71"/>
  <c r="AQ90" i="71"/>
  <c r="AR90" i="71"/>
  <c r="AS90" i="71"/>
  <c r="AT90" i="71"/>
  <c r="AU90" i="71"/>
  <c r="AV90" i="71"/>
  <c r="AW90" i="71"/>
  <c r="AX90" i="71"/>
  <c r="O91" i="71"/>
  <c r="P91" i="71"/>
  <c r="Q91" i="71"/>
  <c r="R91" i="71"/>
  <c r="S91" i="71"/>
  <c r="T91" i="71"/>
  <c r="U91" i="71"/>
  <c r="V91" i="71"/>
  <c r="W91" i="71"/>
  <c r="X91" i="71"/>
  <c r="Y91" i="71"/>
  <c r="Z91" i="71"/>
  <c r="AA91" i="71"/>
  <c r="AB91" i="71"/>
  <c r="AC91" i="71"/>
  <c r="AD91" i="71"/>
  <c r="AE91" i="71"/>
  <c r="AF91" i="71"/>
  <c r="AG91" i="71"/>
  <c r="AH91" i="71"/>
  <c r="AI91" i="71"/>
  <c r="AJ91" i="71"/>
  <c r="AK91" i="71"/>
  <c r="AL91" i="71"/>
  <c r="AM91" i="71"/>
  <c r="AN91" i="71"/>
  <c r="AO91" i="71"/>
  <c r="AP91" i="71"/>
  <c r="AQ91" i="71"/>
  <c r="AR91" i="71"/>
  <c r="AS91" i="71"/>
  <c r="AT91" i="71"/>
  <c r="AU91" i="71"/>
  <c r="AV91" i="71"/>
  <c r="AW91" i="71"/>
  <c r="AX91" i="71"/>
  <c r="O92" i="71"/>
  <c r="P92" i="71"/>
  <c r="Q92" i="71"/>
  <c r="R92" i="71"/>
  <c r="S92" i="71"/>
  <c r="T92" i="71"/>
  <c r="U92" i="71"/>
  <c r="V92" i="71"/>
  <c r="W92" i="71"/>
  <c r="X92" i="71"/>
  <c r="Y92" i="71"/>
  <c r="Z92" i="71"/>
  <c r="AA92" i="71"/>
  <c r="AB92" i="71"/>
  <c r="AC92" i="71"/>
  <c r="AD92" i="71"/>
  <c r="AE92" i="71"/>
  <c r="AF92" i="71"/>
  <c r="AG92" i="71"/>
  <c r="AH92" i="71"/>
  <c r="AI92" i="71"/>
  <c r="AJ92" i="71"/>
  <c r="AK92" i="71"/>
  <c r="AL92" i="71"/>
  <c r="AM92" i="71"/>
  <c r="AN92" i="71"/>
  <c r="AO92" i="71"/>
  <c r="AP92" i="71"/>
  <c r="AQ92" i="71"/>
  <c r="AR92" i="71"/>
  <c r="AS92" i="71"/>
  <c r="AT92" i="71"/>
  <c r="AU92" i="71"/>
  <c r="AV92" i="71"/>
  <c r="AW92" i="71"/>
  <c r="AX92" i="71"/>
  <c r="AY92" i="71"/>
  <c r="DP95" i="71"/>
  <c r="DQ95" i="71"/>
  <c r="DR95" i="71"/>
  <c r="DS95" i="71"/>
  <c r="DT95" i="71"/>
  <c r="DU95" i="71"/>
  <c r="DV95" i="71"/>
  <c r="DW95" i="71"/>
  <c r="DX95" i="71"/>
  <c r="DY95" i="71"/>
  <c r="DZ95" i="71"/>
  <c r="EA95" i="71"/>
  <c r="EB95" i="71"/>
  <c r="C95" i="71"/>
  <c r="D95" i="71"/>
  <c r="E95" i="71"/>
  <c r="F95" i="71"/>
  <c r="G95" i="71"/>
  <c r="H95" i="71"/>
  <c r="I95" i="71"/>
  <c r="J95" i="71"/>
  <c r="K95" i="71"/>
  <c r="L95" i="71"/>
  <c r="M95" i="71"/>
  <c r="N95" i="71"/>
  <c r="O95" i="71"/>
  <c r="P95" i="71"/>
  <c r="Q95" i="71"/>
  <c r="R95" i="71"/>
  <c r="S95" i="71"/>
  <c r="T95" i="71"/>
  <c r="U95" i="71"/>
  <c r="V95" i="71"/>
  <c r="W95" i="71"/>
  <c r="X95" i="71"/>
  <c r="Y95" i="71"/>
  <c r="Z95" i="71"/>
  <c r="DP96" i="71"/>
  <c r="DQ96" i="71"/>
  <c r="DR96" i="71"/>
  <c r="DS96" i="71"/>
  <c r="DT96" i="71"/>
  <c r="DU96" i="71"/>
  <c r="DV96" i="71"/>
  <c r="DW96" i="71"/>
  <c r="DX96" i="71"/>
  <c r="DY96" i="71"/>
  <c r="DZ96" i="71"/>
  <c r="EA96" i="71"/>
  <c r="EB96" i="71"/>
  <c r="C96" i="71"/>
  <c r="D96" i="71"/>
  <c r="E96" i="71"/>
  <c r="F96" i="71"/>
  <c r="G96" i="71"/>
  <c r="H96" i="71"/>
  <c r="I96" i="71"/>
  <c r="J96" i="71"/>
  <c r="K96" i="71"/>
  <c r="L96" i="71"/>
  <c r="M96" i="71"/>
  <c r="N96" i="71"/>
  <c r="O96" i="71"/>
  <c r="P96" i="71"/>
  <c r="Q96" i="71"/>
  <c r="R96" i="71"/>
  <c r="S96" i="71"/>
  <c r="T96" i="71"/>
  <c r="U96" i="71"/>
  <c r="V96" i="71"/>
  <c r="W96" i="71"/>
  <c r="X96" i="71"/>
  <c r="Y96" i="71"/>
  <c r="Z96" i="71"/>
  <c r="EF103" i="71"/>
  <c r="EF104" i="71" s="1"/>
  <c r="DS104" i="71"/>
  <c r="DT104" i="71"/>
  <c r="DU104" i="71"/>
  <c r="DV104" i="71"/>
  <c r="DW104" i="71"/>
  <c r="DX104" i="71"/>
  <c r="DY104" i="71"/>
  <c r="DZ104" i="71"/>
  <c r="EA104" i="71"/>
  <c r="EB104" i="71"/>
  <c r="EC104" i="71"/>
  <c r="ED104" i="71"/>
  <c r="EE104" i="71"/>
  <c r="W104" i="71"/>
  <c r="X104" i="71"/>
  <c r="Y104" i="71"/>
  <c r="Z104" i="71"/>
  <c r="AA104" i="71"/>
  <c r="AB104" i="71"/>
  <c r="AC104" i="71"/>
  <c r="AD104" i="71"/>
  <c r="AE104" i="71"/>
  <c r="DS105" i="71"/>
  <c r="DT105" i="71"/>
  <c r="DU105" i="71"/>
  <c r="DV105" i="71"/>
  <c r="DW105" i="71"/>
  <c r="DX105" i="71"/>
  <c r="DY105" i="71"/>
  <c r="DZ105" i="71"/>
  <c r="EA105" i="71"/>
  <c r="EB105" i="71"/>
  <c r="Z105" i="71"/>
  <c r="DT106" i="71"/>
  <c r="DU106" i="71"/>
  <c r="DV106" i="71"/>
  <c r="DW106" i="71"/>
  <c r="DX106" i="71"/>
  <c r="DY106" i="71"/>
  <c r="DZ106" i="71"/>
  <c r="EA106" i="71"/>
  <c r="EB106" i="71"/>
  <c r="EC106" i="71"/>
  <c r="ED106" i="71"/>
  <c r="EE106" i="71"/>
  <c r="EF106" i="71"/>
  <c r="AT109" i="71"/>
  <c r="AV109" i="71"/>
  <c r="AV249" i="71" s="1"/>
  <c r="AW109" i="71"/>
  <c r="AX109" i="71"/>
  <c r="AM110" i="71"/>
  <c r="DS111" i="71"/>
  <c r="DT111" i="71"/>
  <c r="DU111" i="71"/>
  <c r="DV111" i="71"/>
  <c r="DW111" i="71"/>
  <c r="DX111" i="71"/>
  <c r="DY111" i="71"/>
  <c r="DZ111" i="71"/>
  <c r="EA111" i="71"/>
  <c r="EB111" i="71"/>
  <c r="ED111" i="71"/>
  <c r="W111" i="71"/>
  <c r="X111" i="71"/>
  <c r="Y111" i="71"/>
  <c r="Z111" i="71"/>
  <c r="AA111" i="71"/>
  <c r="AB111" i="71"/>
  <c r="AC111" i="71"/>
  <c r="AD111" i="71"/>
  <c r="AE111" i="71"/>
  <c r="DS112" i="71"/>
  <c r="DT112" i="71"/>
  <c r="DU112" i="71"/>
  <c r="DV112" i="71"/>
  <c r="DW112" i="71"/>
  <c r="DX112" i="71"/>
  <c r="DY112" i="71"/>
  <c r="DZ112" i="71"/>
  <c r="EA112" i="71"/>
  <c r="EB112" i="71"/>
  <c r="Z112" i="71"/>
  <c r="S116" i="71"/>
  <c r="T116" i="71"/>
  <c r="U116" i="71"/>
  <c r="V116" i="71"/>
  <c r="W116" i="71"/>
  <c r="W118" i="71" s="1"/>
  <c r="X116" i="71"/>
  <c r="X118" i="71" s="1"/>
  <c r="Y116" i="71"/>
  <c r="Y118" i="71" s="1"/>
  <c r="Z116" i="71"/>
  <c r="Z118" i="71" s="1"/>
  <c r="AA116" i="71"/>
  <c r="AA118" i="71" s="1"/>
  <c r="AB116" i="71"/>
  <c r="AB118" i="71" s="1"/>
  <c r="AC116" i="71"/>
  <c r="AD116" i="71"/>
  <c r="AD118" i="71" s="1"/>
  <c r="AE116" i="71"/>
  <c r="AE118" i="71" s="1"/>
  <c r="AF116" i="71"/>
  <c r="AF118" i="71" s="1"/>
  <c r="AG116" i="71"/>
  <c r="AG118" i="71" s="1"/>
  <c r="AH116" i="71"/>
  <c r="AH118" i="71" s="1"/>
  <c r="AI116" i="71"/>
  <c r="AI118" i="71" s="1"/>
  <c r="AJ116" i="71"/>
  <c r="AJ118" i="71" s="1"/>
  <c r="AK116" i="71"/>
  <c r="AK118" i="71" s="1"/>
  <c r="AL116" i="71"/>
  <c r="AL118" i="71" s="1"/>
  <c r="AM116" i="71"/>
  <c r="AM118" i="71" s="1"/>
  <c r="AN116" i="71"/>
  <c r="AN118" i="71" s="1"/>
  <c r="AO116" i="71"/>
  <c r="AO252" i="71" s="1"/>
  <c r="AP116" i="71"/>
  <c r="AP252" i="71" s="1"/>
  <c r="AQ116" i="71"/>
  <c r="AR116" i="71"/>
  <c r="AS116" i="71"/>
  <c r="AS252" i="71" s="1"/>
  <c r="AT116" i="71"/>
  <c r="AT252" i="71" s="1"/>
  <c r="AV116" i="71"/>
  <c r="AW116" i="71"/>
  <c r="AW252" i="71" s="1"/>
  <c r="AX116" i="71"/>
  <c r="AX252" i="71" s="1"/>
  <c r="DS118" i="71"/>
  <c r="DT118" i="71"/>
  <c r="DU118" i="71"/>
  <c r="DV118" i="71"/>
  <c r="DW118" i="71"/>
  <c r="DX118" i="71"/>
  <c r="DY118" i="71"/>
  <c r="DZ118" i="71"/>
  <c r="EA118" i="71"/>
  <c r="EB118" i="71"/>
  <c r="EC118" i="71"/>
  <c r="ED118" i="71"/>
  <c r="EE118" i="71"/>
  <c r="DS119" i="71"/>
  <c r="DT119" i="71"/>
  <c r="DU119" i="71"/>
  <c r="DV119" i="71"/>
  <c r="DW119" i="71"/>
  <c r="DX119" i="71"/>
  <c r="DY119" i="71"/>
  <c r="DZ119" i="71"/>
  <c r="EA119" i="71"/>
  <c r="EB119" i="71"/>
  <c r="EB127" i="71"/>
  <c r="EC127" i="71"/>
  <c r="ED127" i="71"/>
  <c r="EE127" i="71"/>
  <c r="EF127" i="71"/>
  <c r="EF145" i="71"/>
  <c r="AP145" i="71"/>
  <c r="AP141" i="71" s="1"/>
  <c r="AQ145" i="71"/>
  <c r="AQ141" i="71" s="1"/>
  <c r="AR145" i="71"/>
  <c r="AR141" i="71" s="1"/>
  <c r="AS145" i="71"/>
  <c r="AS141" i="71" s="1"/>
  <c r="AT145" i="71"/>
  <c r="AT141" i="71" s="1"/>
  <c r="AU145" i="71"/>
  <c r="AU141" i="71" s="1"/>
  <c r="AV145" i="71"/>
  <c r="AV141" i="71" s="1"/>
  <c r="EG152" i="71"/>
  <c r="AM152" i="71"/>
  <c r="AP152" i="71"/>
  <c r="AQ152" i="71"/>
  <c r="AR152" i="71"/>
  <c r="AS152" i="71"/>
  <c r="AT152" i="71"/>
  <c r="AU152" i="71"/>
  <c r="AV152" i="71"/>
  <c r="EG163" i="71"/>
  <c r="EG168" i="71" s="1"/>
  <c r="AM163" i="71"/>
  <c r="AM168" i="71" s="1"/>
  <c r="AM174" i="71" s="1"/>
  <c r="AI183" i="71"/>
  <c r="AI184" i="71" s="1"/>
  <c r="AM183" i="71"/>
  <c r="AM184" i="71" s="1"/>
  <c r="AR183" i="71"/>
  <c r="AQ184" i="71"/>
  <c r="AR202" i="71"/>
  <c r="AS202" i="71" s="1"/>
  <c r="AT202" i="71" s="1"/>
  <c r="AU184" i="71"/>
  <c r="AV202" i="71"/>
  <c r="AW202" i="71" s="1"/>
  <c r="AR189" i="71"/>
  <c r="AS189" i="71" s="1"/>
  <c r="AT189" i="71" s="1"/>
  <c r="AV189" i="71"/>
  <c r="AW189" i="71" s="1"/>
  <c r="AX189" i="71" s="1"/>
  <c r="AR190" i="71"/>
  <c r="AS190" i="71" s="1"/>
  <c r="AT190" i="71" s="1"/>
  <c r="AV190" i="71"/>
  <c r="AW190" i="71" s="1"/>
  <c r="AX190" i="71" s="1"/>
  <c r="AR191" i="71"/>
  <c r="AS191" i="71" s="1"/>
  <c r="AT191" i="71" s="1"/>
  <c r="AV191" i="71"/>
  <c r="AX191" i="71" s="1"/>
  <c r="AR193" i="71"/>
  <c r="AS193" i="71" s="1"/>
  <c r="AT193" i="71" s="1"/>
  <c r="AV193" i="71"/>
  <c r="AW193" i="71" s="1"/>
  <c r="AX193" i="71" s="1"/>
  <c r="AR194" i="71"/>
  <c r="AS194" i="71" s="1"/>
  <c r="AT194" i="71" s="1"/>
  <c r="AV194" i="71"/>
  <c r="AW194" i="71" s="1"/>
  <c r="AX194" i="71" s="1"/>
  <c r="AR195" i="71"/>
  <c r="AS195" i="71" s="1"/>
  <c r="AT195" i="71" s="1"/>
  <c r="AV195" i="71"/>
  <c r="AW195" i="71" s="1"/>
  <c r="AX195" i="71" s="1"/>
  <c r="AR196" i="71"/>
  <c r="AS196" i="71" s="1"/>
  <c r="AT196" i="71" s="1"/>
  <c r="AV196" i="71"/>
  <c r="AW196" i="71" s="1"/>
  <c r="AX196"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DS224" i="71"/>
  <c r="DT224" i="71"/>
  <c r="DU224" i="71"/>
  <c r="DV224" i="71"/>
  <c r="DW224" i="71"/>
  <c r="DX224" i="71"/>
  <c r="DY224" i="71"/>
  <c r="DZ224" i="71"/>
  <c r="EA224" i="71"/>
  <c r="EB224" i="71"/>
  <c r="EC224" i="71"/>
  <c r="ED224" i="71"/>
  <c r="EE224" i="71"/>
  <c r="EF224" i="71"/>
  <c r="DS226" i="71"/>
  <c r="DT226" i="71"/>
  <c r="DU226" i="71"/>
  <c r="DV226" i="71"/>
  <c r="DW226" i="71"/>
  <c r="DX226" i="71"/>
  <c r="DY226" i="71"/>
  <c r="DZ226" i="71"/>
  <c r="EA226" i="71"/>
  <c r="EB226" i="71"/>
  <c r="ED226" i="71"/>
  <c r="DS228" i="71"/>
  <c r="DT228" i="71"/>
  <c r="DU228" i="71"/>
  <c r="DV228" i="71"/>
  <c r="DW228" i="71"/>
  <c r="DX228" i="71"/>
  <c r="DY228" i="71"/>
  <c r="DZ228" i="71"/>
  <c r="EA228" i="71"/>
  <c r="EB228" i="71"/>
  <c r="EC228" i="71"/>
  <c r="ED228" i="71"/>
  <c r="EE228" i="71"/>
  <c r="G244" i="71"/>
  <c r="H244" i="71"/>
  <c r="I244" i="71"/>
  <c r="J244" i="71"/>
  <c r="G245" i="71"/>
  <c r="H245" i="71"/>
  <c r="I245" i="71"/>
  <c r="J245" i="71"/>
  <c r="DY246" i="71"/>
  <c r="DZ246" i="71"/>
  <c r="EA246" i="71"/>
  <c r="EB246" i="71"/>
  <c r="EC246" i="71"/>
  <c r="ED246" i="71"/>
  <c r="EE246" i="71"/>
  <c r="EF246" i="71"/>
  <c r="S246" i="71"/>
  <c r="T246" i="71"/>
  <c r="U246" i="71"/>
  <c r="V246" i="71"/>
  <c r="W246" i="71"/>
  <c r="X246" i="71"/>
  <c r="Y246" i="71"/>
  <c r="Z246" i="71"/>
  <c r="AA246" i="71"/>
  <c r="AB246" i="71"/>
  <c r="AC246" i="71"/>
  <c r="AD246" i="71"/>
  <c r="AE246" i="71"/>
  <c r="EB249" i="71"/>
  <c r="EC249" i="71"/>
  <c r="ED249" i="71"/>
  <c r="EE249" i="71"/>
  <c r="EF249" i="71"/>
  <c r="S249" i="71"/>
  <c r="T249" i="71"/>
  <c r="U249" i="71"/>
  <c r="V249" i="71"/>
  <c r="W249" i="71"/>
  <c r="X249" i="71"/>
  <c r="Y249" i="71"/>
  <c r="Z249" i="71"/>
  <c r="AA249" i="71"/>
  <c r="AB249" i="71"/>
  <c r="AC249" i="71"/>
  <c r="AD249" i="71"/>
  <c r="AE249" i="71"/>
  <c r="EB252" i="71"/>
  <c r="EC252" i="71"/>
  <c r="ED252" i="71"/>
  <c r="EE252" i="71"/>
  <c r="EF252"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1"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J11" i="71"/>
  <c r="EJ34" i="71"/>
  <c r="EJ33" i="71"/>
  <c r="EJ10" i="71"/>
  <c r="EJ17" i="71"/>
  <c r="EJ15"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J42" i="71"/>
  <c r="EJ16" i="71"/>
  <c r="K15" i="11" s="1"/>
  <c r="EJ74" i="71"/>
  <c r="EJ236" i="71" s="1"/>
  <c r="EJ65" i="71"/>
  <c r="EJ64" i="71"/>
  <c r="EJ18" i="71"/>
  <c r="BA109"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2"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9"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2" i="71"/>
  <c r="AB15" i="69"/>
  <c r="P62" i="5"/>
  <c r="O65" i="5"/>
  <c r="V44" i="5"/>
  <c r="V46" i="5"/>
  <c r="V47" i="5"/>
  <c r="V48" i="5"/>
  <c r="V49" i="5"/>
  <c r="U46" i="5"/>
  <c r="U47" i="5"/>
  <c r="U48" i="5"/>
  <c r="U49" i="5"/>
  <c r="I68" i="5"/>
  <c r="J69" i="5"/>
  <c r="S33" i="5"/>
  <c r="S34" i="5"/>
  <c r="R34" i="5"/>
  <c r="S32" i="5"/>
  <c r="AF22" i="45"/>
  <c r="R32" i="5"/>
  <c r="R37" i="5"/>
  <c r="R38" i="5"/>
  <c r="I74" i="5"/>
  <c r="I75" i="5"/>
  <c r="AA12" i="69"/>
  <c r="AB12" i="69"/>
  <c r="EN91" i="71"/>
  <c r="EN90"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1" i="71"/>
  <c r="EO90"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1" i="71"/>
  <c r="EQ91" i="71"/>
  <c r="EQ90" i="71"/>
  <c r="EP90"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CH80" i="71" l="1"/>
  <c r="CZ208" i="71"/>
  <c r="CZ216" i="71" s="1"/>
  <c r="CY216" i="71"/>
  <c r="CG80" i="71"/>
  <c r="CH77" i="71"/>
  <c r="DG70" i="71"/>
  <c r="DG72" i="71" s="1"/>
  <c r="DG73" i="71" s="1"/>
  <c r="DG97" i="71"/>
  <c r="CF77" i="71"/>
  <c r="DB208" i="71"/>
  <c r="CG77" i="71"/>
  <c r="DD216" i="71"/>
  <c r="CF80" i="71"/>
  <c r="DB212" i="71"/>
  <c r="DB214" i="71" s="1"/>
  <c r="CE77" i="71"/>
  <c r="CE80" i="71"/>
  <c r="CL80" i="71"/>
  <c r="DB216" i="71"/>
  <c r="CJ80" i="71"/>
  <c r="EY4" i="71"/>
  <c r="BZ78" i="71"/>
  <c r="CD78" i="71"/>
  <c r="BZ66" i="71"/>
  <c r="BX61" i="71"/>
  <c r="BX63" i="71" s="1"/>
  <c r="BX67" i="71" s="1"/>
  <c r="CL77" i="71"/>
  <c r="EY25" i="71"/>
  <c r="EZ25" i="71"/>
  <c r="FA25" i="71" s="1"/>
  <c r="FB25" i="71" s="1"/>
  <c r="FC25" i="71" s="1"/>
  <c r="FD25" i="71" s="1"/>
  <c r="FE25" i="71" s="1"/>
  <c r="FF25" i="71" s="1"/>
  <c r="FG25" i="71" s="1"/>
  <c r="FH25" i="71" s="1"/>
  <c r="FI25" i="71" s="1"/>
  <c r="FJ25" i="71" s="1"/>
  <c r="EW68" i="71"/>
  <c r="EY29" i="71"/>
  <c r="EZ29" i="71" s="1"/>
  <c r="FA29" i="71" s="1"/>
  <c r="FB29" i="71" s="1"/>
  <c r="FC29" i="71" s="1"/>
  <c r="FD29" i="71" s="1"/>
  <c r="FE29" i="71" s="1"/>
  <c r="FF29" i="71" s="1"/>
  <c r="FG29" i="71" s="1"/>
  <c r="FH29" i="71" s="1"/>
  <c r="FI29" i="71" s="1"/>
  <c r="FJ29" i="71" s="1"/>
  <c r="DF85" i="71"/>
  <c r="DJ11" i="71"/>
  <c r="DE81" i="71"/>
  <c r="DI3" i="71"/>
  <c r="CO66" i="71"/>
  <c r="ET64" i="71"/>
  <c r="CK66" i="71"/>
  <c r="ES64" i="71"/>
  <c r="EX12" i="71"/>
  <c r="DH12" i="71"/>
  <c r="EY12" i="71" s="1"/>
  <c r="EX18" i="71"/>
  <c r="DH18" i="71"/>
  <c r="EY18" i="71" s="1"/>
  <c r="EX13" i="71"/>
  <c r="EY35" i="71"/>
  <c r="EZ35" i="71" s="1"/>
  <c r="FA35" i="71" s="1"/>
  <c r="FB35" i="71" s="1"/>
  <c r="FC35" i="71" s="1"/>
  <c r="FD35" i="71" s="1"/>
  <c r="FE35" i="71" s="1"/>
  <c r="FF35" i="71" s="1"/>
  <c r="FG35" i="71" s="1"/>
  <c r="FH35" i="71" s="1"/>
  <c r="FI35" i="71" s="1"/>
  <c r="FJ35" i="71" s="1"/>
  <c r="EX35" i="71"/>
  <c r="EY36" i="71"/>
  <c r="EZ36" i="71" s="1"/>
  <c r="FA36" i="71" s="1"/>
  <c r="FB36" i="71" s="1"/>
  <c r="FC36" i="71" s="1"/>
  <c r="FD36" i="71" s="1"/>
  <c r="FE36" i="71" s="1"/>
  <c r="FF36" i="71" s="1"/>
  <c r="EX36" i="71"/>
  <c r="EY19" i="71"/>
  <c r="EX19" i="71"/>
  <c r="DH14" i="71"/>
  <c r="EY14" i="71" s="1"/>
  <c r="EX14" i="71"/>
  <c r="DH47" i="71"/>
  <c r="EY47" i="71" s="1"/>
  <c r="EX47" i="71"/>
  <c r="EY28" i="71"/>
  <c r="CO61" i="71"/>
  <c r="CO63" i="71" s="1"/>
  <c r="ET54" i="71"/>
  <c r="DD85" i="71"/>
  <c r="DH11" i="71"/>
  <c r="EX11" i="71"/>
  <c r="DE85" i="71"/>
  <c r="DI11" i="71"/>
  <c r="CK61" i="71"/>
  <c r="CK77" i="71" s="1"/>
  <c r="ES54" i="71"/>
  <c r="DF81" i="71"/>
  <c r="DJ3" i="71"/>
  <c r="DH13" i="71"/>
  <c r="DI13" i="71" s="1"/>
  <c r="DJ13" i="71" s="1"/>
  <c r="CU61" i="71"/>
  <c r="CU77" i="71" s="1"/>
  <c r="EV47" i="71"/>
  <c r="CX63" i="71"/>
  <c r="CX94" i="71" s="1"/>
  <c r="DB77" i="71"/>
  <c r="EW78" i="71"/>
  <c r="EJ91" i="71"/>
  <c r="CX150" i="71"/>
  <c r="CX155" i="71" s="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DA81" i="71"/>
  <c r="DB81" i="71"/>
  <c r="CS90" i="71"/>
  <c r="CO90" i="71"/>
  <c r="CO79" i="71"/>
  <c r="CS79" i="71"/>
  <c r="CY144" i="71"/>
  <c r="CT77" i="71"/>
  <c r="CP63" i="71"/>
  <c r="CP67" i="71" s="1"/>
  <c r="CP70" i="71" s="1"/>
  <c r="CP72" i="71" s="1"/>
  <c r="CP73" i="71" s="1"/>
  <c r="CP80" i="71" s="1"/>
  <c r="Q7" i="3"/>
  <c r="CR77" i="71"/>
  <c r="CN63" i="71"/>
  <c r="CN67" i="71" s="1"/>
  <c r="CN70" i="71" s="1"/>
  <c r="CN72" i="71" s="1"/>
  <c r="CN73" i="71" s="1"/>
  <c r="CN80" i="71" s="1"/>
  <c r="CN77" i="71"/>
  <c r="CM63" i="71"/>
  <c r="CM67" i="71" s="1"/>
  <c r="CM70" i="71" s="1"/>
  <c r="CM72" i="71" s="1"/>
  <c r="CM73" i="71" s="1"/>
  <c r="CM77" i="71"/>
  <c r="CQ77" i="71"/>
  <c r="CP77" i="71"/>
  <c r="BI185" i="71"/>
  <c r="CX168" i="71"/>
  <c r="CX174" i="71" s="1"/>
  <c r="CY168" i="71"/>
  <c r="CY174" i="71" s="1"/>
  <c r="EV66" i="71"/>
  <c r="EW81" i="71"/>
  <c r="EV68" i="71"/>
  <c r="CY150" i="71"/>
  <c r="CY155" i="71" s="1"/>
  <c r="EW10" i="71"/>
  <c r="EZ26" i="71"/>
  <c r="FA26" i="71" s="1"/>
  <c r="FB26" i="71" s="1"/>
  <c r="FC26" i="71" s="1"/>
  <c r="FD26" i="71" s="1"/>
  <c r="FE26" i="71" s="1"/>
  <c r="FF26" i="71" s="1"/>
  <c r="FG26" i="71" s="1"/>
  <c r="FH26" i="71" s="1"/>
  <c r="FI26" i="71" s="1"/>
  <c r="FJ26" i="71" s="1"/>
  <c r="EX55" i="71"/>
  <c r="EY55" i="71" s="1"/>
  <c r="EZ55" i="71" s="1"/>
  <c r="FA55" i="71" s="1"/>
  <c r="FB55" i="71" s="1"/>
  <c r="FC55" i="71" s="1"/>
  <c r="FD55" i="71" s="1"/>
  <c r="FE55" i="71" s="1"/>
  <c r="FF55" i="71" s="1"/>
  <c r="FG55" i="71" s="1"/>
  <c r="FH55" i="71" s="1"/>
  <c r="FI55" i="71" s="1"/>
  <c r="FJ55" i="71" s="1"/>
  <c r="EW11" i="71"/>
  <c r="EZ27" i="71"/>
  <c r="FA27" i="71" s="1"/>
  <c r="FB27" i="71" s="1"/>
  <c r="FC27" i="71" s="1"/>
  <c r="FD27" i="71" s="1"/>
  <c r="FE27" i="71" s="1"/>
  <c r="FF27" i="71" s="1"/>
  <c r="FG27" i="71" s="1"/>
  <c r="FH27" i="71" s="1"/>
  <c r="FI27" i="71" s="1"/>
  <c r="FJ27" i="71" s="1"/>
  <c r="EW14" i="71"/>
  <c r="EZ44" i="71"/>
  <c r="FA44" i="71" s="1"/>
  <c r="FB44" i="71" s="1"/>
  <c r="FC44" i="71" s="1"/>
  <c r="FD44" i="71" s="1"/>
  <c r="FE44" i="71" s="1"/>
  <c r="FF44" i="71" s="1"/>
  <c r="FG44" i="71" s="1"/>
  <c r="FH44" i="71" s="1"/>
  <c r="FI44" i="71" s="1"/>
  <c r="FJ44" i="71" s="1"/>
  <c r="EW92" i="71"/>
  <c r="EZ45" i="71"/>
  <c r="FA45" i="71" s="1"/>
  <c r="FB45" i="71" s="1"/>
  <c r="FC45" i="71" s="1"/>
  <c r="FD45" i="71" s="1"/>
  <c r="FE45" i="71" s="1"/>
  <c r="FF45" i="71" s="1"/>
  <c r="FG45" i="71" s="1"/>
  <c r="FH45" i="71" s="1"/>
  <c r="FI45" i="71" s="1"/>
  <c r="FJ45" i="71" s="1"/>
  <c r="EW19" i="71"/>
  <c r="EZ31" i="71"/>
  <c r="FA31" i="71" s="1"/>
  <c r="FB31" i="71" s="1"/>
  <c r="FC31" i="71" s="1"/>
  <c r="FD31" i="71" s="1"/>
  <c r="FE31" i="71" s="1"/>
  <c r="FF31" i="71" s="1"/>
  <c r="FG31" i="71" s="1"/>
  <c r="FH31" i="71" s="1"/>
  <c r="FI31" i="71" s="1"/>
  <c r="FJ31" i="71" s="1"/>
  <c r="EW4" i="71"/>
  <c r="EX48" i="71"/>
  <c r="EY48" i="71" s="1"/>
  <c r="EZ48" i="71" s="1"/>
  <c r="FA48" i="71" s="1"/>
  <c r="FB48" i="71" s="1"/>
  <c r="FC48" i="71" s="1"/>
  <c r="FD48" i="71" s="1"/>
  <c r="FE48" i="71" s="1"/>
  <c r="FF48" i="71" s="1"/>
  <c r="FG48" i="71" s="1"/>
  <c r="FH48" i="71" s="1"/>
  <c r="FI48" i="71" s="1"/>
  <c r="FJ48" i="71" s="1"/>
  <c r="EW5" i="71"/>
  <c r="EZ5" i="71" s="1"/>
  <c r="FA5" i="71" s="1"/>
  <c r="FB5" i="71" s="1"/>
  <c r="FC5" i="71" s="1"/>
  <c r="FD5" i="71" s="1"/>
  <c r="FE5" i="71" s="1"/>
  <c r="FF5" i="71" s="1"/>
  <c r="FG5" i="71" s="1"/>
  <c r="FH5" i="71" s="1"/>
  <c r="FI5" i="71" s="1"/>
  <c r="FJ5" i="71" s="1"/>
  <c r="EX51" i="71"/>
  <c r="EY51" i="71" s="1"/>
  <c r="EZ51" i="71" s="1"/>
  <c r="FA51" i="71" s="1"/>
  <c r="FB51" i="71" s="1"/>
  <c r="FC51" i="71" s="1"/>
  <c r="FD51" i="71" s="1"/>
  <c r="FE51" i="71" s="1"/>
  <c r="FF51" i="71" s="1"/>
  <c r="FG51" i="71" s="1"/>
  <c r="FH51" i="71" s="1"/>
  <c r="FI51" i="71" s="1"/>
  <c r="FJ51" i="71" s="1"/>
  <c r="EX74" i="71"/>
  <c r="EY74" i="71" s="1"/>
  <c r="EZ74" i="71" s="1"/>
  <c r="FA74" i="71" s="1"/>
  <c r="FB74" i="71" s="1"/>
  <c r="EW6" i="71"/>
  <c r="AZ67" i="71"/>
  <c r="AZ70" i="71" s="1"/>
  <c r="AZ72" i="71" s="1"/>
  <c r="AZ100" i="71" s="1"/>
  <c r="AZ96" i="71"/>
  <c r="AZ102" i="71"/>
  <c r="AZ105" i="71" s="1"/>
  <c r="EG89" i="71"/>
  <c r="DA91" i="71"/>
  <c r="DD84" i="71"/>
  <c r="DD89" i="71"/>
  <c r="CZ91" i="71"/>
  <c r="CZ85" i="71"/>
  <c r="DE90" i="71"/>
  <c r="CZ88" i="71"/>
  <c r="DA88" i="71"/>
  <c r="DB88" i="71"/>
  <c r="CQ95" i="71"/>
  <c r="DA84" i="71"/>
  <c r="CR95" i="71"/>
  <c r="DA89" i="71"/>
  <c r="DB90" i="71"/>
  <c r="CS95" i="71"/>
  <c r="DD90" i="71"/>
  <c r="CW95" i="71"/>
  <c r="CT96" i="71"/>
  <c r="CX95" i="71"/>
  <c r="CV96" i="71"/>
  <c r="CW96" i="71"/>
  <c r="CX96" i="71"/>
  <c r="CY95" i="71"/>
  <c r="CY96" i="71"/>
  <c r="DA85" i="71"/>
  <c r="DB89" i="71"/>
  <c r="DB91" i="71"/>
  <c r="CT95" i="71"/>
  <c r="CQ96" i="71"/>
  <c r="DB85" i="71"/>
  <c r="CR96" i="71"/>
  <c r="DB83" i="71"/>
  <c r="CV95" i="71"/>
  <c r="CS96" i="71"/>
  <c r="DA86" i="71"/>
  <c r="CZ86" i="71"/>
  <c r="DA83" i="71"/>
  <c r="DF82" i="71"/>
  <c r="CY67" i="71"/>
  <c r="DE82" i="71"/>
  <c r="DB87" i="71"/>
  <c r="DA82" i="71"/>
  <c r="DD82" i="71"/>
  <c r="DB84" i="71"/>
  <c r="DA61" i="71"/>
  <c r="CZ61" i="71"/>
  <c r="CZ63" i="71" s="1"/>
  <c r="CZ67" i="71" s="1"/>
  <c r="DD87" i="71"/>
  <c r="CV77" i="71"/>
  <c r="DD83" i="71"/>
  <c r="DA87" i="71"/>
  <c r="CQ67" i="71"/>
  <c r="CR67" i="71"/>
  <c r="CV67" i="71"/>
  <c r="BR61" i="71"/>
  <c r="BR96" i="71" s="1"/>
  <c r="CW67" i="71"/>
  <c r="BV89" i="71"/>
  <c r="CW77" i="71"/>
  <c r="CX77" i="71"/>
  <c r="CS67" i="71"/>
  <c r="CT67" i="71"/>
  <c r="BV82" i="71"/>
  <c r="L67" i="71"/>
  <c r="L97" i="71" s="1"/>
  <c r="AW150" i="71"/>
  <c r="AW155" i="71" s="1"/>
  <c r="D52" i="71"/>
  <c r="H90" i="71" s="1"/>
  <c r="EH91" i="71"/>
  <c r="EK79" i="71"/>
  <c r="EQ92" i="71"/>
  <c r="EP92" i="71"/>
  <c r="EO92" i="71"/>
  <c r="BA102" i="71"/>
  <c r="BE106" i="71" s="1"/>
  <c r="BD61" i="71"/>
  <c r="BD112" i="71" s="1"/>
  <c r="EH89" i="71"/>
  <c r="E58" i="71"/>
  <c r="I92" i="71" s="1"/>
  <c r="S81" i="71"/>
  <c r="BE174" i="71"/>
  <c r="AL249" i="71"/>
  <c r="EG90" i="71"/>
  <c r="AC81" i="71"/>
  <c r="AM111" i="71"/>
  <c r="BP176" i="71"/>
  <c r="EO10" i="71"/>
  <c r="EP10" i="71" s="1"/>
  <c r="EQ10" i="71" s="1"/>
  <c r="D67" i="71"/>
  <c r="D97" i="71" s="1"/>
  <c r="EJ89" i="71"/>
  <c r="EO33" i="71"/>
  <c r="EP33" i="71" s="1"/>
  <c r="EQ33" i="71" s="1"/>
  <c r="AL113" i="71"/>
  <c r="P94" i="71"/>
  <c r="EH92" i="71"/>
  <c r="AN81" i="71"/>
  <c r="EP60" i="71"/>
  <c r="EQ60" i="71" s="1"/>
  <c r="EQ116" i="71" s="1"/>
  <c r="EQ228" i="71" s="1"/>
  <c r="EO116" i="71"/>
  <c r="EO228" i="71" s="1"/>
  <c r="EI92" i="71"/>
  <c r="BB155" i="71"/>
  <c r="EK71" i="71"/>
  <c r="BJ61" i="71"/>
  <c r="BJ96" i="71" s="1"/>
  <c r="EG91" i="71"/>
  <c r="EN116" i="71"/>
  <c r="EN228" i="71" s="1"/>
  <c r="I94" i="71"/>
  <c r="EI90" i="71"/>
  <c r="EG12" i="71"/>
  <c r="AB81" i="71"/>
  <c r="ED92" i="71"/>
  <c r="EN92" i="71"/>
  <c r="BF120" i="71"/>
  <c r="BN102" i="71"/>
  <c r="DU94" i="71"/>
  <c r="N94" i="71"/>
  <c r="EC16" i="71"/>
  <c r="ED15" i="71"/>
  <c r="H246" i="71"/>
  <c r="H70" i="71"/>
  <c r="H72" i="71" s="1"/>
  <c r="H100" i="71" s="1"/>
  <c r="H94" i="71"/>
  <c r="AN249" i="71"/>
  <c r="DU67" i="71"/>
  <c r="DU97" i="71" s="1"/>
  <c r="AW61" i="71"/>
  <c r="BA77" i="71" s="1"/>
  <c r="BA127" i="71" s="1"/>
  <c r="BA124" i="71" s="1"/>
  <c r="BA261" i="71" s="1"/>
  <c r="V81" i="71"/>
  <c r="EG33" i="71"/>
  <c r="J90" i="71"/>
  <c r="DV229" i="71"/>
  <c r="DS230" i="71"/>
  <c r="AY155" i="71"/>
  <c r="EM81" i="71"/>
  <c r="DY15" i="71"/>
  <c r="Y70" i="71"/>
  <c r="Y99" i="71" s="1"/>
  <c r="EG40" i="71"/>
  <c r="Z81" i="71"/>
  <c r="EE39" i="71"/>
  <c r="EA48" i="71"/>
  <c r="EF89" i="71"/>
  <c r="BI176" i="71"/>
  <c r="AV142" i="71"/>
  <c r="ED229" i="71"/>
  <c r="EG16" i="71"/>
  <c r="EF92" i="71"/>
  <c r="AE81" i="71"/>
  <c r="EG21" i="71"/>
  <c r="Y97" i="71"/>
  <c r="AY61" i="71"/>
  <c r="AY259" i="71" s="1"/>
  <c r="DZ40" i="71"/>
  <c r="EA39" i="71"/>
  <c r="DX39" i="71"/>
  <c r="K90" i="71"/>
  <c r="N90" i="71"/>
  <c r="EG17" i="71"/>
  <c r="Q94" i="71"/>
  <c r="BI61" i="71"/>
  <c r="BV78" i="71"/>
  <c r="BV81" i="71"/>
  <c r="BU83" i="71"/>
  <c r="BT102" i="71"/>
  <c r="Y94" i="71"/>
  <c r="AS61" i="71"/>
  <c r="AS96" i="71" s="1"/>
  <c r="BL176" i="71"/>
  <c r="BD120" i="71"/>
  <c r="BD121" i="71" s="1"/>
  <c r="EK92" i="71"/>
  <c r="EL81" i="71"/>
  <c r="EK78" i="71"/>
  <c r="EE15" i="71"/>
  <c r="EB21" i="71"/>
  <c r="EJ90" i="71"/>
  <c r="EA94" i="71"/>
  <c r="BB141" i="71"/>
  <c r="BC185" i="71" s="1"/>
  <c r="BK155" i="71"/>
  <c r="BC104" i="71"/>
  <c r="BC106" i="71"/>
  <c r="AI111" i="71"/>
  <c r="AM113" i="71"/>
  <c r="EE33" i="71"/>
  <c r="BC61" i="71"/>
  <c r="BC142" i="71" s="1"/>
  <c r="EI91" i="71"/>
  <c r="EB39" i="71"/>
  <c r="EN83" i="71"/>
  <c r="BT79" i="71"/>
  <c r="BC120" i="71"/>
  <c r="DT229" i="71"/>
  <c r="EB90" i="71"/>
  <c r="EC40" i="71"/>
  <c r="ED33" i="71"/>
  <c r="AD81" i="71"/>
  <c r="BN141" i="71"/>
  <c r="BN185" i="71" s="1"/>
  <c r="BR141" i="71"/>
  <c r="BR185" i="71" s="1"/>
  <c r="DV230" i="71"/>
  <c r="BC150" i="71"/>
  <c r="BC155" i="71" s="1"/>
  <c r="EH90" i="71"/>
  <c r="DZ17" i="71"/>
  <c r="EC33" i="71"/>
  <c r="EI109" i="71"/>
  <c r="EI226" i="71" s="1"/>
  <c r="EJ92" i="71"/>
  <c r="G70" i="71"/>
  <c r="G98" i="71" s="1"/>
  <c r="EB17" i="71"/>
  <c r="EB33" i="71"/>
  <c r="DX8" i="71"/>
  <c r="EB8" i="71"/>
  <c r="EF90" i="71"/>
  <c r="EA91" i="71"/>
  <c r="AA61" i="71"/>
  <c r="AA105" i="71" s="1"/>
  <c r="AL81" i="71"/>
  <c r="EC92" i="71"/>
  <c r="EE89" i="71"/>
  <c r="AM155" i="71"/>
  <c r="BM61" i="71"/>
  <c r="BM142" i="71" s="1"/>
  <c r="G94" i="71"/>
  <c r="BM176" i="71"/>
  <c r="EN81" i="71"/>
  <c r="EK81" i="71"/>
  <c r="R94" i="71"/>
  <c r="I246" i="71"/>
  <c r="DY52" i="71"/>
  <c r="DY90" i="71" s="1"/>
  <c r="EG3" i="71"/>
  <c r="EG81" i="71" s="1"/>
  <c r="AV185" i="71"/>
  <c r="BP79" i="71"/>
  <c r="BH174" i="71"/>
  <c r="EO23" i="71"/>
  <c r="EP23" i="71" s="1"/>
  <c r="DZ67" i="71"/>
  <c r="DZ94" i="71"/>
  <c r="AZ95" i="71"/>
  <c r="M94" i="71"/>
  <c r="AS120" i="71"/>
  <c r="DX94" i="71"/>
  <c r="EA90" i="71"/>
  <c r="DY39" i="71"/>
  <c r="DX33" i="71"/>
  <c r="AR47" i="71"/>
  <c r="AR102" i="71" s="1"/>
  <c r="AE47" i="71"/>
  <c r="AE61" i="71" s="1"/>
  <c r="AE63" i="71" s="1"/>
  <c r="AE67" i="71" s="1"/>
  <c r="AE97" i="71" s="1"/>
  <c r="EB15" i="71"/>
  <c r="EG15" i="71"/>
  <c r="EF21" i="71"/>
  <c r="X81" i="71"/>
  <c r="AJ81" i="71"/>
  <c r="ED91" i="71"/>
  <c r="EF91" i="71"/>
  <c r="BA120" i="71"/>
  <c r="BA121" i="71" s="1"/>
  <c r="AY141" i="71"/>
  <c r="AY185" i="71" s="1"/>
  <c r="BI120" i="71"/>
  <c r="BR102" i="71"/>
  <c r="DZ21" i="71"/>
  <c r="F67" i="71"/>
  <c r="F97" i="71" s="1"/>
  <c r="DS94" i="71"/>
  <c r="DS70" i="71"/>
  <c r="DS98" i="71" s="1"/>
  <c r="AZ77" i="71"/>
  <c r="AZ127" i="71" s="1"/>
  <c r="AZ124" i="71" s="1"/>
  <c r="AZ261" i="71" s="1"/>
  <c r="AV96" i="71"/>
  <c r="AI81" i="71"/>
  <c r="AW120" i="71"/>
  <c r="AH249" i="71"/>
  <c r="EB94" i="71"/>
  <c r="BA150" i="71"/>
  <c r="BA155" i="71" s="1"/>
  <c r="AQ120" i="71"/>
  <c r="S70" i="71"/>
  <c r="S98" i="71" s="1"/>
  <c r="BB252" i="71"/>
  <c r="AV63" i="71"/>
  <c r="AV94" i="71" s="1"/>
  <c r="V67" i="71"/>
  <c r="EJ47" i="71"/>
  <c r="EJ61" i="71" s="1"/>
  <c r="Z119" i="71"/>
  <c r="C53" i="71"/>
  <c r="G91" i="71" s="1"/>
  <c r="AV95" i="71"/>
  <c r="AX150" i="71"/>
  <c r="AX155" i="71" s="1"/>
  <c r="J91" i="71"/>
  <c r="DY21" i="71"/>
  <c r="BO61" i="71"/>
  <c r="BO96" i="71" s="1"/>
  <c r="BV88" i="71"/>
  <c r="BF61" i="71"/>
  <c r="BF105" i="71" s="1"/>
  <c r="AZ119" i="71"/>
  <c r="AV112" i="71"/>
  <c r="AI249" i="71"/>
  <c r="BB102" i="71"/>
  <c r="BB105" i="71" s="1"/>
  <c r="AO120" i="71"/>
  <c r="AV102" i="71"/>
  <c r="AV105" i="71" s="1"/>
  <c r="J246" i="71"/>
  <c r="EB229" i="71"/>
  <c r="EB231" i="71" s="1"/>
  <c r="EE90" i="71"/>
  <c r="K70" i="71"/>
  <c r="K99" i="71" s="1"/>
  <c r="EK109" i="71"/>
  <c r="EK226" i="71" s="1"/>
  <c r="K94" i="71"/>
  <c r="AS102" i="71"/>
  <c r="AS106" i="71" s="1"/>
  <c r="DX229" i="71"/>
  <c r="BE113" i="71"/>
  <c r="EL91" i="71"/>
  <c r="BK174" i="71"/>
  <c r="BQ183" i="71"/>
  <c r="BQ182" i="71" s="1"/>
  <c r="AS113" i="71"/>
  <c r="BG61" i="71"/>
  <c r="BG95" i="71" s="1"/>
  <c r="AZ150" i="71"/>
  <c r="AZ155" i="71" s="1"/>
  <c r="EL90" i="71"/>
  <c r="T67" i="71"/>
  <c r="DV94" i="71"/>
  <c r="DZ56" i="71"/>
  <c r="AQ252" i="71"/>
  <c r="D58" i="71"/>
  <c r="H92" i="71" s="1"/>
  <c r="BI113" i="71"/>
  <c r="BQ102" i="71"/>
  <c r="BO176" i="71"/>
  <c r="BU78" i="71"/>
  <c r="EK90" i="71"/>
  <c r="AF81" i="71"/>
  <c r="EE91" i="71"/>
  <c r="AX102" i="71"/>
  <c r="AX106" i="71" s="1"/>
  <c r="AZ184" i="71"/>
  <c r="BA184" i="71"/>
  <c r="EB67" i="71"/>
  <c r="X94" i="71"/>
  <c r="AU120" i="71"/>
  <c r="BK176" i="71"/>
  <c r="J97" i="71"/>
  <c r="AX95" i="71"/>
  <c r="U94" i="71"/>
  <c r="DT67" i="71"/>
  <c r="DT97" i="71" s="1"/>
  <c r="EK47" i="71"/>
  <c r="EK61" i="71" s="1"/>
  <c r="DW229" i="71"/>
  <c r="M70" i="71"/>
  <c r="M72" i="71" s="1"/>
  <c r="EF59" i="71"/>
  <c r="EF109" i="71" s="1"/>
  <c r="AU113" i="71"/>
  <c r="EI81" i="71"/>
  <c r="EE16" i="71"/>
  <c r="EC15" i="71"/>
  <c r="EC3" i="71"/>
  <c r="EC81" i="71" s="1"/>
  <c r="AI47" i="71"/>
  <c r="AI102" i="71" s="1"/>
  <c r="AI104" i="71" s="1"/>
  <c r="ED39" i="71"/>
  <c r="EG155" i="71"/>
  <c r="EG173" i="71" s="1"/>
  <c r="T81" i="71"/>
  <c r="AX142" i="71"/>
  <c r="EB89" i="71"/>
  <c r="BA252" i="71"/>
  <c r="AX112" i="71"/>
  <c r="AW102" i="71"/>
  <c r="AP120" i="71"/>
  <c r="EC17" i="71"/>
  <c r="ED40" i="71"/>
  <c r="ED17" i="71"/>
  <c r="EE40" i="71"/>
  <c r="EM79" i="71"/>
  <c r="EO34" i="71"/>
  <c r="EP34" i="71" s="1"/>
  <c r="EQ34" i="71" s="1"/>
  <c r="BV79" i="71"/>
  <c r="AX96" i="71"/>
  <c r="Q70" i="71"/>
  <c r="Q72" i="71" s="1"/>
  <c r="AX63" i="71"/>
  <c r="DT230" i="71"/>
  <c r="DU229" i="71"/>
  <c r="DU231" i="71" s="1"/>
  <c r="EN79" i="71"/>
  <c r="BL174" i="71"/>
  <c r="BJ155" i="71"/>
  <c r="EF33" i="71"/>
  <c r="AO61" i="71"/>
  <c r="AO112" i="71" s="1"/>
  <c r="DP94" i="71"/>
  <c r="EG59" i="71"/>
  <c r="EG109" i="71" s="1"/>
  <c r="EG226" i="71" s="1"/>
  <c r="BJ113" i="71"/>
  <c r="BR155" i="71"/>
  <c r="BI174" i="71"/>
  <c r="EO24" i="71"/>
  <c r="EP24" i="71" s="1"/>
  <c r="EQ24" i="71" s="1"/>
  <c r="ER24" i="71" s="1"/>
  <c r="ES24" i="71" s="1"/>
  <c r="ET24" i="71" s="1"/>
  <c r="BE61" i="71"/>
  <c r="BE112" i="71" s="1"/>
  <c r="U70" i="71"/>
  <c r="U98" i="71" s="1"/>
  <c r="DV70" i="71"/>
  <c r="DV98" i="71" s="1"/>
  <c r="EA40" i="71"/>
  <c r="DX40" i="71"/>
  <c r="DZ38" i="71"/>
  <c r="DZ15" i="71"/>
  <c r="EA21" i="71"/>
  <c r="DX21" i="71"/>
  <c r="EH21" i="71"/>
  <c r="ED16" i="71"/>
  <c r="AN47" i="71"/>
  <c r="AN102" i="71" s="1"/>
  <c r="AL47" i="71"/>
  <c r="AL102" i="71" s="1"/>
  <c r="AP106" i="71" s="1"/>
  <c r="BE141" i="71"/>
  <c r="BF185" i="71" s="1"/>
  <c r="EM11" i="71"/>
  <c r="BQ61" i="71"/>
  <c r="BQ142" i="71" s="1"/>
  <c r="AR113" i="71"/>
  <c r="AV113" i="71"/>
  <c r="BB259" i="71"/>
  <c r="BB260" i="71" s="1"/>
  <c r="BB63" i="71"/>
  <c r="BB94" i="71" s="1"/>
  <c r="BB142" i="71"/>
  <c r="BB119" i="71"/>
  <c r="BB77" i="71"/>
  <c r="BB127" i="71" s="1"/>
  <c r="BB124" i="71" s="1"/>
  <c r="BB261" i="71" s="1"/>
  <c r="BB96" i="71"/>
  <c r="BB95" i="71"/>
  <c r="AJ249" i="71"/>
  <c r="AJ111" i="71"/>
  <c r="AN113" i="71"/>
  <c r="X97" i="71"/>
  <c r="X70" i="71"/>
  <c r="DP97" i="71"/>
  <c r="DP70" i="71"/>
  <c r="AT120" i="71"/>
  <c r="AP109" i="71"/>
  <c r="AP113" i="71" s="1"/>
  <c r="EI89" i="71"/>
  <c r="EM83" i="71"/>
  <c r="EO57" i="71"/>
  <c r="EP57" i="71" s="1"/>
  <c r="EQ57" i="71" s="1"/>
  <c r="EM92" i="71"/>
  <c r="AF47" i="71"/>
  <c r="AF102" i="71" s="1"/>
  <c r="AF246" i="71" s="1"/>
  <c r="AQ113" i="71"/>
  <c r="AQ47" i="71"/>
  <c r="ED3" i="71"/>
  <c r="BE155" i="71"/>
  <c r="BF174" i="71"/>
  <c r="BL102" i="71"/>
  <c r="BY92" i="71"/>
  <c r="EJ81" i="71"/>
  <c r="EA3" i="71"/>
  <c r="DY58" i="71"/>
  <c r="DZ57" i="71"/>
  <c r="AZ259" i="71"/>
  <c r="AZ260" i="71" s="1"/>
  <c r="AM81" i="71"/>
  <c r="E53" i="71"/>
  <c r="I91" i="71" s="1"/>
  <c r="AQ185" i="71"/>
  <c r="EL79" i="71"/>
  <c r="AY120" i="71"/>
  <c r="AH81" i="71"/>
  <c r="AA81" i="71"/>
  <c r="I70" i="71"/>
  <c r="J92" i="71"/>
  <c r="EG8" i="71"/>
  <c r="AT61" i="71"/>
  <c r="AT119" i="71" s="1"/>
  <c r="BH113" i="71"/>
  <c r="BG174" i="71"/>
  <c r="BM174" i="71"/>
  <c r="N97" i="71"/>
  <c r="AD61" i="71"/>
  <c r="W81" i="71"/>
  <c r="AZ142" i="71"/>
  <c r="DR94" i="71"/>
  <c r="EE17" i="71"/>
  <c r="DQ67" i="71"/>
  <c r="DQ97" i="71" s="1"/>
  <c r="EN47" i="71"/>
  <c r="EO47" i="71" s="1"/>
  <c r="EP47" i="71" s="1"/>
  <c r="EQ47" i="71" s="1"/>
  <c r="EO4" i="71"/>
  <c r="EO82" i="71" s="1"/>
  <c r="BU82" i="71"/>
  <c r="C94" i="71"/>
  <c r="AM47" i="71"/>
  <c r="AM61" i="71" s="1"/>
  <c r="AM119" i="71" s="1"/>
  <c r="BU88" i="71"/>
  <c r="BB112" i="71"/>
  <c r="EK91" i="71"/>
  <c r="EA229" i="71"/>
  <c r="EA231" i="71" s="1"/>
  <c r="AK109" i="71"/>
  <c r="AK113" i="71" s="1"/>
  <c r="BM102" i="71"/>
  <c r="AP61" i="71"/>
  <c r="DX230" i="71"/>
  <c r="EA8" i="71"/>
  <c r="EC39" i="71"/>
  <c r="EK69" i="71"/>
  <c r="BN61" i="71"/>
  <c r="BN95" i="71" s="1"/>
  <c r="EJ150" i="71"/>
  <c r="EJ155" i="71" s="1"/>
  <c r="AT185" i="71"/>
  <c r="DY40" i="71"/>
  <c r="DZ39" i="71"/>
  <c r="EA38" i="71"/>
  <c r="DX15" i="71"/>
  <c r="DY8" i="71"/>
  <c r="BE120" i="71"/>
  <c r="BG176" i="71"/>
  <c r="BK47" i="71"/>
  <c r="BK102" i="71" s="1"/>
  <c r="BJ141" i="71"/>
  <c r="BJ185" i="71" s="1"/>
  <c r="BP184" i="71"/>
  <c r="BR174" i="71"/>
  <c r="BL155" i="71"/>
  <c r="EH59" i="71"/>
  <c r="EH109" i="71" s="1"/>
  <c r="P70" i="71"/>
  <c r="P98" i="71" s="1"/>
  <c r="BH120" i="71"/>
  <c r="BG184" i="71"/>
  <c r="BG141" i="71"/>
  <c r="BG185" i="71" s="1"/>
  <c r="BG150" i="71"/>
  <c r="BG155" i="71" s="1"/>
  <c r="EG120" i="71"/>
  <c r="EG122" i="71" s="1"/>
  <c r="EG118" i="71"/>
  <c r="EG228" i="71"/>
  <c r="BV61" i="71"/>
  <c r="O70" i="71"/>
  <c r="O72" i="71" s="1"/>
  <c r="O97" i="71"/>
  <c r="AK47" i="71"/>
  <c r="AK61" i="71" s="1"/>
  <c r="AC61" i="71"/>
  <c r="AC119" i="71" s="1"/>
  <c r="AH47" i="71"/>
  <c r="AH61" i="71" s="1"/>
  <c r="AX185" i="71"/>
  <c r="AW185" i="71"/>
  <c r="AR252" i="71"/>
  <c r="AR120" i="71"/>
  <c r="EJ228" i="71"/>
  <c r="EJ120" i="71"/>
  <c r="EJ122" i="71" s="1"/>
  <c r="C70" i="71"/>
  <c r="C97" i="71"/>
  <c r="AF109" i="71"/>
  <c r="EE59" i="71"/>
  <c r="EE109" i="71" s="1"/>
  <c r="EE226" i="71" s="1"/>
  <c r="EE229" i="71" s="1"/>
  <c r="AZ249" i="71"/>
  <c r="AZ112" i="71"/>
  <c r="AZ113" i="71"/>
  <c r="AZ115" i="71" s="1"/>
  <c r="BD113" i="71"/>
  <c r="BD115" i="71" s="1"/>
  <c r="AZ200" i="71"/>
  <c r="AZ217" i="71" s="1"/>
  <c r="BA196" i="71"/>
  <c r="BB196" i="71" s="1"/>
  <c r="G246" i="71"/>
  <c r="W94" i="71"/>
  <c r="W67" i="71"/>
  <c r="W97" i="71" s="1"/>
  <c r="EH228" i="71"/>
  <c r="EH120" i="71"/>
  <c r="EH118" i="71"/>
  <c r="ED90" i="71"/>
  <c r="EC90" i="71"/>
  <c r="EF118" i="71"/>
  <c r="EF228" i="71"/>
  <c r="BE200" i="71"/>
  <c r="L91" i="71"/>
  <c r="D53" i="71"/>
  <c r="DW52" i="71"/>
  <c r="DX90" i="71" s="1"/>
  <c r="DY33" i="71"/>
  <c r="AY249" i="71"/>
  <c r="AY113" i="71"/>
  <c r="BC113" i="71"/>
  <c r="BA142" i="71"/>
  <c r="BA259" i="71"/>
  <c r="BA96" i="71"/>
  <c r="BA112" i="71"/>
  <c r="BA119" i="71"/>
  <c r="BA63" i="71"/>
  <c r="EL109" i="71"/>
  <c r="EL226" i="71" s="1"/>
  <c r="DY53" i="71"/>
  <c r="DP236" i="71"/>
  <c r="U81" i="71"/>
  <c r="Y81" i="71"/>
  <c r="AG81" i="71"/>
  <c r="AK81" i="71"/>
  <c r="AG47" i="71"/>
  <c r="AG61" i="71" s="1"/>
  <c r="AG112" i="71" s="1"/>
  <c r="J98" i="71"/>
  <c r="J72" i="71"/>
  <c r="J99" i="71"/>
  <c r="BD185" i="71"/>
  <c r="BU61" i="71"/>
  <c r="AC118" i="71"/>
  <c r="BA113" i="71"/>
  <c r="DX97" i="71"/>
  <c r="DX70" i="71"/>
  <c r="DX99" i="71" s="1"/>
  <c r="DY230" i="71"/>
  <c r="DY94" i="71"/>
  <c r="DY67" i="71"/>
  <c r="E56" i="71"/>
  <c r="DY56" i="71"/>
  <c r="AU47" i="71"/>
  <c r="EI47" i="71" s="1"/>
  <c r="EI40" i="71"/>
  <c r="EA33" i="71"/>
  <c r="BP102" i="71"/>
  <c r="BP61" i="71"/>
  <c r="BB190" i="71"/>
  <c r="DW230" i="71"/>
  <c r="DW67" i="71"/>
  <c r="DW94" i="71"/>
  <c r="EI120" i="71"/>
  <c r="S94" i="71"/>
  <c r="BN155" i="71"/>
  <c r="AX120" i="71"/>
  <c r="DS229" i="71"/>
  <c r="DX92" i="71"/>
  <c r="EC21" i="71"/>
  <c r="EC8" i="71"/>
  <c r="ED21" i="71"/>
  <c r="EE21" i="71"/>
  <c r="BH200" i="71"/>
  <c r="BH217" i="71" s="1"/>
  <c r="BO155" i="71"/>
  <c r="BU89" i="71"/>
  <c r="BU79" i="71"/>
  <c r="BM150" i="71"/>
  <c r="BM155" i="71" s="1"/>
  <c r="AU185" i="71"/>
  <c r="BF113" i="71"/>
  <c r="BB120" i="71"/>
  <c r="BE202" i="71"/>
  <c r="BH61" i="71"/>
  <c r="BH150" i="71"/>
  <c r="BH155" i="71" s="1"/>
  <c r="EL78" i="71"/>
  <c r="BK141" i="71"/>
  <c r="BB113" i="71"/>
  <c r="EL92" i="71"/>
  <c r="J94" i="71"/>
  <c r="EA67" i="71"/>
  <c r="EA70" i="71" s="1"/>
  <c r="DY48" i="71"/>
  <c r="EE92" i="71"/>
  <c r="BP155" i="71"/>
  <c r="BQ150" i="71"/>
  <c r="BQ155" i="71" s="1"/>
  <c r="BJ174" i="71"/>
  <c r="AW113" i="71"/>
  <c r="EN11" i="71"/>
  <c r="BZ83" i="71"/>
  <c r="AX119" i="71"/>
  <c r="DY229" i="71"/>
  <c r="DZ229" i="71"/>
  <c r="DZ231" i="71" s="1"/>
  <c r="BJ120" i="71"/>
  <c r="E70" i="71"/>
  <c r="E99" i="71" s="1"/>
  <c r="EM78" i="71"/>
  <c r="BP200" i="71"/>
  <c r="BP217" i="71" s="1"/>
  <c r="BT61" i="71"/>
  <c r="EM54" i="71"/>
  <c r="EM109" i="71" s="1"/>
  <c r="EO18" i="71"/>
  <c r="EP18" i="71" s="1"/>
  <c r="EQ18" i="71" s="1"/>
  <c r="EB40" i="71"/>
  <c r="EA15" i="71"/>
  <c r="EA17" i="71"/>
  <c r="DZ33" i="71"/>
  <c r="EL68" i="71"/>
  <c r="BV92" i="71"/>
  <c r="EO6" i="71"/>
  <c r="AG111" i="71"/>
  <c r="AG249" i="71"/>
  <c r="EF8" i="71"/>
  <c r="AJ47" i="71"/>
  <c r="AJ61" i="71" s="1"/>
  <c r="AB61" i="71"/>
  <c r="ED8" i="71"/>
  <c r="EE8" i="71"/>
  <c r="BJ106" i="71"/>
  <c r="EC91" i="71"/>
  <c r="EB91" i="71"/>
  <c r="N72" i="71"/>
  <c r="N99" i="71"/>
  <c r="N98" i="71"/>
  <c r="DR97" i="71"/>
  <c r="DR70" i="71"/>
  <c r="EA92" i="71"/>
  <c r="EB92" i="71"/>
  <c r="AX202" i="71"/>
  <c r="AX184" i="71" s="1"/>
  <c r="AW184" i="71"/>
  <c r="Z67" i="71"/>
  <c r="Z94" i="71"/>
  <c r="R70" i="71"/>
  <c r="R97" i="71"/>
  <c r="AT106" i="71"/>
  <c r="BG120" i="71"/>
  <c r="AR185" i="71"/>
  <c r="AS185" i="71"/>
  <c r="AV252" i="71"/>
  <c r="AZ120" i="71"/>
  <c r="AZ121" i="71" s="1"/>
  <c r="AV120" i="71"/>
  <c r="AV119" i="71"/>
  <c r="EJ109" i="71"/>
  <c r="AS183" i="71"/>
  <c r="AR184" i="71"/>
  <c r="EI118" i="71"/>
  <c r="EI228" i="71"/>
  <c r="EC109" i="71"/>
  <c r="EC89" i="71"/>
  <c r="ED89" i="71"/>
  <c r="EG92" i="71"/>
  <c r="BA185" i="71"/>
  <c r="EO12" i="71"/>
  <c r="EP12" i="71" s="1"/>
  <c r="EQ12" i="71" s="1"/>
  <c r="BI202" i="71"/>
  <c r="BQ174" i="71"/>
  <c r="BQ176" i="71"/>
  <c r="BS61" i="71"/>
  <c r="BS63" i="71" s="1"/>
  <c r="BS102" i="71"/>
  <c r="EO45" i="71"/>
  <c r="EP45" i="71" s="1"/>
  <c r="EQ45" i="71" s="1"/>
  <c r="AV184" i="71"/>
  <c r="O94" i="71"/>
  <c r="E52" i="71"/>
  <c r="I90" i="71" s="1"/>
  <c r="BH106" i="71"/>
  <c r="BV102" i="71"/>
  <c r="EO11" i="71"/>
  <c r="EP11" i="71" s="1"/>
  <c r="EQ11" i="71" s="1"/>
  <c r="E94" i="71"/>
  <c r="C58" i="71"/>
  <c r="G92" i="71" s="1"/>
  <c r="E57" i="71"/>
  <c r="BF188" i="71"/>
  <c r="BF200" i="71" s="1"/>
  <c r="BN174" i="71"/>
  <c r="BN176" i="71"/>
  <c r="BR176" i="71"/>
  <c r="D57" i="71"/>
  <c r="G90" i="71"/>
  <c r="EN82" i="71"/>
  <c r="EM82" i="71"/>
  <c r="BL141" i="71"/>
  <c r="EN78" i="71"/>
  <c r="EO78" i="71"/>
  <c r="EO19" i="71"/>
  <c r="EP19" i="71" s="1"/>
  <c r="EQ19" i="71" s="1"/>
  <c r="DY57" i="71"/>
  <c r="BH184" i="71"/>
  <c r="EL11" i="71"/>
  <c r="BI102" i="71"/>
  <c r="BQ200" i="71"/>
  <c r="BQ217" i="71" s="1"/>
  <c r="BR188" i="71"/>
  <c r="BR200" i="71" s="1"/>
  <c r="BZ82" i="71"/>
  <c r="BI200" i="71"/>
  <c r="BG102" i="71"/>
  <c r="EL47" i="71"/>
  <c r="BR202" i="71"/>
  <c r="EO3" i="71"/>
  <c r="BU102" i="71"/>
  <c r="BU81" i="71"/>
  <c r="AX113" i="71"/>
  <c r="BH182" i="71"/>
  <c r="BF182" i="71"/>
  <c r="BG182" i="71"/>
  <c r="EN54" i="71"/>
  <c r="BG217" i="71"/>
  <c r="BO102" i="71"/>
  <c r="BG113" i="71"/>
  <c r="BD200" i="71"/>
  <c r="BD217" i="71" s="1"/>
  <c r="BI150" i="71"/>
  <c r="BI155" i="71" s="1"/>
  <c r="BO141" i="71"/>
  <c r="BP141" i="71"/>
  <c r="BF150" i="71"/>
  <c r="BF155" i="71" s="1"/>
  <c r="BI183" i="71"/>
  <c r="BO200" i="71"/>
  <c r="BO217" i="71" s="1"/>
  <c r="BJ176" i="71"/>
  <c r="BL61" i="71"/>
  <c r="BO174" i="71"/>
  <c r="BD150" i="71"/>
  <c r="BD155" i="71" s="1"/>
  <c r="BP174" i="71"/>
  <c r="EZ4" i="71" l="1"/>
  <c r="FA4" i="71" s="1"/>
  <c r="FB4" i="71" s="1"/>
  <c r="FC4" i="71" s="1"/>
  <c r="FD4" i="71" s="1"/>
  <c r="FE4" i="71" s="1"/>
  <c r="FF4" i="71" s="1"/>
  <c r="FG4" i="71" s="1"/>
  <c r="FH4" i="71" s="1"/>
  <c r="FI4" i="71" s="1"/>
  <c r="FJ4" i="71" s="1"/>
  <c r="BU95" i="71"/>
  <c r="BU63" i="71"/>
  <c r="BU67" i="71" s="1"/>
  <c r="CO67" i="71"/>
  <c r="CO70" i="71" s="1"/>
  <c r="CO72" i="71" s="1"/>
  <c r="CO73" i="71" s="1"/>
  <c r="BV96" i="71"/>
  <c r="BV63" i="71"/>
  <c r="BV67" i="71" s="1"/>
  <c r="EY11" i="71"/>
  <c r="EZ11" i="71" s="1"/>
  <c r="FA11" i="71" s="1"/>
  <c r="FB11" i="71" s="1"/>
  <c r="FC11" i="71" s="1"/>
  <c r="FD11" i="71" s="1"/>
  <c r="FE11" i="71" s="1"/>
  <c r="FF11" i="71" s="1"/>
  <c r="FG11" i="71" s="1"/>
  <c r="FH11" i="71" s="1"/>
  <c r="FI11" i="71" s="1"/>
  <c r="FJ11" i="71" s="1"/>
  <c r="CK63" i="71"/>
  <c r="CK67" i="71" s="1"/>
  <c r="CK70" i="71" s="1"/>
  <c r="CK72" i="71" s="1"/>
  <c r="CK73" i="71" s="1"/>
  <c r="CK80" i="71" s="1"/>
  <c r="BZ61" i="71"/>
  <c r="BY61" i="71"/>
  <c r="BY63" i="71" s="1"/>
  <c r="BY67" i="71" s="1"/>
  <c r="FG36" i="71"/>
  <c r="EX30" i="71"/>
  <c r="CX67" i="71"/>
  <c r="CX97" i="71" s="1"/>
  <c r="CU96" i="71"/>
  <c r="CU95" i="71"/>
  <c r="EZ14" i="71"/>
  <c r="FA14" i="71" s="1"/>
  <c r="FB14" i="71" s="1"/>
  <c r="FC14" i="71" s="1"/>
  <c r="FD14" i="71" s="1"/>
  <c r="FE14" i="71" s="1"/>
  <c r="FF14" i="71" s="1"/>
  <c r="FG14" i="71" s="1"/>
  <c r="FH14" i="71" s="1"/>
  <c r="FI14" i="71" s="1"/>
  <c r="FJ14" i="71" s="1"/>
  <c r="CU63" i="71"/>
  <c r="CU94" i="71" s="1"/>
  <c r="EY13" i="71"/>
  <c r="DD81" i="71"/>
  <c r="DH3" i="71"/>
  <c r="EX3" i="71"/>
  <c r="CY77" i="71"/>
  <c r="DH30" i="71"/>
  <c r="DI30" i="71" s="1"/>
  <c r="DJ30" i="71" s="1"/>
  <c r="CS77" i="71"/>
  <c r="CO77" i="71"/>
  <c r="DA63" i="71"/>
  <c r="DA94" i="71" s="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Z19" i="71"/>
  <c r="FA19" i="71" s="1"/>
  <c r="FB19" i="71" s="1"/>
  <c r="FC19" i="71" s="1"/>
  <c r="FD19" i="71" s="1"/>
  <c r="FE19" i="71" s="1"/>
  <c r="FF19" i="71" s="1"/>
  <c r="FG19" i="71" s="1"/>
  <c r="FH19" i="71" s="1"/>
  <c r="FI19" i="71" s="1"/>
  <c r="FJ19" i="71" s="1"/>
  <c r="AZ97" i="71"/>
  <c r="CM80" i="71"/>
  <c r="AZ175" i="71"/>
  <c r="AZ187" i="71"/>
  <c r="AZ98" i="71"/>
  <c r="AZ99" i="71"/>
  <c r="AZ73" i="71"/>
  <c r="EZ47" i="71"/>
  <c r="FA47" i="71" s="1"/>
  <c r="FB47" i="71" s="1"/>
  <c r="FC47" i="71" s="1"/>
  <c r="FD47" i="71" s="1"/>
  <c r="FE47" i="71" s="1"/>
  <c r="FF47" i="71" s="1"/>
  <c r="FG47" i="71" s="1"/>
  <c r="FH47" i="71" s="1"/>
  <c r="FI47" i="71" s="1"/>
  <c r="FJ47" i="71" s="1"/>
  <c r="EZ12" i="71"/>
  <c r="FA12" i="71" s="1"/>
  <c r="FB12" i="71" s="1"/>
  <c r="FC12" i="71" s="1"/>
  <c r="FD12" i="71" s="1"/>
  <c r="FE12" i="71" s="1"/>
  <c r="FF12" i="71" s="1"/>
  <c r="FG12" i="71" s="1"/>
  <c r="FH12" i="71" s="1"/>
  <c r="FI12" i="71" s="1"/>
  <c r="FJ12" i="71" s="1"/>
  <c r="EW7" i="71"/>
  <c r="BD106" i="71"/>
  <c r="BD108" i="71" s="1"/>
  <c r="AZ246" i="71"/>
  <c r="EX58" i="71"/>
  <c r="FC74" i="71"/>
  <c r="BR95" i="71"/>
  <c r="BD96" i="71"/>
  <c r="BR105" i="71"/>
  <c r="BD95" i="71"/>
  <c r="DB94" i="71"/>
  <c r="BR63" i="71"/>
  <c r="BR94" i="71" s="1"/>
  <c r="EP116" i="71"/>
  <c r="EP228" i="71" s="1"/>
  <c r="EX60" i="71"/>
  <c r="EY60" i="71" s="1"/>
  <c r="EZ60" i="71" s="1"/>
  <c r="FA60" i="71" s="1"/>
  <c r="FB60" i="71" s="1"/>
  <c r="FC60" i="71" s="1"/>
  <c r="FD60" i="71" s="1"/>
  <c r="BR142" i="71"/>
  <c r="BD63" i="71"/>
  <c r="BD67" i="71" s="1"/>
  <c r="BD70" i="71" s="1"/>
  <c r="CT70" i="71"/>
  <c r="CT72" i="71" s="1"/>
  <c r="CT73" i="71" s="1"/>
  <c r="CT80" i="71" s="1"/>
  <c r="CT97" i="71"/>
  <c r="CS70" i="71"/>
  <c r="CS72" i="71" s="1"/>
  <c r="CS73" i="71" s="1"/>
  <c r="CS97" i="71"/>
  <c r="CQ70" i="71"/>
  <c r="CQ72" i="71" s="1"/>
  <c r="CQ73" i="71" s="1"/>
  <c r="CQ80" i="71" s="1"/>
  <c r="CQ97" i="71"/>
  <c r="CW70" i="71"/>
  <c r="CW72" i="71" s="1"/>
  <c r="CW73" i="71" s="1"/>
  <c r="CW97" i="71"/>
  <c r="CZ77" i="71"/>
  <c r="CZ94" i="71"/>
  <c r="CZ96" i="71"/>
  <c r="DA77" i="71"/>
  <c r="DA96" i="71"/>
  <c r="CV70" i="71"/>
  <c r="CV72" i="71" s="1"/>
  <c r="CV73" i="71" s="1"/>
  <c r="CV97" i="71"/>
  <c r="CR70" i="71"/>
  <c r="CR72" i="71" s="1"/>
  <c r="CR73" i="71" s="1"/>
  <c r="CR80" i="71" s="1"/>
  <c r="CR97" i="71"/>
  <c r="CY70" i="71"/>
  <c r="CY72" i="71" s="1"/>
  <c r="CY97" i="71"/>
  <c r="DB86" i="71"/>
  <c r="L70" i="71"/>
  <c r="L98" i="71" s="1"/>
  <c r="AE70" i="71"/>
  <c r="AE98" i="71" s="1"/>
  <c r="BD259" i="71"/>
  <c r="BD260" i="71" s="1"/>
  <c r="BD142" i="71"/>
  <c r="BD77" i="71"/>
  <c r="BD127" i="71" s="1"/>
  <c r="BD119" i="71"/>
  <c r="AZ106" i="71"/>
  <c r="AZ108" i="71" s="1"/>
  <c r="U99" i="71"/>
  <c r="U72" i="71"/>
  <c r="U73" i="71" s="1"/>
  <c r="BA106" i="71"/>
  <c r="BA105" i="71"/>
  <c r="BK185" i="71"/>
  <c r="K72" i="71"/>
  <c r="K73" i="71" s="1"/>
  <c r="BH185" i="71"/>
  <c r="K98" i="71"/>
  <c r="BD105" i="71"/>
  <c r="BE77" i="71"/>
  <c r="BE127" i="71" s="1"/>
  <c r="AZ185" i="71"/>
  <c r="AS259" i="71"/>
  <c r="AV246" i="71"/>
  <c r="AN61" i="71"/>
  <c r="AN95" i="71" s="1"/>
  <c r="H73" i="71"/>
  <c r="BM96" i="71"/>
  <c r="DS231" i="71"/>
  <c r="AE94" i="71"/>
  <c r="BM63" i="71"/>
  <c r="BM67" i="71" s="1"/>
  <c r="AE96" i="71"/>
  <c r="AP112" i="71"/>
  <c r="AE119" i="71"/>
  <c r="BM105" i="71"/>
  <c r="AT113" i="71"/>
  <c r="BM95" i="71"/>
  <c r="AE95" i="71"/>
  <c r="H99" i="71"/>
  <c r="AE105" i="71"/>
  <c r="D70" i="71"/>
  <c r="D99" i="71" s="1"/>
  <c r="H98" i="71"/>
  <c r="AE112" i="71"/>
  <c r="BM77" i="71"/>
  <c r="BJ63" i="71"/>
  <c r="BJ94" i="71" s="1"/>
  <c r="BJ142" i="71"/>
  <c r="BJ95" i="71"/>
  <c r="BJ105" i="71"/>
  <c r="BN77" i="71"/>
  <c r="BJ119" i="71"/>
  <c r="BN63" i="71"/>
  <c r="BN67" i="71" s="1"/>
  <c r="BQ63" i="71"/>
  <c r="BQ67" i="71" s="1"/>
  <c r="BN105" i="71"/>
  <c r="EJ102" i="71"/>
  <c r="EJ224" i="71" s="1"/>
  <c r="BU105" i="71"/>
  <c r="BJ112" i="71"/>
  <c r="DU70" i="71"/>
  <c r="DU99" i="71" s="1"/>
  <c r="Q98" i="71"/>
  <c r="AW77" i="71"/>
  <c r="AW127" i="71" s="1"/>
  <c r="AW96" i="71"/>
  <c r="BB185" i="71"/>
  <c r="DX231" i="71"/>
  <c r="Y98" i="71"/>
  <c r="Y72" i="71"/>
  <c r="Y100" i="71" s="1"/>
  <c r="AC105" i="71"/>
  <c r="BF106" i="71"/>
  <c r="AY112" i="71"/>
  <c r="AY95" i="71"/>
  <c r="AY105" i="71"/>
  <c r="AY119" i="71"/>
  <c r="AY142" i="71"/>
  <c r="EI113" i="71"/>
  <c r="AY96" i="71"/>
  <c r="AY63" i="71"/>
  <c r="EJ63" i="71" s="1"/>
  <c r="EJ230" i="71" s="1"/>
  <c r="EI102" i="71"/>
  <c r="EI224" i="71" s="1"/>
  <c r="EI229" i="71" s="1"/>
  <c r="AS142" i="71"/>
  <c r="AS95" i="71"/>
  <c r="O98" i="71"/>
  <c r="BN96" i="71"/>
  <c r="P72" i="71"/>
  <c r="P73" i="71" s="1"/>
  <c r="Q99" i="71"/>
  <c r="AW95" i="71"/>
  <c r="AS119" i="71"/>
  <c r="AS112" i="71"/>
  <c r="DX98" i="71"/>
  <c r="BR77" i="71"/>
  <c r="P99" i="71"/>
  <c r="AW119" i="71"/>
  <c r="DW231" i="71"/>
  <c r="AW259" i="71"/>
  <c r="BB200" i="71"/>
  <c r="BB217" i="71" s="1"/>
  <c r="AW105" i="71"/>
  <c r="G72" i="71"/>
  <c r="G73" i="71" s="1"/>
  <c r="AW142" i="71"/>
  <c r="AV106" i="71"/>
  <c r="AW63" i="71"/>
  <c r="AS63" i="71"/>
  <c r="BN142" i="71"/>
  <c r="AP105" i="71"/>
  <c r="AC77" i="71"/>
  <c r="AW112" i="71"/>
  <c r="DV231" i="71"/>
  <c r="BE185" i="71"/>
  <c r="BR183" i="71"/>
  <c r="BR182" i="71" s="1"/>
  <c r="S99" i="71"/>
  <c r="BC105" i="71"/>
  <c r="EI61" i="71"/>
  <c r="EJ77" i="71" s="1"/>
  <c r="F70" i="71"/>
  <c r="F99" i="71" s="1"/>
  <c r="BC112" i="71"/>
  <c r="BC259" i="71"/>
  <c r="BC260" i="71" s="1"/>
  <c r="BC63" i="71"/>
  <c r="BC94" i="71" s="1"/>
  <c r="BG77" i="71"/>
  <c r="BG127" i="71" s="1"/>
  <c r="BC77" i="71"/>
  <c r="BC127" i="71" s="1"/>
  <c r="BQ184" i="71"/>
  <c r="AR106" i="71"/>
  <c r="AR61" i="71"/>
  <c r="AR259" i="71" s="1"/>
  <c r="AV260" i="71" s="1"/>
  <c r="BC96" i="71"/>
  <c r="BU96" i="71"/>
  <c r="BT105" i="71"/>
  <c r="S72" i="71"/>
  <c r="S100" i="71" s="1"/>
  <c r="O99" i="71"/>
  <c r="AF104" i="71"/>
  <c r="M98" i="71"/>
  <c r="DX72" i="71"/>
  <c r="DX238" i="71" s="1"/>
  <c r="BO105" i="71"/>
  <c r="EE47" i="71"/>
  <c r="EE61" i="71" s="1"/>
  <c r="BU97" i="71"/>
  <c r="BG112" i="71"/>
  <c r="BG119" i="71"/>
  <c r="BO142" i="71"/>
  <c r="BG63" i="71"/>
  <c r="BG94" i="71" s="1"/>
  <c r="BO63" i="71"/>
  <c r="BG96" i="71"/>
  <c r="BG142" i="71"/>
  <c r="BO95" i="71"/>
  <c r="BE119" i="71"/>
  <c r="M99" i="71"/>
  <c r="DT231" i="71"/>
  <c r="BI63" i="71"/>
  <c r="BI96" i="71"/>
  <c r="BI142" i="71"/>
  <c r="BI95" i="71"/>
  <c r="BI119" i="71"/>
  <c r="BI112" i="71"/>
  <c r="BF77" i="71"/>
  <c r="BF63" i="71"/>
  <c r="BF67" i="71" s="1"/>
  <c r="EK102" i="71"/>
  <c r="EK105" i="71" s="1"/>
  <c r="AT105" i="71"/>
  <c r="AA119" i="71"/>
  <c r="DZ90" i="71"/>
  <c r="BC119" i="71"/>
  <c r="BC95" i="71"/>
  <c r="BF96" i="71"/>
  <c r="BF119" i="71"/>
  <c r="AA63" i="71"/>
  <c r="AA67" i="71" s="1"/>
  <c r="BF142" i="71"/>
  <c r="DS99" i="71"/>
  <c r="AE77" i="71"/>
  <c r="AE127" i="71" s="1"/>
  <c r="BO185" i="71"/>
  <c r="DS72" i="71"/>
  <c r="DS238" i="71" s="1"/>
  <c r="G99" i="71"/>
  <c r="EH81" i="71"/>
  <c r="AV67" i="71"/>
  <c r="AV97" i="71" s="1"/>
  <c r="AA96" i="71"/>
  <c r="AA112" i="71"/>
  <c r="AA95" i="71"/>
  <c r="EF47" i="71"/>
  <c r="EF61" i="71" s="1"/>
  <c r="EF63" i="71" s="1"/>
  <c r="AM112" i="71"/>
  <c r="AA77" i="71"/>
  <c r="BS105" i="71"/>
  <c r="BB67" i="71"/>
  <c r="BB70" i="71" s="1"/>
  <c r="BF95" i="71"/>
  <c r="BF112" i="71"/>
  <c r="V97" i="71"/>
  <c r="V70" i="71"/>
  <c r="AS105" i="71"/>
  <c r="BJ77" i="71"/>
  <c r="BJ127" i="71" s="1"/>
  <c r="EN61" i="71"/>
  <c r="EN63" i="71" s="1"/>
  <c r="DQ70" i="71"/>
  <c r="DQ72" i="71" s="1"/>
  <c r="BQ96" i="71"/>
  <c r="AL61" i="71"/>
  <c r="AL63" i="71" s="1"/>
  <c r="AL94" i="71" s="1"/>
  <c r="BA200" i="71"/>
  <c r="BA217" i="71" s="1"/>
  <c r="E72" i="71"/>
  <c r="E73" i="71" s="1"/>
  <c r="AW106" i="71"/>
  <c r="DZ97" i="71"/>
  <c r="DZ70" i="71"/>
  <c r="AM63" i="71"/>
  <c r="AM94" i="71" s="1"/>
  <c r="AX105" i="71"/>
  <c r="BB106" i="71"/>
  <c r="AM95" i="71"/>
  <c r="BL105" i="71"/>
  <c r="AI246" i="71"/>
  <c r="DV72" i="71"/>
  <c r="DV100" i="71" s="1"/>
  <c r="AX94" i="71"/>
  <c r="AX67" i="71"/>
  <c r="AM96" i="71"/>
  <c r="AI61" i="71"/>
  <c r="AI63" i="71" s="1"/>
  <c r="AK111" i="71"/>
  <c r="DV99" i="71"/>
  <c r="T97" i="71"/>
  <c r="T70" i="71"/>
  <c r="BQ77" i="71"/>
  <c r="W70" i="71"/>
  <c r="W72" i="71" s="1"/>
  <c r="W73" i="71" s="1"/>
  <c r="AK249" i="71"/>
  <c r="AO105" i="71"/>
  <c r="AO119" i="71"/>
  <c r="AO63" i="71"/>
  <c r="AO95" i="71"/>
  <c r="AO96" i="71"/>
  <c r="EG47" i="71"/>
  <c r="EG61" i="71" s="1"/>
  <c r="AO113" i="71"/>
  <c r="DT70" i="71"/>
  <c r="DT98" i="71" s="1"/>
  <c r="AS77" i="71"/>
  <c r="AS127" i="71" s="1"/>
  <c r="BT95" i="71"/>
  <c r="BU77" i="71"/>
  <c r="BE105" i="71"/>
  <c r="BE63" i="71"/>
  <c r="BE96" i="71"/>
  <c r="BE95" i="71"/>
  <c r="BI77" i="71"/>
  <c r="BI127" i="71" s="1"/>
  <c r="BE142" i="71"/>
  <c r="EB97" i="71"/>
  <c r="EB70" i="71"/>
  <c r="AC63" i="71"/>
  <c r="AC67" i="71" s="1"/>
  <c r="EM47" i="71"/>
  <c r="EM102" i="71" s="1"/>
  <c r="EM224" i="71" s="1"/>
  <c r="DY231" i="71"/>
  <c r="BP185" i="71"/>
  <c r="E98" i="71"/>
  <c r="AC96" i="71"/>
  <c r="BQ105" i="71"/>
  <c r="BQ95" i="71"/>
  <c r="BE217" i="71"/>
  <c r="EC61" i="71"/>
  <c r="EC96" i="71" s="1"/>
  <c r="DX53" i="71"/>
  <c r="DW53" i="71" s="1"/>
  <c r="DX91" i="71" s="1"/>
  <c r="AH102" i="71"/>
  <c r="AH246" i="71" s="1"/>
  <c r="EE111" i="71"/>
  <c r="AJ102" i="71"/>
  <c r="AJ105" i="71" s="1"/>
  <c r="AK102" i="71"/>
  <c r="AK104" i="71" s="1"/>
  <c r="AM102" i="71"/>
  <c r="AM105" i="71" s="1"/>
  <c r="DZ92" i="71"/>
  <c r="DY92" i="71"/>
  <c r="AQ61" i="71"/>
  <c r="EH47" i="71"/>
  <c r="M100" i="71"/>
  <c r="M73" i="71"/>
  <c r="AP96" i="71"/>
  <c r="AP63" i="71"/>
  <c r="AP142" i="71"/>
  <c r="AP95" i="71"/>
  <c r="AP119" i="71"/>
  <c r="AQ102" i="71"/>
  <c r="EP4" i="71"/>
  <c r="BA67" i="71"/>
  <c r="BA97" i="71" s="1"/>
  <c r="BA94" i="71"/>
  <c r="BP105" i="71"/>
  <c r="AL104" i="71"/>
  <c r="BK61" i="71"/>
  <c r="AL246" i="71"/>
  <c r="AT95" i="71"/>
  <c r="AT96" i="71"/>
  <c r="AT259" i="71"/>
  <c r="AX260" i="71" s="1"/>
  <c r="AT63" i="71"/>
  <c r="AT112" i="71"/>
  <c r="AX77" i="71"/>
  <c r="AX127" i="71" s="1"/>
  <c r="AT142" i="71"/>
  <c r="AT77" i="71"/>
  <c r="AT127" i="71" s="1"/>
  <c r="H91" i="71"/>
  <c r="AD105" i="71"/>
  <c r="AD119" i="71"/>
  <c r="AD96" i="71"/>
  <c r="AD95" i="71"/>
  <c r="AD77" i="71"/>
  <c r="AD63" i="71"/>
  <c r="AD112" i="71"/>
  <c r="DP98" i="71"/>
  <c r="DP72" i="71"/>
  <c r="DP99" i="71"/>
  <c r="EE81" i="71"/>
  <c r="ED81" i="71"/>
  <c r="EN102" i="71"/>
  <c r="I98" i="71"/>
  <c r="I72" i="71"/>
  <c r="I99" i="71"/>
  <c r="X72" i="71"/>
  <c r="X99" i="71"/>
  <c r="X98" i="71"/>
  <c r="AF61" i="71"/>
  <c r="AF112" i="71" s="1"/>
  <c r="AH63" i="71"/>
  <c r="AH94" i="71" s="1"/>
  <c r="AH112" i="71"/>
  <c r="AH77" i="71"/>
  <c r="AH127" i="71" s="1"/>
  <c r="AH96" i="71"/>
  <c r="AH95" i="71"/>
  <c r="AH119" i="71"/>
  <c r="AK119" i="71"/>
  <c r="AK95" i="71"/>
  <c r="AK63" i="71"/>
  <c r="AK96" i="71"/>
  <c r="AO77" i="71"/>
  <c r="AO127" i="71" s="1"/>
  <c r="AK112" i="71"/>
  <c r="ED61" i="71"/>
  <c r="ED63" i="71" s="1"/>
  <c r="BP142" i="71"/>
  <c r="BP63" i="71"/>
  <c r="BP95" i="71"/>
  <c r="BP96" i="71"/>
  <c r="BH63" i="71"/>
  <c r="BH77" i="71"/>
  <c r="BH112" i="71"/>
  <c r="BH142" i="71"/>
  <c r="BH96" i="71"/>
  <c r="BF202" i="71"/>
  <c r="BE184" i="71"/>
  <c r="DY97" i="71"/>
  <c r="DY70" i="71"/>
  <c r="BH95" i="71"/>
  <c r="BV105" i="71"/>
  <c r="EH226" i="71"/>
  <c r="EH113" i="71"/>
  <c r="DX56" i="71"/>
  <c r="DW56" i="71" s="1"/>
  <c r="EP6" i="71"/>
  <c r="EO83" i="71"/>
  <c r="AJ113" i="71"/>
  <c r="AF249" i="71"/>
  <c r="AF111" i="71"/>
  <c r="DZ91" i="71"/>
  <c r="EA97" i="71"/>
  <c r="AU102" i="71"/>
  <c r="BV77" i="71"/>
  <c r="BV95" i="71"/>
  <c r="DW97" i="71"/>
  <c r="DW70" i="71"/>
  <c r="C99" i="71"/>
  <c r="C98" i="71"/>
  <c r="C72" i="71"/>
  <c r="Q100" i="71"/>
  <c r="Q73" i="71"/>
  <c r="AU61" i="71"/>
  <c r="BH119" i="71"/>
  <c r="AG102" i="71"/>
  <c r="AG105" i="71" s="1"/>
  <c r="EM226" i="71"/>
  <c r="BH105" i="71"/>
  <c r="AC95" i="71"/>
  <c r="AC112" i="71"/>
  <c r="BT63" i="71"/>
  <c r="BT77" i="71"/>
  <c r="BT96" i="71"/>
  <c r="J73" i="71"/>
  <c r="J100" i="71"/>
  <c r="AJ96" i="71"/>
  <c r="AJ95" i="71"/>
  <c r="AJ112" i="71"/>
  <c r="AJ119" i="71"/>
  <c r="AJ63" i="71"/>
  <c r="BM185" i="71"/>
  <c r="BL185" i="71"/>
  <c r="Z97" i="71"/>
  <c r="Z70" i="71"/>
  <c r="BW61" i="71"/>
  <c r="EJ142" i="71"/>
  <c r="EJ95" i="71"/>
  <c r="EK95" i="71" s="1"/>
  <c r="EJ119" i="71"/>
  <c r="EJ96" i="71"/>
  <c r="AN104" i="71"/>
  <c r="AN246" i="71"/>
  <c r="O100" i="71"/>
  <c r="O73" i="71"/>
  <c r="EK63" i="71"/>
  <c r="EK77" i="71"/>
  <c r="EK119" i="71"/>
  <c r="EK112" i="71"/>
  <c r="BY81" i="71"/>
  <c r="EP3" i="71"/>
  <c r="EO81" i="71"/>
  <c r="EO102" i="71"/>
  <c r="BS95" i="71"/>
  <c r="BS96" i="71"/>
  <c r="BS77" i="71"/>
  <c r="EJ113" i="71"/>
  <c r="EJ115" i="71" s="1"/>
  <c r="EJ226" i="71"/>
  <c r="EJ112" i="71"/>
  <c r="EC111" i="71"/>
  <c r="EC226" i="71"/>
  <c r="EC229" i="71" s="1"/>
  <c r="BI106" i="71"/>
  <c r="BI105" i="71"/>
  <c r="CB77" i="71"/>
  <c r="BL182" i="71"/>
  <c r="BI184" i="71"/>
  <c r="BJ182" i="71"/>
  <c r="BK182" i="71"/>
  <c r="EO54" i="71"/>
  <c r="EO61" i="71" s="1"/>
  <c r="EN109" i="71"/>
  <c r="BR217" i="71"/>
  <c r="EL61" i="71"/>
  <c r="EL102" i="71"/>
  <c r="AB95" i="71"/>
  <c r="AB77" i="71"/>
  <c r="AB63" i="71"/>
  <c r="AB105" i="71"/>
  <c r="AB96" i="71"/>
  <c r="AB112" i="71"/>
  <c r="AB119" i="71"/>
  <c r="BQ185" i="71"/>
  <c r="AT183" i="71"/>
  <c r="AT184" i="71" s="1"/>
  <c r="AS184" i="71"/>
  <c r="DR72" i="71"/>
  <c r="DR99" i="71"/>
  <c r="DR98" i="71"/>
  <c r="AK77" i="71"/>
  <c r="AK127" i="71" s="1"/>
  <c r="AG63" i="71"/>
  <c r="AG96" i="71"/>
  <c r="AG119" i="71"/>
  <c r="AG77" i="71"/>
  <c r="AG127" i="71" s="1"/>
  <c r="AG95" i="71"/>
  <c r="BL96" i="71"/>
  <c r="BL142" i="71"/>
  <c r="BL95" i="71"/>
  <c r="BL77" i="71"/>
  <c r="BL63" i="71"/>
  <c r="BP77" i="71"/>
  <c r="BI182" i="71"/>
  <c r="BG105" i="71"/>
  <c r="BG106" i="71"/>
  <c r="EG113" i="71"/>
  <c r="EF111" i="71"/>
  <c r="EF226" i="71"/>
  <c r="EF229" i="71" s="1"/>
  <c r="R72" i="71"/>
  <c r="R99" i="71"/>
  <c r="R98" i="71"/>
  <c r="EA99" i="71"/>
  <c r="EA98" i="71"/>
  <c r="EA72" i="71"/>
  <c r="BI217" i="71"/>
  <c r="N73" i="71"/>
  <c r="N100" i="71"/>
  <c r="CS80" i="71" l="1"/>
  <c r="CD77" i="71"/>
  <c r="BZ63" i="71"/>
  <c r="BZ67" i="71" s="1"/>
  <c r="BZ70" i="71" s="1"/>
  <c r="CO80" i="71"/>
  <c r="CA77" i="71"/>
  <c r="BW63" i="71"/>
  <c r="BW67" i="71" s="1"/>
  <c r="BW70" i="71" s="1"/>
  <c r="EY3" i="71"/>
  <c r="CX70" i="71"/>
  <c r="CX72" i="71" s="1"/>
  <c r="CX73" i="71" s="1"/>
  <c r="CX80" i="71" s="1"/>
  <c r="CU67" i="71"/>
  <c r="CU97" i="71" s="1"/>
  <c r="FH36" i="71"/>
  <c r="EY30" i="71"/>
  <c r="EZ30" i="71" s="1"/>
  <c r="FA30" i="71" s="1"/>
  <c r="FB30" i="71" s="1"/>
  <c r="FC30" i="71" s="1"/>
  <c r="FD30" i="71" s="1"/>
  <c r="FE30" i="71" s="1"/>
  <c r="FF30" i="71" s="1"/>
  <c r="FG30" i="71" s="1"/>
  <c r="FH30" i="71" s="1"/>
  <c r="FI30" i="71" s="1"/>
  <c r="FJ30" i="71" s="1"/>
  <c r="DA66" i="71"/>
  <c r="DA67" i="71" s="1"/>
  <c r="EW64" i="71"/>
  <c r="EW66" i="71" s="1"/>
  <c r="CY73" i="71"/>
  <c r="CY187" i="71"/>
  <c r="Z68" i="42"/>
  <c r="M67" i="42"/>
  <c r="L65" i="42"/>
  <c r="AA65" i="42" s="1"/>
  <c r="L70" i="42"/>
  <c r="AA70" i="42" s="1"/>
  <c r="P62" i="42"/>
  <c r="AE62" i="42" s="1"/>
  <c r="N66" i="42"/>
  <c r="M69" i="42"/>
  <c r="AA69" i="42"/>
  <c r="L68" i="42"/>
  <c r="AA68" i="42" s="1"/>
  <c r="AE72" i="71"/>
  <c r="AE73" i="71" s="1"/>
  <c r="L72" i="71"/>
  <c r="L73" i="71" s="1"/>
  <c r="P80" i="71" s="1"/>
  <c r="BR67" i="71"/>
  <c r="BR97" i="71" s="1"/>
  <c r="K100" i="71"/>
  <c r="EY58" i="71"/>
  <c r="EX92" i="71"/>
  <c r="FD74" i="71"/>
  <c r="FE60" i="71"/>
  <c r="FF60" i="71" s="1"/>
  <c r="FG60" i="71" s="1"/>
  <c r="FH60" i="71" s="1"/>
  <c r="FI60" i="71" s="1"/>
  <c r="FJ60" i="71" s="1"/>
  <c r="CV80" i="71"/>
  <c r="U100" i="71"/>
  <c r="BD97" i="71"/>
  <c r="BD94" i="71"/>
  <c r="DB66" i="71"/>
  <c r="DB67" i="71" s="1"/>
  <c r="AE99" i="71"/>
  <c r="DB96" i="71"/>
  <c r="DA95" i="71"/>
  <c r="DA79" i="71"/>
  <c r="L99" i="71"/>
  <c r="CW80" i="71"/>
  <c r="CZ95" i="71"/>
  <c r="CZ79" i="71"/>
  <c r="CZ70" i="71"/>
  <c r="DC77" i="71"/>
  <c r="DC94" i="71"/>
  <c r="DC96" i="71"/>
  <c r="EC105" i="71"/>
  <c r="E100" i="71"/>
  <c r="DD61" i="71"/>
  <c r="AW124" i="71"/>
  <c r="AW261" i="71" s="1"/>
  <c r="BM94" i="71"/>
  <c r="BQ94" i="71"/>
  <c r="EC119" i="71"/>
  <c r="EC63" i="71"/>
  <c r="EC94" i="71" s="1"/>
  <c r="AW260" i="71"/>
  <c r="AN63" i="71"/>
  <c r="AN67" i="71" s="1"/>
  <c r="AN96" i="71"/>
  <c r="S73" i="71"/>
  <c r="W80" i="71" s="1"/>
  <c r="AN119" i="71"/>
  <c r="AN77" i="71"/>
  <c r="AN127" i="71" s="1"/>
  <c r="AN105" i="71"/>
  <c r="AN112" i="71"/>
  <c r="EI96" i="71"/>
  <c r="D72" i="71"/>
  <c r="D100" i="71" s="1"/>
  <c r="BN94" i="71"/>
  <c r="D98" i="71"/>
  <c r="EI63" i="71"/>
  <c r="EI94" i="71" s="1"/>
  <c r="EI95" i="71"/>
  <c r="EI119" i="71"/>
  <c r="EI112" i="71"/>
  <c r="AY67" i="71"/>
  <c r="AY70" i="71" s="1"/>
  <c r="AY94" i="71"/>
  <c r="BG67" i="71"/>
  <c r="BG70" i="71" s="1"/>
  <c r="DQ99" i="71"/>
  <c r="BJ67" i="71"/>
  <c r="BJ70" i="71" s="1"/>
  <c r="EC112" i="71"/>
  <c r="DT72" i="71"/>
  <c r="DT238" i="71" s="1"/>
  <c r="DX73" i="71"/>
  <c r="DX237" i="71" s="1"/>
  <c r="DX100" i="71"/>
  <c r="BF94" i="71"/>
  <c r="DU72" i="71"/>
  <c r="DU73" i="71" s="1"/>
  <c r="DU237" i="71" s="1"/>
  <c r="DU98" i="71"/>
  <c r="DT99" i="71"/>
  <c r="EJ229" i="71"/>
  <c r="EJ231" i="71" s="1"/>
  <c r="EK106" i="71"/>
  <c r="BC67" i="71"/>
  <c r="BC97" i="71" s="1"/>
  <c r="EJ105" i="71"/>
  <c r="Y73" i="71"/>
  <c r="Y80" i="71" s="1"/>
  <c r="F98" i="71"/>
  <c r="F72" i="71"/>
  <c r="F100" i="71" s="1"/>
  <c r="EI105" i="71"/>
  <c r="EE96" i="71"/>
  <c r="EE105" i="71"/>
  <c r="P100" i="71"/>
  <c r="G100" i="71"/>
  <c r="AR112" i="71"/>
  <c r="BR184" i="71"/>
  <c r="AR96" i="71"/>
  <c r="AR119" i="71"/>
  <c r="BA260" i="71"/>
  <c r="AR77" i="71"/>
  <c r="AR127" i="71" s="1"/>
  <c r="AR142" i="71"/>
  <c r="AR95" i="71"/>
  <c r="EJ106" i="71"/>
  <c r="EJ108" i="71" s="1"/>
  <c r="AH67" i="71"/>
  <c r="AH97" i="71" s="1"/>
  <c r="AR63" i="71"/>
  <c r="Q80" i="71"/>
  <c r="DV238" i="71"/>
  <c r="AL95" i="71"/>
  <c r="AS67" i="71"/>
  <c r="AS94" i="71"/>
  <c r="AV70" i="71"/>
  <c r="AV98" i="71" s="1"/>
  <c r="ED96" i="71"/>
  <c r="EL63" i="71"/>
  <c r="EL67" i="71" s="1"/>
  <c r="DV73" i="71"/>
  <c r="DV237" i="71" s="1"/>
  <c r="AR105" i="71"/>
  <c r="AW94" i="71"/>
  <c r="AW67" i="71"/>
  <c r="AJ246" i="71"/>
  <c r="ED105" i="71"/>
  <c r="AL67" i="71"/>
  <c r="AL97" i="71" s="1"/>
  <c r="ED119" i="71"/>
  <c r="ED112" i="71"/>
  <c r="EE77" i="71"/>
  <c r="AL96" i="71"/>
  <c r="AL119" i="71"/>
  <c r="AL112" i="71"/>
  <c r="AL77" i="71"/>
  <c r="AL127" i="71" s="1"/>
  <c r="AL105" i="71"/>
  <c r="AV77" i="71"/>
  <c r="AV124" i="71" s="1"/>
  <c r="AV261" i="71" s="1"/>
  <c r="AG246" i="71"/>
  <c r="EF96" i="71"/>
  <c r="AG104" i="71"/>
  <c r="EE112" i="71"/>
  <c r="BU70" i="71"/>
  <c r="BU98" i="71" s="1"/>
  <c r="EE119" i="71"/>
  <c r="DQ98" i="71"/>
  <c r="EC77" i="71"/>
  <c r="EC95" i="71"/>
  <c r="EF105" i="71"/>
  <c r="EE95" i="71"/>
  <c r="EE63" i="71"/>
  <c r="EE67" i="71" s="1"/>
  <c r="BB97" i="71"/>
  <c r="EM229" i="71"/>
  <c r="DS73" i="71"/>
  <c r="DS237" i="71" s="1"/>
  <c r="AI95" i="71"/>
  <c r="AC94" i="71"/>
  <c r="ED77" i="71"/>
  <c r="DS100" i="71"/>
  <c r="AI105" i="71"/>
  <c r="BO94" i="71"/>
  <c r="BO67" i="71"/>
  <c r="EK224" i="71"/>
  <c r="EK229" i="71" s="1"/>
  <c r="EN119" i="71"/>
  <c r="EN105" i="71"/>
  <c r="K80" i="71"/>
  <c r="EM61" i="71"/>
  <c r="EM112" i="71" s="1"/>
  <c r="BI67" i="71"/>
  <c r="BI94" i="71"/>
  <c r="EF77" i="71"/>
  <c r="EF119" i="71"/>
  <c r="AJ77" i="71"/>
  <c r="AJ127" i="71" s="1"/>
  <c r="EJ94" i="71"/>
  <c r="AM67" i="71"/>
  <c r="EF95" i="71"/>
  <c r="EJ62" i="71"/>
  <c r="AA94" i="71"/>
  <c r="EF112" i="71"/>
  <c r="AF77" i="71"/>
  <c r="AF127" i="71" s="1"/>
  <c r="AP77" i="71"/>
  <c r="DZ98" i="71"/>
  <c r="DZ99" i="71"/>
  <c r="DZ72" i="71"/>
  <c r="V98" i="71"/>
  <c r="V72" i="71"/>
  <c r="V99" i="71"/>
  <c r="DY91" i="71"/>
  <c r="EJ67" i="71"/>
  <c r="EJ70" i="71" s="1"/>
  <c r="EJ98" i="71" s="1"/>
  <c r="EG77" i="71"/>
  <c r="EG63" i="71"/>
  <c r="EG67" i="71" s="1"/>
  <c r="EG96" i="71"/>
  <c r="EG95" i="71"/>
  <c r="EG119" i="71"/>
  <c r="EG112" i="71"/>
  <c r="T99" i="71"/>
  <c r="T72" i="71"/>
  <c r="T98" i="71"/>
  <c r="AJ104" i="71"/>
  <c r="BE94" i="71"/>
  <c r="BE67" i="71"/>
  <c r="AO94" i="71"/>
  <c r="AO67" i="71"/>
  <c r="AM77" i="71"/>
  <c r="AM127" i="71" s="1"/>
  <c r="AI96" i="71"/>
  <c r="EG102" i="71"/>
  <c r="EG224" i="71" s="1"/>
  <c r="EG229" i="71" s="1"/>
  <c r="BA70" i="71"/>
  <c r="BA99" i="71" s="1"/>
  <c r="EN224" i="71"/>
  <c r="AI119" i="71"/>
  <c r="EN106" i="71"/>
  <c r="AI77" i="71"/>
  <c r="AI127" i="71" s="1"/>
  <c r="EB72" i="71"/>
  <c r="EB98" i="71"/>
  <c r="EB99" i="71"/>
  <c r="AX70" i="71"/>
  <c r="AX97" i="71"/>
  <c r="AI112" i="71"/>
  <c r="W99" i="71"/>
  <c r="W98" i="71"/>
  <c r="N80" i="71"/>
  <c r="AH105" i="71"/>
  <c r="AK246" i="71"/>
  <c r="AO106" i="71"/>
  <c r="AK105" i="71"/>
  <c r="AH104" i="71"/>
  <c r="AM104" i="71"/>
  <c r="AM246" i="71"/>
  <c r="ED95" i="71"/>
  <c r="DP100" i="71"/>
  <c r="DP73" i="71"/>
  <c r="DP237" i="71" s="1"/>
  <c r="EH102" i="71"/>
  <c r="EH61" i="71"/>
  <c r="EQ4" i="71"/>
  <c r="EP82" i="71"/>
  <c r="AA97" i="71"/>
  <c r="AA70" i="71"/>
  <c r="AQ63" i="71"/>
  <c r="AQ119" i="71"/>
  <c r="AQ95" i="71"/>
  <c r="AQ259" i="71"/>
  <c r="AQ77" i="71"/>
  <c r="AQ112" i="71"/>
  <c r="AQ96" i="71"/>
  <c r="AQ142" i="71"/>
  <c r="AQ106" i="71"/>
  <c r="AQ105" i="71"/>
  <c r="AF96" i="71"/>
  <c r="AF119" i="71"/>
  <c r="AF63" i="71"/>
  <c r="AF105" i="71"/>
  <c r="AF95" i="71"/>
  <c r="AD67" i="71"/>
  <c r="AD94" i="71"/>
  <c r="AT67" i="71"/>
  <c r="AT94" i="71"/>
  <c r="BK96" i="71"/>
  <c r="BK63" i="71"/>
  <c r="BK95" i="71"/>
  <c r="BK142" i="71"/>
  <c r="BK77" i="71"/>
  <c r="BO77" i="71"/>
  <c r="AP67" i="71"/>
  <c r="AP94" i="71"/>
  <c r="I100" i="71"/>
  <c r="I73" i="71"/>
  <c r="M80" i="71" s="1"/>
  <c r="X100" i="71"/>
  <c r="X73" i="71"/>
  <c r="DP238" i="71"/>
  <c r="BK105" i="71"/>
  <c r="EP83" i="71"/>
  <c r="BT94" i="71"/>
  <c r="BT67" i="71"/>
  <c r="BQ97" i="71"/>
  <c r="BQ70" i="71"/>
  <c r="AU105" i="71"/>
  <c r="AU246" i="71"/>
  <c r="AU106" i="71"/>
  <c r="AY106" i="71"/>
  <c r="AU63" i="71"/>
  <c r="AU96" i="71"/>
  <c r="AU95" i="71"/>
  <c r="AU112" i="71"/>
  <c r="AU259" i="71"/>
  <c r="AU142" i="71"/>
  <c r="AU119" i="71"/>
  <c r="AY77" i="71"/>
  <c r="AY127" i="71" s="1"/>
  <c r="AU77" i="71"/>
  <c r="AU127" i="71" s="1"/>
  <c r="BD99" i="71"/>
  <c r="BD98" i="71"/>
  <c r="BD72" i="71"/>
  <c r="DW99" i="71"/>
  <c r="DW72" i="71"/>
  <c r="DW98" i="71"/>
  <c r="BP94" i="71"/>
  <c r="BP67" i="71"/>
  <c r="C73" i="71"/>
  <c r="C100" i="71"/>
  <c r="W100" i="71"/>
  <c r="DQ238" i="71"/>
  <c r="DQ100" i="71"/>
  <c r="DQ73" i="71"/>
  <c r="BH94" i="71"/>
  <c r="BH67" i="71"/>
  <c r="AI67" i="71"/>
  <c r="AI94" i="71"/>
  <c r="DY72" i="71"/>
  <c r="DY99" i="71"/>
  <c r="DY98" i="71"/>
  <c r="BM70" i="71"/>
  <c r="BM97" i="71"/>
  <c r="BF184" i="71"/>
  <c r="BF217" i="71"/>
  <c r="AK67" i="71"/>
  <c r="AK94" i="71"/>
  <c r="EO63" i="71"/>
  <c r="EO62" i="71" s="1"/>
  <c r="EO77" i="71"/>
  <c r="EO64" i="71"/>
  <c r="EO79" i="71" s="1"/>
  <c r="EO119" i="71"/>
  <c r="BN70" i="71"/>
  <c r="BN97" i="71"/>
  <c r="BL94" i="71"/>
  <c r="BL67" i="71"/>
  <c r="BB72" i="71"/>
  <c r="BB99" i="71"/>
  <c r="BB98" i="71"/>
  <c r="EL224" i="71"/>
  <c r="EL229" i="71" s="1"/>
  <c r="EL105" i="71"/>
  <c r="EM106" i="71"/>
  <c r="EL106" i="71"/>
  <c r="BS94" i="71"/>
  <c r="BS67" i="71"/>
  <c r="EA100" i="71"/>
  <c r="EA73" i="71"/>
  <c r="EA238" i="71"/>
  <c r="BF70" i="71"/>
  <c r="BF97" i="71"/>
  <c r="EL77" i="71"/>
  <c r="EL119" i="71"/>
  <c r="EL112" i="71"/>
  <c r="BX77" i="71"/>
  <c r="BX70" i="71"/>
  <c r="EF230" i="71"/>
  <c r="EF231" i="71" s="1"/>
  <c r="EF67" i="71"/>
  <c r="EF94" i="71"/>
  <c r="Z98" i="71"/>
  <c r="Z99" i="71"/>
  <c r="Z72" i="71"/>
  <c r="BZ77" i="71"/>
  <c r="EK230" i="71"/>
  <c r="EK94" i="71"/>
  <c r="EK67" i="71"/>
  <c r="BW77" i="71"/>
  <c r="EN226" i="71"/>
  <c r="EN112" i="71"/>
  <c r="O80" i="71"/>
  <c r="AG67" i="71"/>
  <c r="AG94" i="71"/>
  <c r="AB94" i="71"/>
  <c r="AB67" i="71"/>
  <c r="EP54" i="71"/>
  <c r="EP61" i="71" s="1"/>
  <c r="EP96" i="71" s="1"/>
  <c r="EO109" i="71"/>
  <c r="EO224" i="71"/>
  <c r="EO106" i="71"/>
  <c r="EO105" i="71"/>
  <c r="EN67" i="71"/>
  <c r="EN230" i="71"/>
  <c r="EN94" i="71"/>
  <c r="AC70" i="71"/>
  <c r="AC97" i="71"/>
  <c r="R73" i="71"/>
  <c r="R100" i="71"/>
  <c r="EQ3" i="71"/>
  <c r="EP81" i="71"/>
  <c r="EP102" i="71"/>
  <c r="U80" i="71"/>
  <c r="DR238" i="71"/>
  <c r="DR73" i="71"/>
  <c r="DR100" i="71"/>
  <c r="CC77" i="71"/>
  <c r="ED94" i="71"/>
  <c r="ED230" i="71"/>
  <c r="ED231" i="71" s="1"/>
  <c r="ED67" i="71"/>
  <c r="AJ67" i="71"/>
  <c r="AJ94" i="71"/>
  <c r="DD63" i="71" l="1"/>
  <c r="CU70" i="71"/>
  <c r="CU72" i="71" s="1"/>
  <c r="CU73" i="71" s="1"/>
  <c r="FI36" i="71"/>
  <c r="CY80" i="71"/>
  <c r="L80" i="71"/>
  <c r="L100" i="71"/>
  <c r="BR70" i="71"/>
  <c r="BR98" i="71" s="1"/>
  <c r="AE100" i="71"/>
  <c r="N69" i="42"/>
  <c r="O66" i="42"/>
  <c r="AB69" i="42"/>
  <c r="N67" i="42"/>
  <c r="M65" i="42"/>
  <c r="AB65" i="42" s="1"/>
  <c r="M70" i="42"/>
  <c r="AB70" i="42" s="1"/>
  <c r="CU80" i="71"/>
  <c r="BJ97" i="71"/>
  <c r="S80" i="71"/>
  <c r="AH70" i="71"/>
  <c r="AH72" i="71" s="1"/>
  <c r="DB79" i="71"/>
  <c r="DB95" i="71"/>
  <c r="EY92" i="71"/>
  <c r="EZ58" i="71"/>
  <c r="FE74" i="71"/>
  <c r="FF74" i="71" s="1"/>
  <c r="FG74" i="71" s="1"/>
  <c r="FH74" i="71" s="1"/>
  <c r="FI74" i="71" s="1"/>
  <c r="FJ74" i="71" s="1"/>
  <c r="EC230" i="71"/>
  <c r="EC231" i="71" s="1"/>
  <c r="AN94" i="71"/>
  <c r="CZ72" i="71"/>
  <c r="CZ187" i="71" s="1"/>
  <c r="CZ97" i="71"/>
  <c r="DC95" i="71"/>
  <c r="DC79" i="71"/>
  <c r="DC66" i="71"/>
  <c r="DC67" i="71" s="1"/>
  <c r="DD77" i="71"/>
  <c r="DD96" i="71"/>
  <c r="DD94" i="71"/>
  <c r="DA97" i="71"/>
  <c r="DA70" i="71"/>
  <c r="DB97" i="71"/>
  <c r="DB70" i="71"/>
  <c r="DD86" i="71"/>
  <c r="EC67" i="71"/>
  <c r="EC97" i="71" s="1"/>
  <c r="DE61" i="71"/>
  <c r="AY97" i="71"/>
  <c r="BR71" i="71"/>
  <c r="BR72" i="71" s="1"/>
  <c r="BR175" i="71" s="1"/>
  <c r="D73" i="71"/>
  <c r="H80" i="71" s="1"/>
  <c r="EI67" i="71"/>
  <c r="EI97" i="71" s="1"/>
  <c r="EI230" i="71"/>
  <c r="EI231" i="71" s="1"/>
  <c r="DU238" i="71"/>
  <c r="BG97" i="71"/>
  <c r="DU100" i="71"/>
  <c r="F73" i="71"/>
  <c r="J80" i="71" s="1"/>
  <c r="AL70" i="71"/>
  <c r="AL99" i="71" s="1"/>
  <c r="BC70" i="71"/>
  <c r="BC98" i="71" s="1"/>
  <c r="EH106" i="71"/>
  <c r="AV72" i="71"/>
  <c r="AV100" i="71" s="1"/>
  <c r="AV99" i="71"/>
  <c r="DT100" i="71"/>
  <c r="EG105" i="71"/>
  <c r="DT73" i="71"/>
  <c r="DT80" i="71" s="1"/>
  <c r="BU99" i="71"/>
  <c r="EM119" i="71"/>
  <c r="AV127" i="71"/>
  <c r="EM77" i="71"/>
  <c r="EM105" i="71"/>
  <c r="EM63" i="71"/>
  <c r="EM230" i="71" s="1"/>
  <c r="EM231" i="71" s="1"/>
  <c r="AR94" i="71"/>
  <c r="AR67" i="71"/>
  <c r="EL62" i="71"/>
  <c r="AW97" i="71"/>
  <c r="AW70" i="71"/>
  <c r="AS97" i="71"/>
  <c r="AS70" i="71"/>
  <c r="EL94" i="71"/>
  <c r="EL230" i="71"/>
  <c r="EL231" i="71" s="1"/>
  <c r="BA98" i="71"/>
  <c r="BA72" i="71"/>
  <c r="BA73" i="71" s="1"/>
  <c r="EN77" i="71"/>
  <c r="EG106" i="71"/>
  <c r="EE230" i="71"/>
  <c r="EE231" i="71" s="1"/>
  <c r="EE94" i="71"/>
  <c r="EK231" i="71"/>
  <c r="BO97" i="71"/>
  <c r="BO70" i="71"/>
  <c r="EJ72" i="71"/>
  <c r="EJ73" i="71" s="1"/>
  <c r="EJ99" i="71"/>
  <c r="BI97" i="71"/>
  <c r="BI70" i="71"/>
  <c r="EG230" i="71"/>
  <c r="EG231" i="71" s="1"/>
  <c r="AM97" i="71"/>
  <c r="AM70" i="71"/>
  <c r="EG94" i="71"/>
  <c r="V100" i="71"/>
  <c r="V73" i="71"/>
  <c r="V80" i="71" s="1"/>
  <c r="DV80" i="71"/>
  <c r="DZ100" i="71"/>
  <c r="DZ73" i="71"/>
  <c r="DZ237" i="71" s="1"/>
  <c r="DZ238" i="71"/>
  <c r="EJ97" i="71"/>
  <c r="AX72" i="71"/>
  <c r="AX98" i="71"/>
  <c r="AX99" i="71"/>
  <c r="AY99" i="71"/>
  <c r="AY98" i="71"/>
  <c r="AY72" i="71"/>
  <c r="T73" i="71"/>
  <c r="T80" i="71" s="1"/>
  <c r="T100" i="71"/>
  <c r="EB73" i="71"/>
  <c r="EB237" i="71" s="1"/>
  <c r="EB100" i="71"/>
  <c r="EB238" i="71"/>
  <c r="BE97" i="71"/>
  <c r="BE70" i="71"/>
  <c r="AO70" i="71"/>
  <c r="AO97" i="71"/>
  <c r="EN229" i="71"/>
  <c r="EN231" i="71" s="1"/>
  <c r="BK67" i="71"/>
  <c r="BK94" i="71"/>
  <c r="AA72" i="71"/>
  <c r="AA99" i="71"/>
  <c r="AA98" i="71"/>
  <c r="AQ67" i="71"/>
  <c r="AQ94" i="71"/>
  <c r="AT97" i="71"/>
  <c r="AT70" i="71"/>
  <c r="EQ82" i="71"/>
  <c r="EH95" i="71"/>
  <c r="EH63" i="71"/>
  <c r="EH119" i="71"/>
  <c r="EH112" i="71"/>
  <c r="EH96" i="71"/>
  <c r="EH77" i="71"/>
  <c r="EI77" i="71"/>
  <c r="EH224" i="71"/>
  <c r="EH229" i="71" s="1"/>
  <c r="EH105" i="71"/>
  <c r="EI106" i="71"/>
  <c r="AF94" i="71"/>
  <c r="AF67" i="71"/>
  <c r="AP70" i="71"/>
  <c r="AP97" i="71"/>
  <c r="AD97" i="71"/>
  <c r="AD70" i="71"/>
  <c r="I80" i="71"/>
  <c r="BJ98" i="71"/>
  <c r="BJ72" i="71"/>
  <c r="BJ99" i="71"/>
  <c r="AU94" i="71"/>
  <c r="AU67" i="71"/>
  <c r="AK97" i="71"/>
  <c r="AK70" i="71"/>
  <c r="BH70" i="71"/>
  <c r="BH97" i="71"/>
  <c r="DQ80" i="71"/>
  <c r="DQ237" i="71"/>
  <c r="BV97" i="71"/>
  <c r="BV70" i="71"/>
  <c r="BM98" i="71"/>
  <c r="BM99" i="71"/>
  <c r="BM72" i="71"/>
  <c r="DY238" i="71"/>
  <c r="DY100" i="71"/>
  <c r="DY73" i="71"/>
  <c r="BP70" i="71"/>
  <c r="BP97" i="71"/>
  <c r="EQ83" i="71"/>
  <c r="AI70" i="71"/>
  <c r="AI97" i="71"/>
  <c r="BQ99" i="71"/>
  <c r="BQ72" i="71"/>
  <c r="BQ98" i="71"/>
  <c r="AY260" i="71"/>
  <c r="AU260" i="71"/>
  <c r="BD175" i="71"/>
  <c r="BD73" i="71"/>
  <c r="BD80" i="71" s="1"/>
  <c r="BD187" i="71"/>
  <c r="BD100" i="71"/>
  <c r="DW100" i="71"/>
  <c r="DW73" i="71"/>
  <c r="DW238" i="71"/>
  <c r="BT70" i="71"/>
  <c r="BT97" i="71"/>
  <c r="R80" i="71"/>
  <c r="EA237" i="71"/>
  <c r="BX72" i="71"/>
  <c r="BX73" i="71" s="1"/>
  <c r="CB80" i="71" s="1"/>
  <c r="BG99" i="71"/>
  <c r="BG72" i="71"/>
  <c r="BG98" i="71"/>
  <c r="EL70" i="71"/>
  <c r="EL97" i="71"/>
  <c r="EE97" i="71"/>
  <c r="EE70" i="71"/>
  <c r="BY70" i="71"/>
  <c r="BY77" i="71"/>
  <c r="EN97" i="71"/>
  <c r="EN70" i="71"/>
  <c r="BS97" i="71"/>
  <c r="BS70" i="71"/>
  <c r="Z73" i="71"/>
  <c r="Z100" i="71"/>
  <c r="EK70" i="71"/>
  <c r="EK97" i="71"/>
  <c r="BL70" i="71"/>
  <c r="BL97" i="71"/>
  <c r="AB70" i="71"/>
  <c r="AB97" i="71"/>
  <c r="AG97" i="71"/>
  <c r="AG70" i="71"/>
  <c r="DS80" i="71"/>
  <c r="DR237" i="71"/>
  <c r="DR80" i="71"/>
  <c r="BW72" i="71"/>
  <c r="BW73" i="71" s="1"/>
  <c r="CA80" i="71" s="1"/>
  <c r="EP63" i="71"/>
  <c r="EP77" i="71"/>
  <c r="EP119" i="71"/>
  <c r="ED97" i="71"/>
  <c r="ED70" i="71"/>
  <c r="EQ81" i="71"/>
  <c r="EQ102" i="71"/>
  <c r="BN99" i="71"/>
  <c r="BN72" i="71"/>
  <c r="BN98" i="71"/>
  <c r="BB187" i="71"/>
  <c r="BB73" i="71"/>
  <c r="BB100" i="71"/>
  <c r="BB175" i="71"/>
  <c r="EO112" i="71"/>
  <c r="EO226" i="71"/>
  <c r="EO229" i="71" s="1"/>
  <c r="EG97" i="71"/>
  <c r="EG70" i="71"/>
  <c r="BZ72" i="71"/>
  <c r="BZ73" i="71" s="1"/>
  <c r="CD80" i="71" s="1"/>
  <c r="BF99" i="71"/>
  <c r="BF98" i="71"/>
  <c r="BF72" i="71"/>
  <c r="EO230" i="71"/>
  <c r="EO67" i="71"/>
  <c r="EO94" i="71"/>
  <c r="EP224" i="71"/>
  <c r="EP106" i="71"/>
  <c r="EP105" i="71"/>
  <c r="AJ70" i="71"/>
  <c r="AJ97" i="71"/>
  <c r="AC72" i="71"/>
  <c r="AC98" i="71"/>
  <c r="AC99" i="71"/>
  <c r="EQ54" i="71"/>
  <c r="EP109" i="71"/>
  <c r="AN97" i="71"/>
  <c r="AN70" i="71"/>
  <c r="EF97" i="71"/>
  <c r="EF70" i="71"/>
  <c r="DE63" i="71" l="1"/>
  <c r="DE67" i="71" s="1"/>
  <c r="FJ36" i="71"/>
  <c r="DH7" i="71"/>
  <c r="EX7" i="71"/>
  <c r="AH99" i="71"/>
  <c r="AH98" i="71"/>
  <c r="N65" i="42"/>
  <c r="AC65" i="42" s="1"/>
  <c r="O67" i="42"/>
  <c r="N70" i="42"/>
  <c r="AC70" i="42" s="1"/>
  <c r="M68" i="42"/>
  <c r="AB68" i="42" s="1"/>
  <c r="P66" i="42"/>
  <c r="P69" i="42" s="1"/>
  <c r="O69" i="42"/>
  <c r="AC69" i="42"/>
  <c r="N68" i="42"/>
  <c r="AC68" i="42" s="1"/>
  <c r="EC70" i="71"/>
  <c r="EC71" i="71" s="1"/>
  <c r="EC99" i="71" s="1"/>
  <c r="CZ73" i="71"/>
  <c r="CZ80" i="71" s="1"/>
  <c r="EP62" i="71"/>
  <c r="EP94" i="71"/>
  <c r="EZ92" i="71"/>
  <c r="FA58" i="71"/>
  <c r="EN71" i="71"/>
  <c r="EN72" i="71" s="1"/>
  <c r="BR187" i="71"/>
  <c r="BR73" i="71"/>
  <c r="DD95" i="71"/>
  <c r="DD79" i="71"/>
  <c r="DD66" i="71"/>
  <c r="DD67" i="71" s="1"/>
  <c r="DE77" i="71"/>
  <c r="DE96" i="71"/>
  <c r="DC97" i="71"/>
  <c r="DC70" i="71"/>
  <c r="DB72" i="71"/>
  <c r="EI70" i="71"/>
  <c r="EI98" i="71" s="1"/>
  <c r="DA72" i="71"/>
  <c r="DF86" i="71"/>
  <c r="DE86" i="71"/>
  <c r="BR100" i="71"/>
  <c r="BR99" i="71"/>
  <c r="BC72" i="71"/>
  <c r="BC187" i="71" s="1"/>
  <c r="AV73" i="71"/>
  <c r="AZ80" i="71" s="1"/>
  <c r="BC99" i="71"/>
  <c r="AL98" i="71"/>
  <c r="AV187" i="71"/>
  <c r="AV175" i="71"/>
  <c r="AL72" i="71"/>
  <c r="AL73" i="71" s="1"/>
  <c r="EJ100" i="71"/>
  <c r="EJ238" i="71"/>
  <c r="BU72" i="71"/>
  <c r="BU100" i="71" s="1"/>
  <c r="DU80" i="71"/>
  <c r="EM94" i="71"/>
  <c r="EM67" i="71"/>
  <c r="EM97" i="71" s="1"/>
  <c r="DT237" i="71"/>
  <c r="EJ174" i="71"/>
  <c r="BA100" i="71"/>
  <c r="BA187" i="71"/>
  <c r="BA175" i="71"/>
  <c r="AR97" i="71"/>
  <c r="AR70" i="71"/>
  <c r="AS98" i="71"/>
  <c r="AS71" i="71"/>
  <c r="AS99" i="71" s="1"/>
  <c r="AW72" i="71"/>
  <c r="AW98" i="71"/>
  <c r="AW99" i="71"/>
  <c r="BI99" i="71"/>
  <c r="BI98" i="71"/>
  <c r="BI72" i="71"/>
  <c r="BO72" i="71"/>
  <c r="BO98" i="71"/>
  <c r="BO99" i="71"/>
  <c r="AM98" i="71"/>
  <c r="AM72" i="71"/>
  <c r="AM99" i="71"/>
  <c r="EA80" i="71"/>
  <c r="EB80" i="71"/>
  <c r="AY175" i="71"/>
  <c r="AY73" i="71"/>
  <c r="AY100" i="71"/>
  <c r="AY187" i="71"/>
  <c r="AO72" i="71"/>
  <c r="AO98" i="71"/>
  <c r="AO99" i="71"/>
  <c r="X80" i="71"/>
  <c r="BE98" i="71"/>
  <c r="BE72" i="71"/>
  <c r="BE99" i="71"/>
  <c r="AX73" i="71"/>
  <c r="BB80" i="71" s="1"/>
  <c r="AX100" i="71"/>
  <c r="AX175" i="71"/>
  <c r="AX187" i="71"/>
  <c r="EO231" i="71"/>
  <c r="AP71" i="71"/>
  <c r="AP98" i="71"/>
  <c r="AD72" i="71"/>
  <c r="AD99" i="71"/>
  <c r="AD98" i="71"/>
  <c r="AF97" i="71"/>
  <c r="AF70" i="71"/>
  <c r="AQ97" i="71"/>
  <c r="AQ70" i="71"/>
  <c r="EH94" i="71"/>
  <c r="EH67" i="71"/>
  <c r="EH230" i="71"/>
  <c r="EH231" i="71" s="1"/>
  <c r="ER82" i="71"/>
  <c r="AA100" i="71"/>
  <c r="AA73" i="71"/>
  <c r="AT71" i="71"/>
  <c r="AT98" i="71"/>
  <c r="BK97" i="71"/>
  <c r="BK70" i="71"/>
  <c r="AI99" i="71"/>
  <c r="AI72" i="71"/>
  <c r="AI98" i="71"/>
  <c r="BM100" i="71"/>
  <c r="BM187" i="71"/>
  <c r="BM73" i="71"/>
  <c r="BM175" i="71"/>
  <c r="ER83" i="71"/>
  <c r="BT99" i="71"/>
  <c r="BT98" i="71"/>
  <c r="BT72" i="71"/>
  <c r="BV99" i="71"/>
  <c r="BV98" i="71"/>
  <c r="BH98" i="71"/>
  <c r="BH72" i="71"/>
  <c r="BH99" i="71"/>
  <c r="BP98" i="71"/>
  <c r="BP72" i="71"/>
  <c r="BP99" i="71"/>
  <c r="AK98" i="71"/>
  <c r="AK99" i="71"/>
  <c r="AK72" i="71"/>
  <c r="DW80" i="71"/>
  <c r="DW237" i="71"/>
  <c r="DX80" i="71"/>
  <c r="DZ80" i="71"/>
  <c r="DY237" i="71"/>
  <c r="DY80" i="71"/>
  <c r="AU70" i="71"/>
  <c r="AU97" i="71"/>
  <c r="BQ175" i="71"/>
  <c r="BQ100" i="71"/>
  <c r="BQ73" i="71"/>
  <c r="BQ187" i="71"/>
  <c r="BJ100" i="71"/>
  <c r="BJ175" i="71"/>
  <c r="BJ73" i="71"/>
  <c r="BJ187" i="71"/>
  <c r="EF99" i="71"/>
  <c r="EF72" i="71"/>
  <c r="EF98" i="71"/>
  <c r="EK98" i="71"/>
  <c r="EK72" i="71"/>
  <c r="EK99" i="71"/>
  <c r="EE98" i="71"/>
  <c r="EE72" i="71"/>
  <c r="EE99" i="71"/>
  <c r="EG71" i="71"/>
  <c r="EG99" i="71" s="1"/>
  <c r="EG98" i="71"/>
  <c r="AG72" i="71"/>
  <c r="AG98" i="71"/>
  <c r="AG99" i="71"/>
  <c r="EL98" i="71"/>
  <c r="EL72" i="71"/>
  <c r="EL99" i="71"/>
  <c r="EM99" i="71" s="1"/>
  <c r="EN99" i="71" s="1"/>
  <c r="EO99" i="71" s="1"/>
  <c r="EN98" i="71"/>
  <c r="Z80" i="71"/>
  <c r="EP112" i="71"/>
  <c r="EP226" i="71"/>
  <c r="EP229" i="71" s="1"/>
  <c r="EX54" i="71"/>
  <c r="EY54" i="71" s="1"/>
  <c r="EZ54" i="71" s="1"/>
  <c r="FA54" i="71" s="1"/>
  <c r="FB54" i="71" s="1"/>
  <c r="FC54" i="71" s="1"/>
  <c r="FD54" i="71" s="1"/>
  <c r="FE54" i="71" s="1"/>
  <c r="FF54" i="71" s="1"/>
  <c r="FG54" i="71" s="1"/>
  <c r="FH54" i="71" s="1"/>
  <c r="FI54" i="71" s="1"/>
  <c r="FJ54" i="71" s="1"/>
  <c r="EQ109" i="71"/>
  <c r="EQ226" i="71" s="1"/>
  <c r="BN73" i="71"/>
  <c r="BN100" i="71"/>
  <c r="BN175" i="71"/>
  <c r="BN187" i="71"/>
  <c r="EP230" i="71"/>
  <c r="BG187" i="71"/>
  <c r="BG175" i="71"/>
  <c r="BG73" i="71"/>
  <c r="BG100" i="71"/>
  <c r="AB99" i="71"/>
  <c r="AB98" i="71"/>
  <c r="AB72" i="71"/>
  <c r="BY72" i="71"/>
  <c r="BY73" i="71" s="1"/>
  <c r="CC80" i="71" s="1"/>
  <c r="EQ106" i="71"/>
  <c r="EQ224" i="71"/>
  <c r="EQ61" i="71"/>
  <c r="EQ96" i="71" s="1"/>
  <c r="EJ237" i="71"/>
  <c r="EO97" i="71"/>
  <c r="BF100" i="71"/>
  <c r="BF73" i="71"/>
  <c r="BF175" i="71"/>
  <c r="BF187" i="71"/>
  <c r="AH73" i="71"/>
  <c r="AH100" i="71"/>
  <c r="AJ98" i="71"/>
  <c r="AJ72" i="71"/>
  <c r="AJ99" i="71"/>
  <c r="ER81" i="71"/>
  <c r="BL72" i="71"/>
  <c r="BL98" i="71"/>
  <c r="BL99" i="71"/>
  <c r="BS99" i="71"/>
  <c r="BS98" i="71"/>
  <c r="BS72" i="71"/>
  <c r="AN98" i="71"/>
  <c r="AN99" i="71"/>
  <c r="AN72" i="71"/>
  <c r="AC100" i="71"/>
  <c r="AC73" i="71"/>
  <c r="AC80" i="71" s="1"/>
  <c r="ED98" i="71"/>
  <c r="ED99" i="71"/>
  <c r="ED72" i="71"/>
  <c r="DE94" i="71" l="1"/>
  <c r="DI7" i="71"/>
  <c r="DH61" i="71"/>
  <c r="DB73" i="71"/>
  <c r="DB80" i="71" s="1"/>
  <c r="DB187" i="71"/>
  <c r="EC98" i="71"/>
  <c r="DA73" i="71"/>
  <c r="DA80" i="71" s="1"/>
  <c r="DA187" i="71"/>
  <c r="BR80" i="71"/>
  <c r="AE69" i="42"/>
  <c r="P67" i="42"/>
  <c r="O65" i="42"/>
  <c r="AD65" i="42" s="1"/>
  <c r="O70" i="42"/>
  <c r="AD70" i="42" s="1"/>
  <c r="AD69" i="42"/>
  <c r="EI99" i="71"/>
  <c r="EI72" i="71"/>
  <c r="EI73" i="71" s="1"/>
  <c r="FA92" i="71"/>
  <c r="FB58" i="71"/>
  <c r="BC73" i="71"/>
  <c r="BC80" i="71" s="1"/>
  <c r="BC175" i="71"/>
  <c r="DE79" i="71"/>
  <c r="DE95" i="71"/>
  <c r="DD97" i="71"/>
  <c r="DD70" i="71"/>
  <c r="BC100" i="71"/>
  <c r="DC72" i="71"/>
  <c r="DF61" i="71"/>
  <c r="DF63" i="71" s="1"/>
  <c r="AL100" i="71"/>
  <c r="BU73" i="71"/>
  <c r="BY80" i="71" s="1"/>
  <c r="EM70" i="71"/>
  <c r="EM72" i="71" s="1"/>
  <c r="AS72" i="71"/>
  <c r="AS175" i="71" s="1"/>
  <c r="AR72" i="71"/>
  <c r="AR98" i="71"/>
  <c r="AR99" i="71"/>
  <c r="AW73" i="71"/>
  <c r="AW100" i="71"/>
  <c r="AW175" i="71"/>
  <c r="AW187" i="71"/>
  <c r="BO100" i="71"/>
  <c r="BO187" i="71"/>
  <c r="BO175" i="71"/>
  <c r="BO73" i="71"/>
  <c r="BI73" i="71"/>
  <c r="BM80" i="71" s="1"/>
  <c r="BI175" i="71"/>
  <c r="BI100" i="71"/>
  <c r="BI187" i="71"/>
  <c r="AM73" i="71"/>
  <c r="AM100" i="71"/>
  <c r="AM175" i="71"/>
  <c r="EP231" i="71"/>
  <c r="AO100" i="71"/>
  <c r="AO73" i="71"/>
  <c r="BV72" i="71"/>
  <c r="BV100" i="71" s="1"/>
  <c r="BE175" i="71"/>
  <c r="BE73" i="71"/>
  <c r="BE187" i="71"/>
  <c r="BE100" i="71"/>
  <c r="ER61" i="71"/>
  <c r="AA80" i="71"/>
  <c r="AE80" i="71"/>
  <c r="EH70" i="71"/>
  <c r="EH97" i="71"/>
  <c r="ES82" i="71"/>
  <c r="AF72" i="71"/>
  <c r="AF99" i="71"/>
  <c r="AF98" i="71"/>
  <c r="AQ98" i="71"/>
  <c r="AQ72" i="71"/>
  <c r="AQ99" i="71"/>
  <c r="BK72" i="71"/>
  <c r="BK98" i="71"/>
  <c r="BK99" i="71"/>
  <c r="AD73" i="71"/>
  <c r="AD80" i="71" s="1"/>
  <c r="AD100" i="71"/>
  <c r="BQ80" i="71"/>
  <c r="AT72" i="71"/>
  <c r="EH71" i="71"/>
  <c r="AT99" i="71"/>
  <c r="AP72" i="71"/>
  <c r="AP99" i="71"/>
  <c r="AU98" i="71"/>
  <c r="AU99" i="71"/>
  <c r="AU72" i="71"/>
  <c r="ES83" i="71"/>
  <c r="BH100" i="71"/>
  <c r="BH73" i="71"/>
  <c r="BH80" i="71" s="1"/>
  <c r="BH187" i="71"/>
  <c r="BH175" i="71"/>
  <c r="BN80" i="71"/>
  <c r="EQ229" i="71"/>
  <c r="AK73" i="71"/>
  <c r="AK100" i="71"/>
  <c r="BT73" i="71"/>
  <c r="BT100" i="71"/>
  <c r="AI100" i="71"/>
  <c r="AI73" i="71"/>
  <c r="BP187" i="71"/>
  <c r="BP73" i="71"/>
  <c r="BP175" i="71"/>
  <c r="BP100" i="71"/>
  <c r="BL100" i="71"/>
  <c r="BL73" i="71"/>
  <c r="BL187" i="71"/>
  <c r="BL175" i="71"/>
  <c r="BF80" i="71"/>
  <c r="BJ80" i="71"/>
  <c r="AB100" i="71"/>
  <c r="AB73" i="71"/>
  <c r="EQ63" i="71"/>
  <c r="EQ77" i="71"/>
  <c r="EK238" i="71"/>
  <c r="EK100" i="71"/>
  <c r="EK73" i="71"/>
  <c r="EK145" i="71"/>
  <c r="EN100" i="71"/>
  <c r="EN73" i="71"/>
  <c r="AN73" i="71"/>
  <c r="AN100" i="71"/>
  <c r="ES81" i="71"/>
  <c r="ES61" i="71"/>
  <c r="BS73" i="71"/>
  <c r="BS100" i="71"/>
  <c r="ED238" i="71"/>
  <c r="ED100" i="71"/>
  <c r="ED73" i="71"/>
  <c r="EC72" i="71"/>
  <c r="AG73" i="71"/>
  <c r="AG100" i="71"/>
  <c r="EL73" i="71"/>
  <c r="EL100" i="71"/>
  <c r="EF100" i="71"/>
  <c r="EF73" i="71"/>
  <c r="EF238" i="71"/>
  <c r="EF75" i="71"/>
  <c r="AJ100" i="71"/>
  <c r="AJ73" i="71"/>
  <c r="EE238" i="71"/>
  <c r="EE73" i="71"/>
  <c r="EE100" i="71"/>
  <c r="AL80" i="71"/>
  <c r="EQ105" i="71"/>
  <c r="EG72" i="71"/>
  <c r="DH77" i="71" l="1"/>
  <c r="DH63" i="71"/>
  <c r="DH67" i="71" s="1"/>
  <c r="DH70" i="71" s="1"/>
  <c r="DH72" i="71" s="1"/>
  <c r="DH73" i="71" s="1"/>
  <c r="DL80" i="71" s="1"/>
  <c r="DL77" i="71"/>
  <c r="DJ7" i="71"/>
  <c r="DI61" i="71"/>
  <c r="DC73" i="71"/>
  <c r="DC187" i="71"/>
  <c r="ES96" i="71"/>
  <c r="ES63" i="71"/>
  <c r="ES94" i="71" s="1"/>
  <c r="EI238" i="71"/>
  <c r="EI100" i="71"/>
  <c r="P65" i="42"/>
  <c r="AE65" i="42" s="1"/>
  <c r="P70" i="42"/>
  <c r="O68" i="42"/>
  <c r="AD68" i="42" s="1"/>
  <c r="EQ62" i="71"/>
  <c r="EQ94" i="71"/>
  <c r="ER63" i="71"/>
  <c r="ER94" i="71" s="1"/>
  <c r="ER96" i="71"/>
  <c r="BV73" i="71"/>
  <c r="BV80" i="71" s="1"/>
  <c r="FB92" i="71"/>
  <c r="FC58" i="71"/>
  <c r="BG80" i="71"/>
  <c r="DF77" i="71"/>
  <c r="DF96" i="71"/>
  <c r="DJ79" i="71"/>
  <c r="DF94" i="71"/>
  <c r="DD72" i="71"/>
  <c r="DD187" i="71" s="1"/>
  <c r="DE97" i="71"/>
  <c r="DE70" i="71"/>
  <c r="BU80" i="71"/>
  <c r="EM98" i="71"/>
  <c r="AS187" i="71"/>
  <c r="AS100" i="71"/>
  <c r="AS73" i="71"/>
  <c r="AS80" i="71" s="1"/>
  <c r="AR175" i="71"/>
  <c r="AR187" i="71"/>
  <c r="AR100" i="71"/>
  <c r="AR73" i="71"/>
  <c r="AV80" i="71" s="1"/>
  <c r="BA80" i="71"/>
  <c r="AO80" i="71"/>
  <c r="BI80" i="71"/>
  <c r="BE80" i="71"/>
  <c r="EH99" i="71"/>
  <c r="ER77" i="71"/>
  <c r="AQ187" i="71"/>
  <c r="AQ73" i="71"/>
  <c r="AQ80" i="71" s="1"/>
  <c r="AQ175" i="71"/>
  <c r="AQ100" i="71"/>
  <c r="AT187" i="71"/>
  <c r="AT100" i="71"/>
  <c r="AT73" i="71"/>
  <c r="AT175" i="71"/>
  <c r="AF100" i="71"/>
  <c r="AF73" i="71"/>
  <c r="AF80" i="71" s="1"/>
  <c r="AH80" i="71"/>
  <c r="ET82" i="71"/>
  <c r="EH98" i="71"/>
  <c r="EH72" i="71"/>
  <c r="AP175" i="71"/>
  <c r="AP73" i="71"/>
  <c r="AP80" i="71" s="1"/>
  <c r="AP100" i="71"/>
  <c r="BK187" i="71"/>
  <c r="BK100" i="71"/>
  <c r="BK73" i="71"/>
  <c r="BK175" i="71"/>
  <c r="AI80" i="71"/>
  <c r="AM80" i="71"/>
  <c r="EM73" i="71"/>
  <c r="EM80" i="71" s="1"/>
  <c r="EM100" i="71"/>
  <c r="ET83" i="71"/>
  <c r="EO68" i="71"/>
  <c r="EO70" i="71" s="1"/>
  <c r="BT80" i="71"/>
  <c r="BX80" i="71"/>
  <c r="AU175" i="71"/>
  <c r="AU187" i="71"/>
  <c r="AU73" i="71"/>
  <c r="AU100" i="71"/>
  <c r="ES77" i="71"/>
  <c r="ED237" i="71"/>
  <c r="BS80" i="71"/>
  <c r="BW80" i="71"/>
  <c r="EQ230" i="71"/>
  <c r="EQ231" i="71" s="1"/>
  <c r="AN80" i="71"/>
  <c r="EE80" i="71"/>
  <c r="EE237" i="71"/>
  <c r="EL80" i="71"/>
  <c r="EK237" i="71"/>
  <c r="EK80" i="71"/>
  <c r="EF237" i="71"/>
  <c r="EF80" i="71"/>
  <c r="AB80" i="71"/>
  <c r="EI237" i="71"/>
  <c r="EJ80" i="71"/>
  <c r="AG80" i="71"/>
  <c r="AK80" i="71"/>
  <c r="BL80" i="71"/>
  <c r="BP80" i="71"/>
  <c r="ET81" i="71"/>
  <c r="ET61" i="71"/>
  <c r="EG238" i="71"/>
  <c r="EG73" i="71"/>
  <c r="EG174" i="71"/>
  <c r="EG100" i="71"/>
  <c r="EC238" i="71"/>
  <c r="EC73" i="71"/>
  <c r="ED80" i="71" s="1"/>
  <c r="EC100" i="71"/>
  <c r="DI77" i="71" l="1"/>
  <c r="DI63" i="71"/>
  <c r="DI67" i="71" s="1"/>
  <c r="DI70" i="71" s="1"/>
  <c r="DI72" i="71" s="1"/>
  <c r="DI73" i="71" s="1"/>
  <c r="DM80" i="71" s="1"/>
  <c r="DM77" i="71"/>
  <c r="DC80" i="71"/>
  <c r="DG80" i="71"/>
  <c r="DJ61" i="71"/>
  <c r="EY7" i="71"/>
  <c r="EZ7" i="71" s="1"/>
  <c r="FA7" i="71" s="1"/>
  <c r="FB7" i="71" s="1"/>
  <c r="FC7" i="71" s="1"/>
  <c r="FD7" i="71" s="1"/>
  <c r="FE7" i="71" s="1"/>
  <c r="FF7" i="71" s="1"/>
  <c r="FG7" i="71" s="1"/>
  <c r="FH7" i="71" s="1"/>
  <c r="ET96" i="71"/>
  <c r="ET63" i="71"/>
  <c r="ET67" i="71" s="1"/>
  <c r="ER62" i="71"/>
  <c r="AE70" i="42"/>
  <c r="P68" i="42"/>
  <c r="AE68" i="42" s="1"/>
  <c r="BZ80" i="71"/>
  <c r="DD73" i="71"/>
  <c r="FC92" i="71"/>
  <c r="FD58" i="71"/>
  <c r="AW80" i="71"/>
  <c r="DF95" i="71"/>
  <c r="DF79" i="71"/>
  <c r="DF66" i="71"/>
  <c r="DF67" i="71" s="1"/>
  <c r="DE72" i="71"/>
  <c r="DE73" i="71" s="1"/>
  <c r="AJ80" i="71"/>
  <c r="AR80" i="71"/>
  <c r="EN80" i="71"/>
  <c r="EU82" i="71"/>
  <c r="AT80" i="71"/>
  <c r="AX80" i="71"/>
  <c r="BO80" i="71"/>
  <c r="BK80" i="71"/>
  <c r="EH73" i="71"/>
  <c r="EH80" i="71" s="1"/>
  <c r="EH238" i="71"/>
  <c r="EH100" i="71"/>
  <c r="EU83" i="71"/>
  <c r="AU80" i="71"/>
  <c r="AY80" i="71"/>
  <c r="EO71" i="71"/>
  <c r="EO72" i="71" s="1"/>
  <c r="EO98" i="71"/>
  <c r="EG80" i="71"/>
  <c r="EG237" i="71"/>
  <c r="EU81" i="71"/>
  <c r="EU61" i="71"/>
  <c r="ET77" i="71"/>
  <c r="EC237" i="71"/>
  <c r="EC80" i="71"/>
  <c r="DJ77" i="71" l="1"/>
  <c r="DJ63" i="71"/>
  <c r="DJ67" i="71" s="1"/>
  <c r="DJ70" i="71" s="1"/>
  <c r="DJ72" i="71" s="1"/>
  <c r="DJ73" i="71" s="1"/>
  <c r="DN80" i="71" s="1"/>
  <c r="DN77" i="71"/>
  <c r="DE80" i="71"/>
  <c r="DI80" i="71"/>
  <c r="DD80" i="71"/>
  <c r="DH80" i="71"/>
  <c r="FI7" i="71"/>
  <c r="EU96" i="71"/>
  <c r="EU63" i="71"/>
  <c r="ET94" i="71"/>
  <c r="FE58" i="71"/>
  <c r="FD92" i="71"/>
  <c r="DF97" i="71"/>
  <c r="DF70" i="71"/>
  <c r="EH237" i="71"/>
  <c r="EI80" i="71"/>
  <c r="EV82" i="71"/>
  <c r="EV83" i="71"/>
  <c r="EO100" i="71"/>
  <c r="EO73" i="71"/>
  <c r="EV61" i="71"/>
  <c r="EV81" i="71"/>
  <c r="EU77" i="71"/>
  <c r="FE92" i="71" l="1"/>
  <c r="FF58" i="71"/>
  <c r="FG58" i="71" s="1"/>
  <c r="FH58" i="71" s="1"/>
  <c r="FI58" i="71" s="1"/>
  <c r="FJ58" i="71" s="1"/>
  <c r="FJ7" i="71"/>
  <c r="EV63" i="71"/>
  <c r="EV96" i="71"/>
  <c r="EV95" i="71"/>
  <c r="EU94" i="71"/>
  <c r="DF72" i="71"/>
  <c r="DF73" i="71" s="1"/>
  <c r="EW82" i="71"/>
  <c r="EW83" i="71"/>
  <c r="EX81" i="71"/>
  <c r="EW61" i="71"/>
  <c r="EW63" i="71" s="1"/>
  <c r="EW67" i="71" s="1"/>
  <c r="EW70" i="71" s="1"/>
  <c r="EW72" i="71" s="1"/>
  <c r="C81" i="71"/>
  <c r="C80" i="71"/>
  <c r="EO80" i="71"/>
  <c r="C77" i="71"/>
  <c r="EV77" i="71"/>
  <c r="EP68" i="71"/>
  <c r="DF80" i="71" l="1"/>
  <c r="DJ80" i="71"/>
  <c r="EW96" i="71"/>
  <c r="EW95" i="71"/>
  <c r="EV94" i="71"/>
  <c r="EV67" i="71"/>
  <c r="EV97" i="71" s="1"/>
  <c r="EY82" i="71"/>
  <c r="EX82" i="71"/>
  <c r="EX83" i="71"/>
  <c r="EY83" i="71"/>
  <c r="EW77" i="71"/>
  <c r="EX61" i="71"/>
  <c r="EZ3" i="71" l="1"/>
  <c r="EY81" i="71"/>
  <c r="EX96" i="71"/>
  <c r="EX64" i="71"/>
  <c r="EW94" i="71"/>
  <c r="EY61" i="71"/>
  <c r="EW97" i="71"/>
  <c r="EX77" i="71"/>
  <c r="EX63" i="71"/>
  <c r="EX62" i="71" l="1"/>
  <c r="EX94" i="71"/>
  <c r="EY96" i="71"/>
  <c r="EY64" i="71"/>
  <c r="FA3" i="71"/>
  <c r="EZ81" i="71"/>
  <c r="EZ61" i="71"/>
  <c r="EW79" i="71"/>
  <c r="EY77" i="71"/>
  <c r="EY63" i="71"/>
  <c r="EZ63" i="71" l="1"/>
  <c r="EZ94" i="71" s="1"/>
  <c r="EZ96" i="71"/>
  <c r="EZ64" i="71"/>
  <c r="EZ77" i="71"/>
  <c r="EY62" i="71"/>
  <c r="EY94" i="71"/>
  <c r="FB3" i="71"/>
  <c r="FA81" i="71"/>
  <c r="FA61" i="71"/>
  <c r="EX66" i="71"/>
  <c r="EX67" i="71" s="1"/>
  <c r="EX97" i="71" s="1"/>
  <c r="EX95" i="71"/>
  <c r="EX79" i="71"/>
  <c r="EZ62" i="71" l="1"/>
  <c r="FA64" i="71"/>
  <c r="FA96" i="71"/>
  <c r="FA77" i="71"/>
  <c r="FA63" i="71"/>
  <c r="FA62" i="71" s="1"/>
  <c r="FC3" i="71"/>
  <c r="FB81" i="71"/>
  <c r="FB61" i="71"/>
  <c r="EZ66" i="71"/>
  <c r="EZ67" i="71" s="1"/>
  <c r="EZ97" i="71" s="1"/>
  <c r="EZ95" i="71"/>
  <c r="EY66" i="71"/>
  <c r="EY67" i="71" s="1"/>
  <c r="EY97" i="71" s="1"/>
  <c r="EY95" i="71"/>
  <c r="EY79" i="71"/>
  <c r="FD3" i="71" l="1"/>
  <c r="FC81" i="71"/>
  <c r="FC61" i="71"/>
  <c r="FB64" i="71"/>
  <c r="FB96" i="71"/>
  <c r="FB77" i="71"/>
  <c r="FB63" i="71"/>
  <c r="FB94" i="71" s="1"/>
  <c r="FA94" i="71"/>
  <c r="FA66" i="71"/>
  <c r="FA67" i="71" s="1"/>
  <c r="FA95" i="71"/>
  <c r="EV70" i="71"/>
  <c r="FB62" i="71" l="1"/>
  <c r="FA97" i="71"/>
  <c r="FA70" i="71"/>
  <c r="FC96" i="71"/>
  <c r="FC64" i="71"/>
  <c r="FC77" i="71"/>
  <c r="FC63" i="71"/>
  <c r="FC94" i="71" s="1"/>
  <c r="EV98" i="71"/>
  <c r="EV99" i="71"/>
  <c r="FB95" i="71"/>
  <c r="FB66" i="71"/>
  <c r="FB67" i="71" s="1"/>
  <c r="FE3" i="71"/>
  <c r="FF3" i="71" s="1"/>
  <c r="FD81" i="71"/>
  <c r="FD61" i="71"/>
  <c r="EV72" i="71"/>
  <c r="EV100" i="71" s="1"/>
  <c r="FG3" i="71" l="1"/>
  <c r="FF61" i="71"/>
  <c r="FC62" i="71"/>
  <c r="FE81" i="71"/>
  <c r="FE61" i="71"/>
  <c r="FC95" i="71"/>
  <c r="FC66" i="71"/>
  <c r="FC67" i="71" s="1"/>
  <c r="FB97" i="71"/>
  <c r="FB70" i="71"/>
  <c r="FA98" i="71"/>
  <c r="FA71" i="71"/>
  <c r="FA99" i="71" s="1"/>
  <c r="FD64" i="71"/>
  <c r="FD66" i="71" s="1"/>
  <c r="FD77" i="71"/>
  <c r="FD63" i="71"/>
  <c r="EV73" i="71"/>
  <c r="EQ67" i="71"/>
  <c r="EQ97" i="71" s="1"/>
  <c r="EQ95" i="71"/>
  <c r="ER64" i="71"/>
  <c r="ER67" i="71" s="1"/>
  <c r="FF64" i="71" l="1"/>
  <c r="FF66" i="71" s="1"/>
  <c r="FF63" i="71"/>
  <c r="FF62" i="71" s="1"/>
  <c r="FH3" i="71"/>
  <c r="FG61" i="71"/>
  <c r="FD67" i="71"/>
  <c r="FD70" i="71" s="1"/>
  <c r="FD71" i="71" s="1"/>
  <c r="FD72" i="71" s="1"/>
  <c r="FD73" i="71" s="1"/>
  <c r="FA72" i="71"/>
  <c r="FA73" i="71" s="1"/>
  <c r="FC97" i="71"/>
  <c r="FC70" i="71"/>
  <c r="FB98" i="71"/>
  <c r="FB71" i="71"/>
  <c r="FB99" i="71" s="1"/>
  <c r="ER79" i="71"/>
  <c r="FE64" i="71"/>
  <c r="FE66" i="71" s="1"/>
  <c r="FE77" i="71"/>
  <c r="FE63" i="71"/>
  <c r="ER95" i="71"/>
  <c r="FD62" i="71"/>
  <c r="ER97" i="71"/>
  <c r="FF67" i="71" l="1"/>
  <c r="FF70" i="71" s="1"/>
  <c r="FF71" i="71" s="1"/>
  <c r="FF72" i="71" s="1"/>
  <c r="FF73" i="71" s="1"/>
  <c r="FG64" i="71"/>
  <c r="FG66" i="71" s="1"/>
  <c r="FG63" i="71"/>
  <c r="FG62" i="71" s="1"/>
  <c r="FI3" i="71"/>
  <c r="FH61" i="71"/>
  <c r="FA100" i="71"/>
  <c r="FE67" i="71"/>
  <c r="FE70" i="71" s="1"/>
  <c r="FE71" i="71" s="1"/>
  <c r="FE72" i="71" s="1"/>
  <c r="FB72" i="71"/>
  <c r="FC98" i="71"/>
  <c r="FC71" i="71"/>
  <c r="FC99" i="71" s="1"/>
  <c r="FE62" i="71"/>
  <c r="ES95" i="71"/>
  <c r="ES67" i="71"/>
  <c r="ES66" i="71"/>
  <c r="ES79" i="71"/>
  <c r="FG67" i="71" l="1"/>
  <c r="FG70" i="71" s="1"/>
  <c r="FG71" i="71" s="1"/>
  <c r="FG72" i="71" s="1"/>
  <c r="FG73" i="71" s="1"/>
  <c r="FH64" i="71"/>
  <c r="FH66" i="71" s="1"/>
  <c r="FH63" i="71"/>
  <c r="FJ3" i="71"/>
  <c r="FJ61" i="71" s="1"/>
  <c r="FI61" i="71"/>
  <c r="FB73" i="71"/>
  <c r="FB100" i="71"/>
  <c r="FC72" i="71"/>
  <c r="FE73" i="71"/>
  <c r="ET79" i="71"/>
  <c r="ET66" i="71"/>
  <c r="ET95" i="71"/>
  <c r="ES97" i="71"/>
  <c r="FI63" i="71" l="1"/>
  <c r="FI62" i="71" s="1"/>
  <c r="FI64" i="71"/>
  <c r="FI66" i="71" s="1"/>
  <c r="FH62" i="71"/>
  <c r="FH67" i="71"/>
  <c r="FH70" i="71" s="1"/>
  <c r="FH71" i="71" s="1"/>
  <c r="FH72" i="71" s="1"/>
  <c r="FH73" i="71" s="1"/>
  <c r="FJ64" i="71"/>
  <c r="FJ66" i="71" s="1"/>
  <c r="FJ63" i="71"/>
  <c r="FC73" i="71"/>
  <c r="FC100" i="71"/>
  <c r="ET97" i="71"/>
  <c r="EU67" i="71"/>
  <c r="EV79" i="71"/>
  <c r="EU66" i="71"/>
  <c r="EU79" i="71"/>
  <c r="EU95" i="71"/>
  <c r="FJ67" i="71" l="1"/>
  <c r="FJ70" i="71" s="1"/>
  <c r="FJ71" i="71" s="1"/>
  <c r="FJ72" i="71" s="1"/>
  <c r="FK72" i="71" s="1"/>
  <c r="FL72" i="71" s="1"/>
  <c r="FM72" i="71" s="1"/>
  <c r="FN72" i="71" s="1"/>
  <c r="FO72" i="71" s="1"/>
  <c r="FP72" i="71" s="1"/>
  <c r="FQ72" i="71" s="1"/>
  <c r="FR72" i="71" s="1"/>
  <c r="FS72" i="71" s="1"/>
  <c r="FT72" i="71" s="1"/>
  <c r="FU72" i="71" s="1"/>
  <c r="FV72" i="71" s="1"/>
  <c r="FW72" i="71" s="1"/>
  <c r="FX72" i="71" s="1"/>
  <c r="FY72" i="71" s="1"/>
  <c r="FZ72" i="71" s="1"/>
  <c r="GA72" i="71" s="1"/>
  <c r="GB72" i="71" s="1"/>
  <c r="GC72" i="71" s="1"/>
  <c r="GD72" i="71" s="1"/>
  <c r="GE72" i="71" s="1"/>
  <c r="GF72" i="71" s="1"/>
  <c r="GG72" i="71" s="1"/>
  <c r="GH72" i="71" s="1"/>
  <c r="GI72" i="71" s="1"/>
  <c r="GJ72" i="71" s="1"/>
  <c r="GK72" i="71" s="1"/>
  <c r="GL72" i="71" s="1"/>
  <c r="GM72" i="71" s="1"/>
  <c r="GN72" i="71" s="1"/>
  <c r="GO72" i="71" s="1"/>
  <c r="GP72" i="71" s="1"/>
  <c r="GQ72" i="71" s="1"/>
  <c r="GR72" i="71" s="1"/>
  <c r="GS72" i="71" s="1"/>
  <c r="GT72" i="71" s="1"/>
  <c r="GU72" i="71" s="1"/>
  <c r="GV72" i="71" s="1"/>
  <c r="GW72" i="71" s="1"/>
  <c r="GX72" i="71" s="1"/>
  <c r="GY72" i="71" s="1"/>
  <c r="GZ72" i="71" s="1"/>
  <c r="HA72" i="71" s="1"/>
  <c r="HB72" i="71" s="1"/>
  <c r="HC72" i="71" s="1"/>
  <c r="HD72" i="71" s="1"/>
  <c r="HE72" i="71" s="1"/>
  <c r="HF72" i="71" s="1"/>
  <c r="HG72" i="71" s="1"/>
  <c r="HH72" i="71" s="1"/>
  <c r="HI72" i="71" s="1"/>
  <c r="HJ72" i="71" s="1"/>
  <c r="HK72" i="71" s="1"/>
  <c r="HL72" i="71" s="1"/>
  <c r="HM72" i="71" s="1"/>
  <c r="HN72" i="71" s="1"/>
  <c r="HO72" i="71" s="1"/>
  <c r="HP72" i="71" s="1"/>
  <c r="HQ72" i="71" s="1"/>
  <c r="HR72" i="71" s="1"/>
  <c r="HS72" i="71" s="1"/>
  <c r="HT72" i="71" s="1"/>
  <c r="HU72" i="71" s="1"/>
  <c r="HV72" i="71" s="1"/>
  <c r="HW72" i="71" s="1"/>
  <c r="HX72" i="71" s="1"/>
  <c r="HY72" i="71" s="1"/>
  <c r="HZ72" i="71" s="1"/>
  <c r="IA72" i="71" s="1"/>
  <c r="IB72" i="71" s="1"/>
  <c r="IC72" i="71" s="1"/>
  <c r="ID72" i="71" s="1"/>
  <c r="IE72" i="71" s="1"/>
  <c r="IF72" i="71" s="1"/>
  <c r="IG72" i="71" s="1"/>
  <c r="IH72" i="71" s="1"/>
  <c r="II72" i="71" s="1"/>
  <c r="IJ72" i="71" s="1"/>
  <c r="IK72" i="71" s="1"/>
  <c r="IL72" i="71" s="1"/>
  <c r="IM72" i="71" s="1"/>
  <c r="IN72" i="71" s="1"/>
  <c r="IO72" i="71" s="1"/>
  <c r="IP72" i="71" s="1"/>
  <c r="IQ72" i="71" s="1"/>
  <c r="IR72" i="71" s="1"/>
  <c r="IS72" i="71" s="1"/>
  <c r="IT72" i="71" s="1"/>
  <c r="IU72" i="71" s="1"/>
  <c r="IV72" i="71" s="1"/>
  <c r="IW72" i="71" s="1"/>
  <c r="IX72" i="71" s="1"/>
  <c r="IY72" i="71" s="1"/>
  <c r="IZ72" i="71" s="1"/>
  <c r="JA72" i="71" s="1"/>
  <c r="JB72" i="71" s="1"/>
  <c r="JC72" i="71" s="1"/>
  <c r="JD72" i="71" s="1"/>
  <c r="JE72" i="71" s="1"/>
  <c r="JF72" i="71" s="1"/>
  <c r="JG72" i="71" s="1"/>
  <c r="JH72" i="71" s="1"/>
  <c r="JI72" i="71" s="1"/>
  <c r="JJ72" i="71" s="1"/>
  <c r="FJ62" i="71"/>
  <c r="FI67" i="71"/>
  <c r="FI70" i="71" s="1"/>
  <c r="FI71" i="71" s="1"/>
  <c r="FI72" i="71" s="1"/>
  <c r="FI73" i="71" s="1"/>
  <c r="EU97" i="71"/>
  <c r="EQ79" i="71"/>
  <c r="EP79" i="71"/>
  <c r="EP95" i="71"/>
  <c r="EP67" i="71"/>
  <c r="EP97" i="71" s="1"/>
  <c r="FJ73" i="71" l="1"/>
  <c r="EP70" i="71"/>
  <c r="EP98" i="71" l="1"/>
  <c r="EP99" i="71"/>
  <c r="EP72" i="71"/>
  <c r="EP73" i="71" s="1"/>
  <c r="EP80" i="71" s="1"/>
  <c r="EP100" i="71" l="1"/>
  <c r="EQ68" i="71" l="1"/>
  <c r="EQ70" i="71" s="1"/>
  <c r="EQ98" i="71" l="1"/>
  <c r="EQ99" i="71"/>
  <c r="EQ72" i="71"/>
  <c r="EQ100" i="71" s="1"/>
  <c r="EQ73" i="71" l="1"/>
  <c r="EQ80" i="71" s="1"/>
  <c r="ER68" i="71"/>
  <c r="ER70" i="71" s="1"/>
  <c r="ER98" i="71" s="1"/>
  <c r="ER99" i="71" l="1"/>
  <c r="ER72" i="71" l="1"/>
  <c r="ER73" i="71" s="1"/>
  <c r="ER80" i="71" s="1"/>
  <c r="ER100" i="71" l="1"/>
  <c r="ES70" i="71"/>
  <c r="ES98" i="71" l="1"/>
  <c r="ES99" i="71"/>
  <c r="ES72" i="71" l="1"/>
  <c r="ES73" i="71" l="1"/>
  <c r="ES80" i="71" s="1"/>
  <c r="ES100" i="71"/>
  <c r="ET70" i="71" l="1"/>
  <c r="ET99" i="71" l="1"/>
  <c r="ET98" i="71"/>
  <c r="ET72" i="71" l="1"/>
  <c r="ET73" i="71" s="1"/>
  <c r="ET80" i="71" s="1"/>
  <c r="ET100" i="71" l="1"/>
  <c r="EU70" i="71"/>
  <c r="EU98" i="71" l="1"/>
  <c r="EU99" i="71"/>
  <c r="EU72" i="71" l="1"/>
  <c r="EU100" i="71" s="1"/>
  <c r="EU73" i="71" l="1"/>
  <c r="EU80" i="71" s="1"/>
  <c r="EV80" i="71" l="1"/>
  <c r="EW98" i="71"/>
  <c r="EW99" i="71"/>
  <c r="EW100" i="71" l="1"/>
  <c r="EX68" i="71" l="1"/>
  <c r="EX70" i="71" s="1"/>
  <c r="EW73" i="71"/>
  <c r="EW80" i="71" s="1"/>
  <c r="EX98" i="71" l="1"/>
  <c r="EX71" i="71"/>
  <c r="EX99" i="71" s="1"/>
  <c r="EX72" i="71" l="1"/>
  <c r="EX100" i="71" l="1"/>
  <c r="EX73" i="71"/>
  <c r="EX80" i="71" s="1"/>
  <c r="EY68" i="71" l="1"/>
  <c r="EY70" i="71" s="1"/>
  <c r="EY71" i="71" l="1"/>
  <c r="EY99" i="71" s="1"/>
  <c r="EY98" i="71"/>
  <c r="EY72" i="71" l="1"/>
  <c r="EY100" i="71" l="1"/>
  <c r="EY73" i="71"/>
  <c r="EY80" i="71" s="1"/>
  <c r="EZ68" i="71" l="1"/>
  <c r="EZ70" i="71" s="1"/>
  <c r="EZ98" i="71" l="1"/>
  <c r="EZ71" i="71"/>
  <c r="EZ99" i="71" s="1"/>
  <c r="EZ72" i="71" l="1"/>
  <c r="EZ73" i="71" s="1"/>
  <c r="FN80" i="71" l="1"/>
  <c r="FN81" i="71" s="1"/>
  <c r="FN82" i="71" s="1"/>
  <c r="EZ100"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8"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4"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tc={81B591DD-1FF9-411C-BAA6-4375EF42A02A}</author>
    <author>tc={17B6C408-6627-42FF-9ADC-D78B6E22BBFE}</author>
    <author>tc={2B6993CA-2FE9-424C-A2AB-7F7A198D76A3}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X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J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6" shapeId="0" xr:uid="{00000000-0006-0000-0700-000014000000}">
      <text>
        <r>
          <rPr>
            <sz val="8"/>
            <color indexed="81"/>
            <rFont val="Tahoma"/>
            <family val="2"/>
          </rPr>
          <t>970m ML estimate</t>
        </r>
      </text>
    </comment>
    <comment ref="EM4" authorId="6" shapeId="0" xr:uid="{00000000-0006-0000-0700-000015000000}">
      <text>
        <r>
          <rPr>
            <sz val="8"/>
            <color indexed="81"/>
            <rFont val="Tahoma"/>
            <family val="2"/>
          </rPr>
          <t>$1250m ML estimate</t>
        </r>
      </text>
    </comment>
    <comment ref="EN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1" shapeId="0" xr:uid="{00000000-0006-0000-0700-000019000000}">
      <text>
        <r>
          <rPr>
            <b/>
            <sz val="8"/>
            <color indexed="81"/>
            <rFont val="Tahoma"/>
            <family val="2"/>
          </rPr>
          <t>Martin Shkreli:</t>
        </r>
        <r>
          <rPr>
            <sz val="8"/>
            <color indexed="81"/>
            <rFont val="Tahoma"/>
            <family val="2"/>
          </rPr>
          <t xml:space="preserve">
Citigroup 244m</t>
        </r>
      </text>
    </comment>
    <comment ref="EM6" authorId="1" shapeId="0" xr:uid="{00000000-0006-0000-0700-00001A000000}">
      <text>
        <r>
          <rPr>
            <b/>
            <sz val="8"/>
            <color indexed="81"/>
            <rFont val="Tahoma"/>
            <family val="2"/>
          </rPr>
          <t>Martin Shkreli:</t>
        </r>
        <r>
          <rPr>
            <sz val="8"/>
            <color indexed="81"/>
            <rFont val="Tahoma"/>
            <family val="2"/>
          </rPr>
          <t xml:space="preserve">
639m MS est</t>
        </r>
      </text>
    </comment>
    <comment ref="EN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1" shapeId="0" xr:uid="{00000000-0006-0000-0700-000021000000}">
      <text>
        <r>
          <rPr>
            <b/>
            <sz val="8"/>
            <color indexed="81"/>
            <rFont val="Tahoma"/>
            <family val="2"/>
          </rPr>
          <t>Martin Shkreli:</t>
        </r>
        <r>
          <rPr>
            <sz val="8"/>
            <color indexed="81"/>
            <rFont val="Tahoma"/>
            <family val="2"/>
          </rPr>
          <t xml:space="preserve">
&gt;100m in Q2/Q3</t>
        </r>
      </text>
    </comment>
    <comment ref="DV8" authorId="1" shapeId="0" xr:uid="{00000000-0006-0000-0700-000022000000}">
      <text>
        <r>
          <rPr>
            <b/>
            <sz val="8"/>
            <color indexed="81"/>
            <rFont val="Tahoma"/>
            <family val="2"/>
          </rPr>
          <t>Martin Shkreli:</t>
        </r>
        <r>
          <rPr>
            <sz val="8"/>
            <color indexed="81"/>
            <rFont val="Tahoma"/>
            <family val="2"/>
          </rPr>
          <t xml:space="preserve">
450 Pru
508 JPM 378/130</t>
        </r>
      </text>
    </comment>
    <comment ref="DW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ED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1" shapeId="0" xr:uid="{00000000-0006-0000-0700-000038000000}">
      <text>
        <r>
          <rPr>
            <b/>
            <sz val="8"/>
            <color indexed="81"/>
            <rFont val="Tahoma"/>
            <family val="2"/>
          </rPr>
          <t>Martin Shkreli:</t>
        </r>
        <r>
          <rPr>
            <sz val="8"/>
            <color indexed="81"/>
            <rFont val="Tahoma"/>
            <family val="2"/>
          </rPr>
          <t xml:space="preserve">
Bear 594 actual</t>
        </r>
      </text>
    </comment>
    <comment ref="EN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1" shapeId="0" xr:uid="{00000000-0006-0000-0700-00003A000000}">
      <text>
        <r>
          <rPr>
            <b/>
            <sz val="8"/>
            <color indexed="81"/>
            <rFont val="Tahoma"/>
            <family val="2"/>
          </rPr>
          <t>Martin Shkreli:</t>
        </r>
        <r>
          <rPr>
            <sz val="8"/>
            <color indexed="81"/>
            <rFont val="Tahoma"/>
            <family val="2"/>
          </rPr>
          <t xml:space="preserve">
12/19/06 Approval</t>
        </r>
      </text>
    </comment>
    <comment ref="EJ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1" shapeId="0" xr:uid="{00000000-0006-0000-0700-00006B000000}">
      <text>
        <r>
          <rPr>
            <b/>
            <sz val="8"/>
            <color indexed="81"/>
            <rFont val="Tahoma"/>
            <family val="2"/>
          </rPr>
          <t>Martin Shkreli:</t>
        </r>
        <r>
          <rPr>
            <sz val="8"/>
            <color indexed="81"/>
            <rFont val="Tahoma"/>
            <family val="2"/>
          </rPr>
          <t xml:space="preserve">
Piper 1650m est</t>
        </r>
      </text>
    </comment>
    <comment ref="CU14"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1" shapeId="0" xr:uid="{00000000-0006-0000-0700-000071000000}">
      <text>
        <r>
          <rPr>
            <b/>
            <sz val="8"/>
            <color indexed="81"/>
            <rFont val="Tahoma"/>
            <family val="2"/>
          </rPr>
          <t>Martin Shkreli:</t>
        </r>
        <r>
          <rPr>
            <sz val="8"/>
            <color indexed="81"/>
            <rFont val="Tahoma"/>
            <family val="2"/>
          </rPr>
          <t xml:space="preserve">
8/7/1990 approval</t>
        </r>
      </text>
    </comment>
    <comment ref="DW15" authorId="1" shapeId="0" xr:uid="{00000000-0006-0000-0700-000072000000}">
      <text>
        <r>
          <rPr>
            <b/>
            <sz val="8"/>
            <color indexed="81"/>
            <rFont val="Tahoma"/>
            <family val="2"/>
          </rPr>
          <t>Martin Shkreli:</t>
        </r>
        <r>
          <rPr>
            <sz val="8"/>
            <color indexed="81"/>
            <rFont val="Tahoma"/>
            <family val="2"/>
          </rPr>
          <t xml:space="preserve">
172 Pru
170 JPM 130/40</t>
        </r>
      </text>
    </comment>
    <comment ref="DX15"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1" shapeId="0" xr:uid="{00000000-0006-0000-0700-000076000000}">
      <text>
        <r>
          <rPr>
            <b/>
            <sz val="8"/>
            <color indexed="81"/>
            <rFont val="Tahoma"/>
            <family val="2"/>
          </rPr>
          <t>Martin Shkreli:</t>
        </r>
        <r>
          <rPr>
            <sz val="8"/>
            <color indexed="81"/>
            <rFont val="Tahoma"/>
            <family val="2"/>
          </rPr>
          <t xml:space="preserve">
JPM 656 406/250</t>
        </r>
      </text>
    </comment>
    <comment ref="B16"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1" shapeId="0" xr:uid="{00000000-0006-0000-0700-00007B000000}">
      <text>
        <r>
          <rPr>
            <b/>
            <sz val="8"/>
            <color indexed="81"/>
            <rFont val="Tahoma"/>
            <family val="2"/>
          </rPr>
          <t>Martin Shkreli:</t>
        </r>
        <r>
          <rPr>
            <sz val="8"/>
            <color indexed="81"/>
            <rFont val="Tahoma"/>
            <family val="2"/>
          </rPr>
          <t xml:space="preserve">
US launch</t>
        </r>
      </text>
    </comment>
    <comment ref="AU16"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3" shapeId="0" xr:uid="{00000000-0006-0000-0700-00007D000000}">
      <text>
        <r>
          <rPr>
            <b/>
            <sz val="8"/>
            <color indexed="81"/>
            <rFont val="Tahoma"/>
            <family val="2"/>
          </rPr>
          <t>RBC:</t>
        </r>
        <r>
          <rPr>
            <sz val="8"/>
            <color indexed="81"/>
            <rFont val="Tahoma"/>
            <family val="2"/>
          </rPr>
          <t xml:space="preserve">
Generic Protonix impacting sales.</t>
        </r>
      </text>
    </comment>
    <comment ref="DZ16"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1" shapeId="0" xr:uid="{00000000-0006-0000-0700-00007F000000}">
      <text>
        <r>
          <rPr>
            <b/>
            <sz val="8"/>
            <color indexed="81"/>
            <rFont val="Tahoma"/>
            <family val="2"/>
          </rPr>
          <t>Martin Shkreli:</t>
        </r>
        <r>
          <rPr>
            <sz val="8"/>
            <color indexed="81"/>
            <rFont val="Tahoma"/>
            <family val="2"/>
          </rPr>
          <t xml:space="preserve">
MS 275
235 JPM 160/75</t>
        </r>
      </text>
    </comment>
    <comment ref="EB16" authorId="1" shapeId="0" xr:uid="{00000000-0006-0000-0700-000080000000}">
      <text>
        <r>
          <rPr>
            <b/>
            <sz val="8"/>
            <color indexed="81"/>
            <rFont val="Tahoma"/>
            <family val="2"/>
          </rPr>
          <t>Martin Shkreli:</t>
        </r>
        <r>
          <rPr>
            <sz val="8"/>
            <color indexed="81"/>
            <rFont val="Tahoma"/>
            <family val="2"/>
          </rPr>
          <t xml:space="preserve">
556 JPM 380/176</t>
        </r>
      </text>
    </comment>
    <comment ref="B17"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1" shapeId="0" xr:uid="{00000000-0006-0000-0700-000083000000}">
      <text>
        <r>
          <rPr>
            <b/>
            <sz val="8"/>
            <color indexed="81"/>
            <rFont val="Tahoma"/>
            <family val="2"/>
          </rPr>
          <t>Martin Shkreli:</t>
        </r>
        <r>
          <rPr>
            <sz val="8"/>
            <color indexed="81"/>
            <rFont val="Tahoma"/>
            <family val="2"/>
          </rPr>
          <t xml:space="preserve">
50 JPM 35/15</t>
        </r>
      </text>
    </comment>
    <comment ref="DY17" authorId="1"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1" shapeId="0" xr:uid="{00000000-0006-0000-0700-000086000000}">
      <text>
        <r>
          <rPr>
            <b/>
            <sz val="8"/>
            <color indexed="81"/>
            <rFont val="Tahoma"/>
            <family val="2"/>
          </rPr>
          <t>Martin Shkreli:</t>
        </r>
        <r>
          <rPr>
            <sz val="8"/>
            <color indexed="81"/>
            <rFont val="Tahoma"/>
            <family val="2"/>
          </rPr>
          <t xml:space="preserve">
309 JPM 225/84</t>
        </r>
      </text>
    </comment>
    <comment ref="EN18" authorId="1" shapeId="0" xr:uid="{00000000-0006-0000-0700-000087000000}">
      <text>
        <r>
          <rPr>
            <b/>
            <sz val="8"/>
            <color indexed="81"/>
            <rFont val="Tahoma"/>
            <family val="2"/>
          </rPr>
          <t>Martin Shkreli:</t>
        </r>
        <r>
          <rPr>
            <sz val="8"/>
            <color indexed="81"/>
            <rFont val="Tahoma"/>
            <family val="2"/>
          </rPr>
          <t xml:space="preserve">
951 Piper est</t>
        </r>
      </text>
    </comment>
    <comment ref="AR21" authorId="2" shapeId="0" xr:uid="{00000000-0006-0000-0700-000048000000}">
      <text>
        <r>
          <rPr>
            <b/>
            <sz val="8"/>
            <color indexed="8"/>
            <rFont val="Times New Roman"/>
            <family val="1"/>
          </rPr>
          <t xml:space="preserve">Bloomberg:
</t>
        </r>
        <r>
          <rPr>
            <sz val="8"/>
            <color indexed="8"/>
            <rFont val="Times New Roman"/>
            <family val="1"/>
          </rPr>
          <t>no Floxin</t>
        </r>
      </text>
    </comment>
    <comment ref="AS21"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1" authorId="13" shapeId="0" xr:uid="{00000000-0006-0000-0700-00004A000000}">
      <text>
        <r>
          <rPr>
            <b/>
            <sz val="8"/>
            <color indexed="81"/>
            <rFont val="Tahoma"/>
            <family val="2"/>
          </rPr>
          <t>RBC:</t>
        </r>
        <r>
          <rPr>
            <sz val="8"/>
            <color indexed="81"/>
            <rFont val="Tahoma"/>
            <family val="2"/>
          </rPr>
          <t xml:space="preserve">
Generics in the category</t>
        </r>
      </text>
    </comment>
    <comment ref="BD21"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1" authorId="4" shapeId="0" xr:uid="{00000000-0006-0000-0700-00004C000000}">
      <text>
        <r>
          <rPr>
            <b/>
            <sz val="9"/>
            <color indexed="81"/>
            <rFont val="Tahoma"/>
            <family val="2"/>
          </rPr>
          <t>Martin:</t>
        </r>
        <r>
          <rPr>
            <sz val="9"/>
            <color indexed="81"/>
            <rFont val="Tahoma"/>
            <family val="2"/>
          </rPr>
          <t xml:space="preserve">
Generic</t>
        </r>
      </text>
    </comment>
    <comment ref="DQ21" authorId="1" shapeId="0" xr:uid="{00000000-0006-0000-0700-00004D000000}">
      <text>
        <r>
          <rPr>
            <b/>
            <sz val="8"/>
            <color indexed="81"/>
            <rFont val="Tahoma"/>
            <family val="2"/>
          </rPr>
          <t>Martin Shkreli:</t>
        </r>
        <r>
          <rPr>
            <sz val="8"/>
            <color indexed="81"/>
            <rFont val="Tahoma"/>
            <family val="2"/>
          </rPr>
          <t xml:space="preserve">
12/28/90 Floxin approval</t>
        </r>
      </text>
    </comment>
    <comment ref="DV21" authorId="1" shapeId="0" xr:uid="{00000000-0006-0000-0700-00004E000000}">
      <text>
        <r>
          <rPr>
            <b/>
            <sz val="8"/>
            <color indexed="81"/>
            <rFont val="Tahoma"/>
            <family val="2"/>
          </rPr>
          <t>Martin Shkreli:</t>
        </r>
        <r>
          <rPr>
            <sz val="8"/>
            <color indexed="81"/>
            <rFont val="Tahoma"/>
            <family val="2"/>
          </rPr>
          <t xml:space="preserve">
185 JPM 165/20</t>
        </r>
      </text>
    </comment>
    <comment ref="DW21" authorId="1" shapeId="0" xr:uid="{00000000-0006-0000-0700-00004F000000}">
      <text>
        <r>
          <rPr>
            <b/>
            <sz val="8"/>
            <color indexed="81"/>
            <rFont val="Tahoma"/>
            <family val="2"/>
          </rPr>
          <t>Martin Shkreli:</t>
        </r>
        <r>
          <rPr>
            <sz val="8"/>
            <color indexed="81"/>
            <rFont val="Tahoma"/>
            <family val="2"/>
          </rPr>
          <t xml:space="preserve">
233 Pru
211 JPM 193/18</t>
        </r>
      </text>
    </comment>
    <comment ref="DX21"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Y21"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1"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1" authorId="1" shapeId="0" xr:uid="{00000000-0006-0000-0700-000053000000}">
      <text>
        <r>
          <rPr>
            <b/>
            <sz val="8"/>
            <color indexed="81"/>
            <rFont val="Tahoma"/>
            <family val="2"/>
          </rPr>
          <t>Martin Shkreli:</t>
        </r>
        <r>
          <rPr>
            <sz val="8"/>
            <color indexed="81"/>
            <rFont val="Tahoma"/>
            <family val="2"/>
          </rPr>
          <t xml:space="preserve">
1088 JPM 1040/48</t>
        </r>
      </text>
    </comment>
    <comment ref="EB21"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2" authorId="1" shapeId="0" xr:uid="{00000000-0006-0000-0700-000088000000}">
      <text>
        <r>
          <rPr>
            <b/>
            <sz val="8"/>
            <color indexed="81"/>
            <rFont val="Tahoma"/>
            <family val="2"/>
          </rPr>
          <t>Martin Shkreli:</t>
        </r>
        <r>
          <rPr>
            <sz val="8"/>
            <color indexed="81"/>
            <rFont val="Tahoma"/>
            <family val="2"/>
          </rPr>
          <t xml:space="preserve">
423m Piper est</t>
        </r>
      </text>
    </comment>
    <comment ref="EM24"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N24" authorId="1" shapeId="0" xr:uid="{00000000-0006-0000-0700-00008A000000}">
      <text>
        <r>
          <rPr>
            <b/>
            <sz val="8"/>
            <color indexed="81"/>
            <rFont val="Tahoma"/>
            <family val="2"/>
          </rPr>
          <t>Martin Shkreli:</t>
        </r>
        <r>
          <rPr>
            <sz val="8"/>
            <color indexed="81"/>
            <rFont val="Tahoma"/>
            <family val="2"/>
          </rPr>
          <t xml:space="preserve">
63m Piper est</t>
        </r>
      </text>
    </comment>
    <comment ref="CU25"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3" authorId="1" shapeId="0" xr:uid="{00000000-0006-0000-0700-00003D000000}">
      <text>
        <r>
          <rPr>
            <b/>
            <sz val="8"/>
            <color indexed="81"/>
            <rFont val="Tahoma"/>
            <family val="2"/>
          </rPr>
          <t>Martin Shkreli:</t>
        </r>
        <r>
          <rPr>
            <sz val="8"/>
            <color indexed="81"/>
            <rFont val="Tahoma"/>
            <family val="2"/>
          </rPr>
          <t xml:space="preserve">
769 MS
768 GS
775 JPM</t>
        </r>
      </text>
    </comment>
    <comment ref="AU33"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3" authorId="1" shapeId="0" xr:uid="{00000000-0006-0000-0700-00003F000000}">
      <text>
        <r>
          <rPr>
            <b/>
            <sz val="8"/>
            <color indexed="81"/>
            <rFont val="Tahoma"/>
            <family val="2"/>
          </rPr>
          <t>Martin Shkreli:</t>
        </r>
        <r>
          <rPr>
            <sz val="8"/>
            <color indexed="81"/>
            <rFont val="Tahoma"/>
            <family val="2"/>
          </rPr>
          <t xml:space="preserve">
Share up 5% Y/Y</t>
        </r>
      </text>
    </comment>
    <comment ref="BA33" authorId="10" shapeId="0" xr:uid="{00000000-0006-0000-0700-000040000000}">
      <text>
        <r>
          <rPr>
            <b/>
            <sz val="8"/>
            <color indexed="81"/>
            <rFont val="Tahoma"/>
            <family val="2"/>
          </rPr>
          <t>Marek Biestek:</t>
        </r>
        <r>
          <rPr>
            <sz val="8"/>
            <color indexed="81"/>
            <rFont val="Tahoma"/>
            <family val="2"/>
          </rPr>
          <t xml:space="preserve">
Well below expected</t>
        </r>
      </text>
    </comment>
    <comment ref="DP33" authorId="1" shapeId="0" xr:uid="{00000000-0006-0000-0700-000041000000}">
      <text>
        <r>
          <rPr>
            <b/>
            <sz val="8"/>
            <color indexed="81"/>
            <rFont val="Tahoma"/>
            <family val="2"/>
          </rPr>
          <t>Martin Shkreli:</t>
        </r>
        <r>
          <rPr>
            <sz val="8"/>
            <color indexed="81"/>
            <rFont val="Tahoma"/>
            <family val="2"/>
          </rPr>
          <t xml:space="preserve">
6/1/1989 approval</t>
        </r>
      </text>
    </comment>
    <comment ref="DV33" authorId="1" shapeId="0" xr:uid="{00000000-0006-0000-0700-000042000000}">
      <text>
        <r>
          <rPr>
            <b/>
            <sz val="8"/>
            <color indexed="81"/>
            <rFont val="Tahoma"/>
            <family val="2"/>
          </rPr>
          <t>Martin Shkreli:</t>
        </r>
        <r>
          <rPr>
            <sz val="8"/>
            <color indexed="81"/>
            <rFont val="Tahoma"/>
            <family val="2"/>
          </rPr>
          <t xml:space="preserve">
840 Pru
846 JPM</t>
        </r>
      </text>
    </comment>
    <comment ref="DW33"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X33"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3"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3"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3" authorId="1" shapeId="0" xr:uid="{00000000-0006-0000-0700-000047000000}">
      <text>
        <r>
          <rPr>
            <b/>
            <sz val="8"/>
            <color indexed="81"/>
            <rFont val="Tahoma"/>
            <family val="2"/>
          </rPr>
          <t>Martin Shkreli:</t>
        </r>
        <r>
          <rPr>
            <sz val="8"/>
            <color indexed="81"/>
            <rFont val="Tahoma"/>
            <family val="2"/>
          </rPr>
          <t xml:space="preserve">
1810/899 JPM</t>
        </r>
      </text>
    </comment>
    <comment ref="B34" authorId="1" shapeId="0" xr:uid="{00000000-0006-0000-0700-000077000000}">
      <text>
        <r>
          <rPr>
            <b/>
            <sz val="8"/>
            <color indexed="81"/>
            <rFont val="Tahoma"/>
            <family val="2"/>
          </rPr>
          <t>Martin Shkreli:</t>
        </r>
        <r>
          <rPr>
            <sz val="8"/>
            <color indexed="81"/>
            <rFont val="Tahoma"/>
            <family val="2"/>
          </rPr>
          <t xml:space="preserve">
10/16/2003 license</t>
        </r>
      </text>
    </comment>
    <comment ref="ED34" authorId="1" shapeId="0" xr:uid="{00000000-0006-0000-0700-000078000000}">
      <text>
        <r>
          <rPr>
            <b/>
            <sz val="8"/>
            <color indexed="81"/>
            <rFont val="Tahoma"/>
            <family val="2"/>
          </rPr>
          <t>Martin Shkreli:</t>
        </r>
        <r>
          <rPr>
            <sz val="8"/>
            <color indexed="81"/>
            <rFont val="Tahoma"/>
            <family val="2"/>
          </rPr>
          <t xml:space="preserve">
10/16/2003 license</t>
        </r>
      </text>
    </comment>
    <comment ref="EJ34"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8" authorId="1" shapeId="0" xr:uid="{00000000-0006-0000-0700-00008B000000}">
      <text>
        <r>
          <rPr>
            <b/>
            <sz val="8"/>
            <color indexed="81"/>
            <rFont val="Tahoma"/>
            <family val="2"/>
          </rPr>
          <t>Martin Shkreli:</t>
        </r>
        <r>
          <rPr>
            <sz val="8"/>
            <color indexed="81"/>
            <rFont val="Tahoma"/>
            <family val="2"/>
          </rPr>
          <t xml:space="preserve">
Bear IMS estimate 112</t>
        </r>
      </text>
    </comment>
    <comment ref="T38" authorId="1" shapeId="0" xr:uid="{00000000-0006-0000-0700-00008C000000}">
      <text>
        <r>
          <rPr>
            <b/>
            <sz val="8"/>
            <color indexed="81"/>
            <rFont val="Tahoma"/>
            <family val="2"/>
          </rPr>
          <t>Martin Shkreli:</t>
        </r>
        <r>
          <rPr>
            <sz val="8"/>
            <color indexed="81"/>
            <rFont val="Tahoma"/>
            <family val="2"/>
          </rPr>
          <t xml:space="preserve">
Bear IMS estimate 117</t>
        </r>
      </text>
    </comment>
    <comment ref="U38" authorId="1" shapeId="0" xr:uid="{00000000-0006-0000-0700-00008D000000}">
      <text>
        <r>
          <rPr>
            <b/>
            <sz val="8"/>
            <color indexed="81"/>
            <rFont val="Tahoma"/>
            <family val="2"/>
          </rPr>
          <t>Martin Shkreli:</t>
        </r>
        <r>
          <rPr>
            <sz val="8"/>
            <color indexed="81"/>
            <rFont val="Tahoma"/>
            <family val="2"/>
          </rPr>
          <t xml:space="preserve">
Bear IMS estimate 130</t>
        </r>
      </text>
    </comment>
    <comment ref="V38" authorId="1" shapeId="0" xr:uid="{00000000-0006-0000-0700-00008E000000}">
      <text>
        <r>
          <rPr>
            <b/>
            <sz val="8"/>
            <color indexed="81"/>
            <rFont val="Tahoma"/>
            <family val="2"/>
          </rPr>
          <t>Martin Shkreli:</t>
        </r>
        <r>
          <rPr>
            <sz val="8"/>
            <color indexed="81"/>
            <rFont val="Tahoma"/>
            <family val="2"/>
          </rPr>
          <t xml:space="preserve">
Bear IMS estimate 143</t>
        </r>
      </text>
    </comment>
    <comment ref="W38" authorId="1" shapeId="0" xr:uid="{00000000-0006-0000-0700-00008F000000}">
      <text>
        <r>
          <rPr>
            <b/>
            <sz val="8"/>
            <color indexed="81"/>
            <rFont val="Tahoma"/>
            <family val="2"/>
          </rPr>
          <t>Martin Shkreli:</t>
        </r>
        <r>
          <rPr>
            <sz val="8"/>
            <color indexed="81"/>
            <rFont val="Tahoma"/>
            <family val="2"/>
          </rPr>
          <t xml:space="preserve">
Bear IMS estimate 147</t>
        </r>
      </text>
    </comment>
    <comment ref="X38" authorId="1" shapeId="0" xr:uid="{00000000-0006-0000-0700-000090000000}">
      <text>
        <r>
          <rPr>
            <b/>
            <sz val="8"/>
            <color indexed="81"/>
            <rFont val="Tahoma"/>
            <family val="2"/>
          </rPr>
          <t>Martin Shkreli:</t>
        </r>
        <r>
          <rPr>
            <sz val="8"/>
            <color indexed="81"/>
            <rFont val="Tahoma"/>
            <family val="2"/>
          </rPr>
          <t xml:space="preserve">
Bear IMS estimate 146</t>
        </r>
      </text>
    </comment>
    <comment ref="Y38" authorId="1" shapeId="0" xr:uid="{00000000-0006-0000-0700-000091000000}">
      <text>
        <r>
          <rPr>
            <b/>
            <sz val="8"/>
            <color indexed="81"/>
            <rFont val="Tahoma"/>
            <family val="2"/>
          </rPr>
          <t>Martin Shkreli:</t>
        </r>
        <r>
          <rPr>
            <sz val="8"/>
            <color indexed="81"/>
            <rFont val="Tahoma"/>
            <family val="2"/>
          </rPr>
          <t xml:space="preserve">
Bear IMS estimate 64</t>
        </r>
      </text>
    </comment>
    <comment ref="Z38" authorId="1" shapeId="0" xr:uid="{00000000-0006-0000-0700-000092000000}">
      <text>
        <r>
          <rPr>
            <b/>
            <sz val="8"/>
            <color indexed="81"/>
            <rFont val="Tahoma"/>
            <family val="2"/>
          </rPr>
          <t>Martin Shkreli:</t>
        </r>
        <r>
          <rPr>
            <sz val="8"/>
            <color indexed="81"/>
            <rFont val="Tahoma"/>
            <family val="2"/>
          </rPr>
          <t xml:space="preserve">
Bear IMS estimate 57</t>
        </r>
      </text>
    </comment>
    <comment ref="AA38" authorId="1" shapeId="0" xr:uid="{00000000-0006-0000-0700-000093000000}">
      <text>
        <r>
          <rPr>
            <b/>
            <sz val="8"/>
            <color indexed="81"/>
            <rFont val="Tahoma"/>
            <family val="2"/>
          </rPr>
          <t>Martin Shkreli:</t>
        </r>
        <r>
          <rPr>
            <sz val="8"/>
            <color indexed="81"/>
            <rFont val="Tahoma"/>
            <family val="2"/>
          </rPr>
          <t xml:space="preserve">
Bear IMS estimate 59</t>
        </r>
      </text>
    </comment>
    <comment ref="AB38" authorId="1" shapeId="0" xr:uid="{00000000-0006-0000-0700-000094000000}">
      <text>
        <r>
          <rPr>
            <b/>
            <sz val="8"/>
            <color indexed="81"/>
            <rFont val="Tahoma"/>
            <family val="2"/>
          </rPr>
          <t>Martin Shkreli:</t>
        </r>
        <r>
          <rPr>
            <sz val="8"/>
            <color indexed="81"/>
            <rFont val="Tahoma"/>
            <family val="2"/>
          </rPr>
          <t xml:space="preserve">
Bear IMS estimate 60</t>
        </r>
      </text>
    </comment>
    <comment ref="AC38" authorId="1" shapeId="0" xr:uid="{00000000-0006-0000-0700-000095000000}">
      <text>
        <r>
          <rPr>
            <b/>
            <sz val="8"/>
            <color indexed="81"/>
            <rFont val="Tahoma"/>
            <family val="2"/>
          </rPr>
          <t>Martin Shkreli:</t>
        </r>
        <r>
          <rPr>
            <sz val="8"/>
            <color indexed="81"/>
            <rFont val="Tahoma"/>
            <family val="2"/>
          </rPr>
          <t xml:space="preserve">
Bear IMS estimate 63</t>
        </r>
      </text>
    </comment>
    <comment ref="AD38" authorId="1" shapeId="0" xr:uid="{00000000-0006-0000-0700-000096000000}">
      <text>
        <r>
          <rPr>
            <b/>
            <sz val="8"/>
            <color indexed="81"/>
            <rFont val="Tahoma"/>
            <family val="2"/>
          </rPr>
          <t>Martin Shkreli:</t>
        </r>
        <r>
          <rPr>
            <sz val="8"/>
            <color indexed="81"/>
            <rFont val="Tahoma"/>
            <family val="2"/>
          </rPr>
          <t xml:space="preserve">
Bear IMS estimate 65</t>
        </r>
      </text>
    </comment>
    <comment ref="AE38" authorId="1" shapeId="0" xr:uid="{00000000-0006-0000-0700-000097000000}">
      <text>
        <r>
          <rPr>
            <b/>
            <sz val="8"/>
            <color indexed="81"/>
            <rFont val="Tahoma"/>
            <family val="2"/>
          </rPr>
          <t>Martin Shkreli:</t>
        </r>
        <r>
          <rPr>
            <sz val="8"/>
            <color indexed="81"/>
            <rFont val="Tahoma"/>
            <family val="2"/>
          </rPr>
          <t xml:space="preserve">
Bear IMS estimate 64</t>
        </r>
      </text>
    </comment>
    <comment ref="AF38" authorId="1" shapeId="0" xr:uid="{00000000-0006-0000-0700-000098000000}">
      <text>
        <r>
          <rPr>
            <b/>
            <sz val="8"/>
            <color indexed="81"/>
            <rFont val="Tahoma"/>
            <family val="2"/>
          </rPr>
          <t>Martin Shkreli:</t>
        </r>
        <r>
          <rPr>
            <sz val="8"/>
            <color indexed="81"/>
            <rFont val="Tahoma"/>
            <family val="2"/>
          </rPr>
          <t xml:space="preserve">
Bear IMS estimate 69</t>
        </r>
      </text>
    </comment>
    <comment ref="AG38" authorId="1" shapeId="0" xr:uid="{00000000-0006-0000-0700-000099000000}">
      <text>
        <r>
          <rPr>
            <b/>
            <sz val="8"/>
            <color indexed="81"/>
            <rFont val="Tahoma"/>
            <family val="2"/>
          </rPr>
          <t>Martin Shkreli:</t>
        </r>
        <r>
          <rPr>
            <sz val="8"/>
            <color indexed="81"/>
            <rFont val="Tahoma"/>
            <family val="2"/>
          </rPr>
          <t xml:space="preserve">
Bear IMS estimate 72</t>
        </r>
      </text>
    </comment>
    <comment ref="AH38" authorId="1" shapeId="0" xr:uid="{00000000-0006-0000-0700-00009A000000}">
      <text>
        <r>
          <rPr>
            <b/>
            <sz val="8"/>
            <color indexed="81"/>
            <rFont val="Tahoma"/>
            <family val="2"/>
          </rPr>
          <t>Martin Shkreli:</t>
        </r>
        <r>
          <rPr>
            <sz val="8"/>
            <color indexed="81"/>
            <rFont val="Tahoma"/>
            <family val="2"/>
          </rPr>
          <t xml:space="preserve">
Bear IMS estimate 74</t>
        </r>
      </text>
    </comment>
    <comment ref="AI38" authorId="1" shapeId="0" xr:uid="{00000000-0006-0000-0700-00009B000000}">
      <text>
        <r>
          <rPr>
            <b/>
            <sz val="8"/>
            <color indexed="81"/>
            <rFont val="Tahoma"/>
            <family val="2"/>
          </rPr>
          <t>Martin Shkreli:</t>
        </r>
        <r>
          <rPr>
            <sz val="8"/>
            <color indexed="81"/>
            <rFont val="Tahoma"/>
            <family val="2"/>
          </rPr>
          <t xml:space="preserve">
Bear IMS estimate</t>
        </r>
      </text>
    </comment>
    <comment ref="AJ38" authorId="1" shapeId="0" xr:uid="{00000000-0006-0000-0700-00009C000000}">
      <text>
        <r>
          <rPr>
            <b/>
            <sz val="8"/>
            <color indexed="81"/>
            <rFont val="Tahoma"/>
            <family val="2"/>
          </rPr>
          <t>Martin Shkreli:</t>
        </r>
        <r>
          <rPr>
            <sz val="8"/>
            <color indexed="81"/>
            <rFont val="Tahoma"/>
            <family val="2"/>
          </rPr>
          <t xml:space="preserve">
Bear IMS estimate</t>
        </r>
      </text>
    </comment>
    <comment ref="AK38" authorId="1" shapeId="0" xr:uid="{00000000-0006-0000-0700-00009D000000}">
      <text>
        <r>
          <rPr>
            <b/>
            <sz val="8"/>
            <color indexed="81"/>
            <rFont val="Tahoma"/>
            <family val="2"/>
          </rPr>
          <t>Martin Shkreli:</t>
        </r>
        <r>
          <rPr>
            <sz val="8"/>
            <color indexed="81"/>
            <rFont val="Tahoma"/>
            <family val="2"/>
          </rPr>
          <t xml:space="preserve">
Bear IMS estimate</t>
        </r>
      </text>
    </comment>
    <comment ref="AL38" authorId="1" shapeId="0" xr:uid="{00000000-0006-0000-0700-00009E000000}">
      <text>
        <r>
          <rPr>
            <b/>
            <sz val="8"/>
            <color indexed="81"/>
            <rFont val="Tahoma"/>
            <family val="2"/>
          </rPr>
          <t>Martin Shkreli:</t>
        </r>
        <r>
          <rPr>
            <sz val="8"/>
            <color indexed="81"/>
            <rFont val="Tahoma"/>
            <family val="2"/>
          </rPr>
          <t xml:space="preserve">
Bear IMS estimate</t>
        </r>
      </text>
    </comment>
    <comment ref="AM38" authorId="1" shapeId="0" xr:uid="{00000000-0006-0000-0700-00009F000000}">
      <text>
        <r>
          <rPr>
            <b/>
            <sz val="8"/>
            <color indexed="81"/>
            <rFont val="Tahoma"/>
            <family val="2"/>
          </rPr>
          <t>Martin Shkreli:</t>
        </r>
        <r>
          <rPr>
            <sz val="8"/>
            <color indexed="81"/>
            <rFont val="Tahoma"/>
            <family val="2"/>
          </rPr>
          <t xml:space="preserve">
Bear IMS estimate</t>
        </r>
      </text>
    </comment>
    <comment ref="AN38" authorId="1" shapeId="0" xr:uid="{00000000-0006-0000-0700-0000A0000000}">
      <text>
        <r>
          <rPr>
            <b/>
            <sz val="8"/>
            <color indexed="81"/>
            <rFont val="Tahoma"/>
            <family val="2"/>
          </rPr>
          <t>Martin Shkreli:</t>
        </r>
        <r>
          <rPr>
            <sz val="8"/>
            <color indexed="81"/>
            <rFont val="Tahoma"/>
            <family val="2"/>
          </rPr>
          <t xml:space="preserve">
Bear IMS estimate</t>
        </r>
      </text>
    </comment>
    <comment ref="DV38"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W38" authorId="1" shapeId="0" xr:uid="{00000000-0006-0000-0700-0000A2000000}">
      <text>
        <r>
          <rPr>
            <b/>
            <sz val="8"/>
            <color indexed="81"/>
            <rFont val="Tahoma"/>
            <family val="2"/>
          </rPr>
          <t>Martin Shkreli:</t>
        </r>
        <r>
          <rPr>
            <sz val="8"/>
            <color indexed="81"/>
            <rFont val="Tahoma"/>
            <family val="2"/>
          </rPr>
          <t xml:space="preserve">
264 Pru
255 JPM 255/0</t>
        </r>
      </text>
    </comment>
    <comment ref="DX38"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38"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38"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38" authorId="1" shapeId="0" xr:uid="{00000000-0006-0000-0700-0000A6000000}">
      <text>
        <r>
          <rPr>
            <b/>
            <sz val="8"/>
            <color indexed="81"/>
            <rFont val="Tahoma"/>
            <family val="2"/>
          </rPr>
          <t>Martin Shkreli:</t>
        </r>
        <r>
          <rPr>
            <sz val="8"/>
            <color indexed="81"/>
            <rFont val="Tahoma"/>
            <family val="2"/>
          </rPr>
          <t xml:space="preserve">
521 JPM 517/4</t>
        </r>
      </text>
    </comment>
    <comment ref="EB38"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38"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38"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38"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38"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39" authorId="1" shapeId="0" xr:uid="{00000000-0006-0000-0700-0000AC000000}">
      <text>
        <r>
          <rPr>
            <b/>
            <sz val="8"/>
            <color indexed="81"/>
            <rFont val="Tahoma"/>
            <family val="2"/>
          </rPr>
          <t>Martin Shkreli:</t>
        </r>
        <r>
          <rPr>
            <sz val="8"/>
            <color indexed="81"/>
            <rFont val="Tahoma"/>
            <family val="2"/>
          </rPr>
          <t xml:space="preserve">
9/11/92 approval</t>
        </r>
      </text>
    </comment>
    <comment ref="DV39" authorId="1" shapeId="0" xr:uid="{00000000-0006-0000-0700-0000AD000000}">
      <text>
        <r>
          <rPr>
            <b/>
            <sz val="8"/>
            <color indexed="81"/>
            <rFont val="Tahoma"/>
            <family val="2"/>
          </rPr>
          <t>Martin Shkreli:</t>
        </r>
        <r>
          <rPr>
            <sz val="8"/>
            <color indexed="81"/>
            <rFont val="Tahoma"/>
            <family val="2"/>
          </rPr>
          <t xml:space="preserve">
490 JPM 100/390</t>
        </r>
      </text>
    </comment>
    <comment ref="DW39" authorId="1" shapeId="0" xr:uid="{00000000-0006-0000-0700-0000AE000000}">
      <text>
        <r>
          <rPr>
            <b/>
            <sz val="8"/>
            <color indexed="81"/>
            <rFont val="Tahoma"/>
            <family val="2"/>
          </rPr>
          <t>Martin Shkreli:</t>
        </r>
        <r>
          <rPr>
            <sz val="8"/>
            <color indexed="81"/>
            <rFont val="Tahoma"/>
            <family val="2"/>
          </rPr>
          <t xml:space="preserve">
657 Pru
649 JPM 289/360</t>
        </r>
      </text>
    </comment>
    <comment ref="DX39"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39"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39"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39" authorId="1" shapeId="0" xr:uid="{00000000-0006-0000-0700-0000B2000000}">
      <text>
        <r>
          <rPr>
            <b/>
            <sz val="8"/>
            <color indexed="81"/>
            <rFont val="Tahoma"/>
            <family val="2"/>
          </rPr>
          <t>Martin Shkreli:</t>
        </r>
        <r>
          <rPr>
            <sz val="8"/>
            <color indexed="81"/>
            <rFont val="Tahoma"/>
            <family val="2"/>
          </rPr>
          <t xml:space="preserve">
ELAB launches generic</t>
        </r>
      </text>
    </comment>
    <comment ref="B40"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40" authorId="1" shapeId="0" xr:uid="{00000000-0006-0000-0700-0000B4000000}">
      <text>
        <r>
          <rPr>
            <b/>
            <sz val="8"/>
            <color indexed="81"/>
            <rFont val="Tahoma"/>
            <family val="2"/>
          </rPr>
          <t>Martin Shkreli:</t>
        </r>
        <r>
          <rPr>
            <sz val="8"/>
            <color indexed="81"/>
            <rFont val="Tahoma"/>
            <family val="2"/>
          </rPr>
          <t xml:space="preserve">
Barr launches generic</t>
        </r>
      </text>
    </comment>
    <comment ref="AG40"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0" authorId="1" shapeId="0" xr:uid="{00000000-0006-0000-0700-0000B6000000}">
      <text>
        <r>
          <rPr>
            <b/>
            <sz val="8"/>
            <color indexed="81"/>
            <rFont val="Tahoma"/>
            <family val="2"/>
          </rPr>
          <t>Martin Shkreli:</t>
        </r>
        <r>
          <rPr>
            <sz val="8"/>
            <color indexed="81"/>
            <rFont val="Tahoma"/>
            <family val="2"/>
          </rPr>
          <t xml:space="preserve">
580 JPM 430/150</t>
        </r>
      </text>
    </comment>
    <comment ref="DW40" authorId="1" shapeId="0" xr:uid="{00000000-0006-0000-0700-0000B7000000}">
      <text>
        <r>
          <rPr>
            <b/>
            <sz val="8"/>
            <color indexed="81"/>
            <rFont val="Tahoma"/>
            <family val="2"/>
          </rPr>
          <t>Martin Shkreli:</t>
        </r>
        <r>
          <rPr>
            <sz val="8"/>
            <color indexed="81"/>
            <rFont val="Tahoma"/>
            <family val="2"/>
          </rPr>
          <t xml:space="preserve">
590 Pru
582 JPM 432/150</t>
        </r>
      </text>
    </comment>
    <comment ref="DX40"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0"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0"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0" authorId="1" shapeId="0" xr:uid="{00000000-0006-0000-0700-0000BB000000}">
      <text>
        <r>
          <rPr>
            <b/>
            <sz val="8"/>
            <color indexed="81"/>
            <rFont val="Tahoma"/>
            <family val="2"/>
          </rPr>
          <t>Martin Shkreli:</t>
        </r>
        <r>
          <rPr>
            <sz val="8"/>
            <color indexed="81"/>
            <rFont val="Tahoma"/>
            <family val="2"/>
          </rPr>
          <t xml:space="preserve">
956 JPM 841/115</t>
        </r>
      </text>
    </comment>
    <comment ref="EB40" authorId="1" shapeId="0" xr:uid="{00000000-0006-0000-0700-0000BC000000}">
      <text>
        <r>
          <rPr>
            <b/>
            <sz val="8"/>
            <color indexed="81"/>
            <rFont val="Tahoma"/>
            <family val="2"/>
          </rPr>
          <t>Martin Shkreli:</t>
        </r>
        <r>
          <rPr>
            <sz val="8"/>
            <color indexed="81"/>
            <rFont val="Tahoma"/>
            <family val="2"/>
          </rPr>
          <t xml:space="preserve">
Ortho TriCyclen 671m</t>
        </r>
      </text>
    </comment>
    <comment ref="DZ41" authorId="1" shapeId="0" xr:uid="{00000000-0006-0000-0700-0000BD000000}">
      <text>
        <r>
          <rPr>
            <b/>
            <sz val="8"/>
            <color indexed="81"/>
            <rFont val="Tahoma"/>
            <family val="2"/>
          </rPr>
          <t>Martin Shkreli:</t>
        </r>
        <r>
          <rPr>
            <sz val="8"/>
            <color indexed="81"/>
            <rFont val="Tahoma"/>
            <family val="2"/>
          </rPr>
          <t xml:space="preserve">
Ditropan 87m</t>
        </r>
      </text>
    </comment>
    <comment ref="EA41" authorId="1" shapeId="0" xr:uid="{00000000-0006-0000-0700-0000BE000000}">
      <text>
        <r>
          <rPr>
            <b/>
            <sz val="8"/>
            <color indexed="81"/>
            <rFont val="Tahoma"/>
            <family val="2"/>
          </rPr>
          <t>Martin Shkreli:</t>
        </r>
        <r>
          <rPr>
            <sz val="8"/>
            <color indexed="81"/>
            <rFont val="Tahoma"/>
            <family val="2"/>
          </rPr>
          <t xml:space="preserve">
Ditropan 179m JPM</t>
        </r>
      </text>
    </comment>
    <comment ref="EB41" authorId="1" shapeId="0" xr:uid="{00000000-0006-0000-0700-0000BF000000}">
      <text>
        <r>
          <rPr>
            <b/>
            <sz val="8"/>
            <color indexed="81"/>
            <rFont val="Tahoma"/>
            <family val="2"/>
          </rPr>
          <t>Martin Shkreli:</t>
        </r>
        <r>
          <rPr>
            <sz val="8"/>
            <color indexed="81"/>
            <rFont val="Tahoma"/>
            <family val="2"/>
          </rPr>
          <t xml:space="preserve">
Ditropan 235m JPM</t>
        </r>
      </text>
    </comment>
    <comment ref="EC41" authorId="1" shapeId="0" xr:uid="{00000000-0006-0000-0700-0000C0000000}">
      <text>
        <r>
          <rPr>
            <b/>
            <sz val="8"/>
            <color indexed="81"/>
            <rFont val="Tahoma"/>
            <family val="2"/>
          </rPr>
          <t xml:space="preserve">Martin Shkreli:
</t>
        </r>
        <r>
          <rPr>
            <sz val="8"/>
            <color indexed="81"/>
            <rFont val="Tahoma"/>
            <family val="2"/>
          </rPr>
          <t>Ditropan 290m JPM</t>
        </r>
      </text>
    </comment>
    <comment ref="ED41" authorId="1" shapeId="0" xr:uid="{00000000-0006-0000-0700-0000C1000000}">
      <text>
        <r>
          <rPr>
            <b/>
            <sz val="8"/>
            <color indexed="81"/>
            <rFont val="Tahoma"/>
            <family val="2"/>
          </rPr>
          <t>Martin Shkreli:</t>
        </r>
        <r>
          <rPr>
            <sz val="8"/>
            <color indexed="81"/>
            <rFont val="Tahoma"/>
            <family val="2"/>
          </rPr>
          <t xml:space="preserve">
Ditropan 370m JPM</t>
        </r>
      </text>
    </comment>
    <comment ref="EE41" authorId="1" shapeId="0" xr:uid="{00000000-0006-0000-0700-0000C2000000}">
      <text>
        <r>
          <rPr>
            <b/>
            <sz val="8"/>
            <color indexed="81"/>
            <rFont val="Tahoma"/>
            <family val="2"/>
          </rPr>
          <t>Martin Shkreli:</t>
        </r>
        <r>
          <rPr>
            <sz val="8"/>
            <color indexed="81"/>
            <rFont val="Tahoma"/>
            <family val="2"/>
          </rPr>
          <t xml:space="preserve">
Ditropan 425m JPM</t>
        </r>
      </text>
    </comment>
    <comment ref="T42" authorId="1" shapeId="0" xr:uid="{00000000-0006-0000-0700-0000C3000000}">
      <text>
        <r>
          <rPr>
            <b/>
            <sz val="8"/>
            <color indexed="81"/>
            <rFont val="Tahoma"/>
            <family val="2"/>
          </rPr>
          <t>Martin Shkreli:</t>
        </r>
        <r>
          <rPr>
            <sz val="8"/>
            <color indexed="81"/>
            <rFont val="Tahoma"/>
            <family val="2"/>
          </rPr>
          <t xml:space="preserve">
Bear IMS estimate 5</t>
        </r>
      </text>
    </comment>
    <comment ref="U42" authorId="1" shapeId="0" xr:uid="{00000000-0006-0000-0700-0000C4000000}">
      <text>
        <r>
          <rPr>
            <b/>
            <sz val="8"/>
            <color indexed="81"/>
            <rFont val="Tahoma"/>
            <family val="2"/>
          </rPr>
          <t>Martin Shkreli:</t>
        </r>
        <r>
          <rPr>
            <sz val="8"/>
            <color indexed="81"/>
            <rFont val="Tahoma"/>
            <family val="2"/>
          </rPr>
          <t xml:space="preserve">
Bear IMS estimate 8</t>
        </r>
      </text>
    </comment>
    <comment ref="V42" authorId="1" shapeId="0" xr:uid="{00000000-0006-0000-0700-0000C5000000}">
      <text>
        <r>
          <rPr>
            <b/>
            <sz val="8"/>
            <color indexed="81"/>
            <rFont val="Tahoma"/>
            <family val="2"/>
          </rPr>
          <t>Martin Shkreli:</t>
        </r>
        <r>
          <rPr>
            <sz val="8"/>
            <color indexed="81"/>
            <rFont val="Tahoma"/>
            <family val="2"/>
          </rPr>
          <t xml:space="preserve">
Bear IMS estimate</t>
        </r>
      </text>
    </comment>
    <comment ref="W42" authorId="1" shapeId="0" xr:uid="{00000000-0006-0000-0700-0000C6000000}">
      <text>
        <r>
          <rPr>
            <b/>
            <sz val="8"/>
            <color indexed="81"/>
            <rFont val="Tahoma"/>
            <family val="2"/>
          </rPr>
          <t>Martin Shkreli:</t>
        </r>
        <r>
          <rPr>
            <sz val="8"/>
            <color indexed="81"/>
            <rFont val="Tahoma"/>
            <family val="2"/>
          </rPr>
          <t xml:space="preserve">
Bear IMS estimate</t>
        </r>
      </text>
    </comment>
    <comment ref="X42" authorId="1" shapeId="0" xr:uid="{00000000-0006-0000-0700-0000C7000000}">
      <text>
        <r>
          <rPr>
            <b/>
            <sz val="8"/>
            <color indexed="81"/>
            <rFont val="Tahoma"/>
            <family val="2"/>
          </rPr>
          <t>Martin Shkreli:</t>
        </r>
        <r>
          <rPr>
            <sz val="8"/>
            <color indexed="81"/>
            <rFont val="Tahoma"/>
            <family val="2"/>
          </rPr>
          <t xml:space="preserve">
Bear IMS estimate</t>
        </r>
      </text>
    </comment>
    <comment ref="Y42" authorId="1" shapeId="0" xr:uid="{00000000-0006-0000-0700-0000C8000000}">
      <text>
        <r>
          <rPr>
            <b/>
            <sz val="8"/>
            <color indexed="81"/>
            <rFont val="Tahoma"/>
            <family val="2"/>
          </rPr>
          <t>Martin Shkreli:</t>
        </r>
        <r>
          <rPr>
            <sz val="8"/>
            <color indexed="81"/>
            <rFont val="Tahoma"/>
            <family val="2"/>
          </rPr>
          <t xml:space="preserve">
Bear IMS estimate</t>
        </r>
      </text>
    </comment>
    <comment ref="Z42" authorId="1" shapeId="0" xr:uid="{00000000-0006-0000-0700-0000C9000000}">
      <text>
        <r>
          <rPr>
            <b/>
            <sz val="8"/>
            <color indexed="81"/>
            <rFont val="Tahoma"/>
            <family val="2"/>
          </rPr>
          <t>Martin Shkreli:</t>
        </r>
        <r>
          <rPr>
            <sz val="8"/>
            <color indexed="81"/>
            <rFont val="Tahoma"/>
            <family val="2"/>
          </rPr>
          <t xml:space="preserve">
Bear IMS estimate</t>
        </r>
      </text>
    </comment>
    <comment ref="AA42" authorId="1" shapeId="0" xr:uid="{00000000-0006-0000-0700-0000CA000000}">
      <text>
        <r>
          <rPr>
            <b/>
            <sz val="8"/>
            <color indexed="81"/>
            <rFont val="Tahoma"/>
            <family val="2"/>
          </rPr>
          <t>Martin Shkreli:</t>
        </r>
        <r>
          <rPr>
            <sz val="8"/>
            <color indexed="81"/>
            <rFont val="Tahoma"/>
            <family val="2"/>
          </rPr>
          <t xml:space="preserve">
Bear IMS estimate</t>
        </r>
      </text>
    </comment>
    <comment ref="AB42" authorId="1" shapeId="0" xr:uid="{00000000-0006-0000-0700-0000CB000000}">
      <text>
        <r>
          <rPr>
            <b/>
            <sz val="8"/>
            <color indexed="81"/>
            <rFont val="Tahoma"/>
            <family val="2"/>
          </rPr>
          <t>Martin Shkreli:</t>
        </r>
        <r>
          <rPr>
            <sz val="8"/>
            <color indexed="81"/>
            <rFont val="Tahoma"/>
            <family val="2"/>
          </rPr>
          <t xml:space="preserve">
Bear IMS estimate</t>
        </r>
      </text>
    </comment>
    <comment ref="AC42" authorId="1" shapeId="0" xr:uid="{00000000-0006-0000-0700-0000CC000000}">
      <text>
        <r>
          <rPr>
            <b/>
            <sz val="8"/>
            <color indexed="81"/>
            <rFont val="Tahoma"/>
            <family val="2"/>
          </rPr>
          <t>Martin Shkreli:</t>
        </r>
        <r>
          <rPr>
            <sz val="8"/>
            <color indexed="81"/>
            <rFont val="Tahoma"/>
            <family val="2"/>
          </rPr>
          <t xml:space="preserve">
Bear IMS estimate</t>
        </r>
      </text>
    </comment>
    <comment ref="AD42" authorId="1" shapeId="0" xr:uid="{00000000-0006-0000-0700-0000CD000000}">
      <text>
        <r>
          <rPr>
            <b/>
            <sz val="8"/>
            <color indexed="81"/>
            <rFont val="Tahoma"/>
            <family val="2"/>
          </rPr>
          <t>Martin Shkreli:</t>
        </r>
        <r>
          <rPr>
            <sz val="8"/>
            <color indexed="81"/>
            <rFont val="Tahoma"/>
            <family val="2"/>
          </rPr>
          <t xml:space="preserve">
Bear IMS estimate</t>
        </r>
      </text>
    </comment>
    <comment ref="AE42" authorId="1" shapeId="0" xr:uid="{00000000-0006-0000-0700-0000CE000000}">
      <text>
        <r>
          <rPr>
            <b/>
            <sz val="8"/>
            <color indexed="81"/>
            <rFont val="Tahoma"/>
            <family val="2"/>
          </rPr>
          <t>Martin Shkreli:</t>
        </r>
        <r>
          <rPr>
            <sz val="8"/>
            <color indexed="81"/>
            <rFont val="Tahoma"/>
            <family val="2"/>
          </rPr>
          <t xml:space="preserve">
Bear IMS estimate</t>
        </r>
      </text>
    </comment>
    <comment ref="AF42" authorId="1" shapeId="0" xr:uid="{00000000-0006-0000-0700-0000CF000000}">
      <text>
        <r>
          <rPr>
            <b/>
            <sz val="8"/>
            <color indexed="81"/>
            <rFont val="Tahoma"/>
            <family val="2"/>
          </rPr>
          <t>Martin Shkreli:</t>
        </r>
        <r>
          <rPr>
            <sz val="8"/>
            <color indexed="81"/>
            <rFont val="Tahoma"/>
            <family val="2"/>
          </rPr>
          <t xml:space="preserve">
Bear IMS estimate</t>
        </r>
      </text>
    </comment>
    <comment ref="AG42" authorId="1" shapeId="0" xr:uid="{00000000-0006-0000-0700-0000D0000000}">
      <text>
        <r>
          <rPr>
            <b/>
            <sz val="8"/>
            <color indexed="81"/>
            <rFont val="Tahoma"/>
            <family val="2"/>
          </rPr>
          <t>Martin Shkreli:</t>
        </r>
        <r>
          <rPr>
            <sz val="8"/>
            <color indexed="81"/>
            <rFont val="Tahoma"/>
            <family val="2"/>
          </rPr>
          <t xml:space="preserve">
Bear IMS estimate</t>
        </r>
      </text>
    </comment>
    <comment ref="AH42" authorId="1" shapeId="0" xr:uid="{00000000-0006-0000-0700-0000D1000000}">
      <text>
        <r>
          <rPr>
            <b/>
            <sz val="8"/>
            <color indexed="81"/>
            <rFont val="Tahoma"/>
            <family val="2"/>
          </rPr>
          <t>Martin Shkreli:</t>
        </r>
        <r>
          <rPr>
            <sz val="8"/>
            <color indexed="81"/>
            <rFont val="Tahoma"/>
            <family val="2"/>
          </rPr>
          <t xml:space="preserve">
Bear IMS estimate</t>
        </r>
      </text>
    </comment>
    <comment ref="AI42" authorId="1" shapeId="0" xr:uid="{00000000-0006-0000-0700-0000D2000000}">
      <text>
        <r>
          <rPr>
            <b/>
            <sz val="8"/>
            <color indexed="81"/>
            <rFont val="Tahoma"/>
            <family val="2"/>
          </rPr>
          <t>Martin Shkreli:</t>
        </r>
        <r>
          <rPr>
            <sz val="8"/>
            <color indexed="81"/>
            <rFont val="Tahoma"/>
            <family val="2"/>
          </rPr>
          <t xml:space="preserve">
Bear IMS estimate</t>
        </r>
      </text>
    </comment>
    <comment ref="AJ42" authorId="1" shapeId="0" xr:uid="{00000000-0006-0000-0700-0000D3000000}">
      <text>
        <r>
          <rPr>
            <b/>
            <sz val="8"/>
            <color indexed="81"/>
            <rFont val="Tahoma"/>
            <family val="2"/>
          </rPr>
          <t>Martin Shkreli:</t>
        </r>
        <r>
          <rPr>
            <sz val="8"/>
            <color indexed="81"/>
            <rFont val="Tahoma"/>
            <family val="2"/>
          </rPr>
          <t xml:space="preserve">
Bear IMS estimate</t>
        </r>
      </text>
    </comment>
    <comment ref="AK42" authorId="1" shapeId="0" xr:uid="{00000000-0006-0000-0700-0000D4000000}">
      <text>
        <r>
          <rPr>
            <b/>
            <sz val="8"/>
            <color indexed="81"/>
            <rFont val="Tahoma"/>
            <family val="2"/>
          </rPr>
          <t>Martin Shkreli:</t>
        </r>
        <r>
          <rPr>
            <sz val="8"/>
            <color indexed="81"/>
            <rFont val="Tahoma"/>
            <family val="2"/>
          </rPr>
          <t xml:space="preserve">
Bear IMS estimate</t>
        </r>
      </text>
    </comment>
    <comment ref="AL42" authorId="1" shapeId="0" xr:uid="{00000000-0006-0000-0700-0000D5000000}">
      <text>
        <r>
          <rPr>
            <b/>
            <sz val="8"/>
            <color indexed="81"/>
            <rFont val="Tahoma"/>
            <family val="2"/>
          </rPr>
          <t>Martin Shkreli:</t>
        </r>
        <r>
          <rPr>
            <sz val="8"/>
            <color indexed="81"/>
            <rFont val="Tahoma"/>
            <family val="2"/>
          </rPr>
          <t xml:space="preserve">
Bear IMS estimate</t>
        </r>
      </text>
    </comment>
    <comment ref="AM42" authorId="1" shapeId="0" xr:uid="{00000000-0006-0000-0700-0000D6000000}">
      <text>
        <r>
          <rPr>
            <b/>
            <sz val="8"/>
            <color indexed="81"/>
            <rFont val="Tahoma"/>
            <family val="2"/>
          </rPr>
          <t>Martin Shkreli:</t>
        </r>
        <r>
          <rPr>
            <sz val="8"/>
            <color indexed="81"/>
            <rFont val="Tahoma"/>
            <family val="2"/>
          </rPr>
          <t xml:space="preserve">
Bear IMS estimate</t>
        </r>
      </text>
    </comment>
    <comment ref="AN42" authorId="1" shapeId="0" xr:uid="{00000000-0006-0000-0700-0000D7000000}">
      <text>
        <r>
          <rPr>
            <b/>
            <sz val="8"/>
            <color indexed="81"/>
            <rFont val="Tahoma"/>
            <family val="2"/>
          </rPr>
          <t>Martin Shkreli:</t>
        </r>
        <r>
          <rPr>
            <sz val="8"/>
            <color indexed="81"/>
            <rFont val="Tahoma"/>
            <family val="2"/>
          </rPr>
          <t xml:space="preserve">
Bear IMS estimate</t>
        </r>
      </text>
    </comment>
    <comment ref="EB42"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2"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2"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2"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2"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5"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5"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5"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5" authorId="1" shapeId="0" xr:uid="{00000000-0006-0000-0700-0000DD000000}">
      <text>
        <r>
          <rPr>
            <b/>
            <sz val="8"/>
            <color indexed="81"/>
            <rFont val="Tahoma"/>
            <family val="2"/>
          </rPr>
          <t>Martin Shkreli:</t>
        </r>
        <r>
          <rPr>
            <sz val="8"/>
            <color indexed="81"/>
            <rFont val="Tahoma"/>
            <family val="2"/>
          </rPr>
          <t xml:space="preserve">
UBS $50m estimate</t>
        </r>
      </text>
    </comment>
    <comment ref="EK45"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5" authorId="1" shapeId="0" xr:uid="{00000000-0006-0000-0700-0000DF000000}">
      <text>
        <r>
          <rPr>
            <b/>
            <sz val="8"/>
            <color indexed="81"/>
            <rFont val="Tahoma"/>
            <family val="2"/>
          </rPr>
          <t>Martin Shkreli:</t>
        </r>
        <r>
          <rPr>
            <sz val="8"/>
            <color indexed="81"/>
            <rFont val="Tahoma"/>
            <family val="2"/>
          </rPr>
          <t xml:space="preserve">
$403m UBS
$550m ML</t>
        </r>
      </text>
    </comment>
    <comment ref="EM45" authorId="1" shapeId="0" xr:uid="{00000000-0006-0000-0700-0000E0000000}">
      <text>
        <r>
          <rPr>
            <b/>
            <sz val="8"/>
            <color indexed="81"/>
            <rFont val="Tahoma"/>
            <family val="2"/>
          </rPr>
          <t>Martin Shkreli:</t>
        </r>
        <r>
          <rPr>
            <sz val="8"/>
            <color indexed="81"/>
            <rFont val="Tahoma"/>
            <family val="2"/>
          </rPr>
          <t xml:space="preserve">
MS 650m est
ML 800m est</t>
        </r>
      </text>
    </comment>
    <comment ref="EN45" authorId="1" shapeId="0" xr:uid="{00000000-0006-0000-0700-0000E1000000}">
      <text>
        <r>
          <rPr>
            <b/>
            <sz val="8"/>
            <color indexed="81"/>
            <rFont val="Tahoma"/>
            <family val="2"/>
          </rPr>
          <t>Martin Shkreli:</t>
        </r>
        <r>
          <rPr>
            <sz val="8"/>
            <color indexed="81"/>
            <rFont val="Tahoma"/>
            <family val="2"/>
          </rPr>
          <t xml:space="preserve">
496m Piper est</t>
        </r>
      </text>
    </comment>
    <comment ref="S47" authorId="1" shapeId="0" xr:uid="{00000000-0006-0000-0700-0000E2000000}">
      <text>
        <r>
          <rPr>
            <b/>
            <sz val="8"/>
            <color indexed="81"/>
            <rFont val="Tahoma"/>
            <family val="2"/>
          </rPr>
          <t>Martin Shkreli:</t>
        </r>
        <r>
          <rPr>
            <sz val="8"/>
            <color indexed="81"/>
            <rFont val="Tahoma"/>
            <family val="2"/>
          </rPr>
          <t xml:space="preserve">
675 MS2</t>
        </r>
      </text>
    </comment>
    <comment ref="T47" authorId="1" shapeId="0" xr:uid="{00000000-0006-0000-0700-0000E3000000}">
      <text>
        <r>
          <rPr>
            <b/>
            <sz val="8"/>
            <color indexed="81"/>
            <rFont val="Tahoma"/>
            <family val="2"/>
          </rPr>
          <t>Martin Shkreli:</t>
        </r>
        <r>
          <rPr>
            <sz val="8"/>
            <color indexed="81"/>
            <rFont val="Tahoma"/>
            <family val="2"/>
          </rPr>
          <t xml:space="preserve">
737 MS2</t>
        </r>
      </text>
    </comment>
    <comment ref="U47" authorId="1" shapeId="0" xr:uid="{00000000-0006-0000-0700-0000E4000000}">
      <text>
        <r>
          <rPr>
            <b/>
            <sz val="8"/>
            <color indexed="81"/>
            <rFont val="Tahoma"/>
            <family val="2"/>
          </rPr>
          <t>Martin Shkreli:</t>
        </r>
        <r>
          <rPr>
            <sz val="8"/>
            <color indexed="81"/>
            <rFont val="Tahoma"/>
            <family val="2"/>
          </rPr>
          <t xml:space="preserve">
573 MS2</t>
        </r>
      </text>
    </comment>
    <comment ref="AP47"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7"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7" authorId="1" shapeId="0" xr:uid="{00000000-0006-0000-0700-0000E6000000}">
      <text>
        <r>
          <rPr>
            <b/>
            <sz val="8"/>
            <color indexed="81"/>
            <rFont val="Tahoma"/>
            <family val="2"/>
          </rPr>
          <t>Martin Shkreli:</t>
        </r>
        <r>
          <rPr>
            <sz val="8"/>
            <color indexed="81"/>
            <rFont val="Tahoma"/>
            <family val="2"/>
          </rPr>
          <t xml:space="preserve">
1382 JPM 225/1157</t>
        </r>
      </text>
    </comment>
    <comment ref="DW47"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X47"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7"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7"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7"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7"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8" authorId="1" shapeId="0" xr:uid="{00000000-0006-0000-0700-0000ED000000}">
      <text>
        <r>
          <rPr>
            <b/>
            <sz val="8"/>
            <color indexed="81"/>
            <rFont val="Tahoma"/>
            <family val="2"/>
          </rPr>
          <t>Martin Shkreli:</t>
        </r>
        <r>
          <rPr>
            <sz val="8"/>
            <color indexed="81"/>
            <rFont val="Tahoma"/>
            <family val="2"/>
          </rPr>
          <t xml:space="preserve">
18m DES Bear</t>
        </r>
      </text>
    </comment>
    <comment ref="Y48" authorId="1" shapeId="0" xr:uid="{00000000-0006-0000-0700-0000EE000000}">
      <text>
        <r>
          <rPr>
            <b/>
            <sz val="8"/>
            <color indexed="81"/>
            <rFont val="Tahoma"/>
            <family val="2"/>
          </rPr>
          <t>Martin Shkreli:</t>
        </r>
        <r>
          <rPr>
            <sz val="8"/>
            <color indexed="81"/>
            <rFont val="Tahoma"/>
            <family val="2"/>
          </rPr>
          <t xml:space="preserve">
44m DES Bear</t>
        </r>
      </text>
    </comment>
    <comment ref="Z48" authorId="1" shapeId="0" xr:uid="{00000000-0006-0000-0700-0000EF000000}">
      <text>
        <r>
          <rPr>
            <b/>
            <sz val="8"/>
            <color indexed="81"/>
            <rFont val="Tahoma"/>
            <family val="2"/>
          </rPr>
          <t>Martin Shkreli:</t>
        </r>
        <r>
          <rPr>
            <sz val="8"/>
            <color indexed="81"/>
            <rFont val="Tahoma"/>
            <family val="2"/>
          </rPr>
          <t xml:space="preserve">
50m DES Bear</t>
        </r>
      </text>
    </comment>
    <comment ref="AA48" authorId="1" shapeId="0" xr:uid="{00000000-0006-0000-0700-0000F0000000}">
      <text>
        <r>
          <rPr>
            <b/>
            <sz val="8"/>
            <color indexed="81"/>
            <rFont val="Tahoma"/>
            <family val="2"/>
          </rPr>
          <t>Martin Shkreli:</t>
        </r>
        <r>
          <rPr>
            <sz val="8"/>
            <color indexed="81"/>
            <rFont val="Tahoma"/>
            <family val="2"/>
          </rPr>
          <t xml:space="preserve">
75m DES Bear</t>
        </r>
      </text>
    </comment>
    <comment ref="AB48" authorId="1" shapeId="0" xr:uid="{00000000-0006-0000-0700-0000F1000000}">
      <text>
        <r>
          <rPr>
            <b/>
            <sz val="8"/>
            <color indexed="81"/>
            <rFont val="Tahoma"/>
            <family val="2"/>
          </rPr>
          <t>Martin Shkreli:</t>
        </r>
        <r>
          <rPr>
            <sz val="8"/>
            <color indexed="81"/>
            <rFont val="Tahoma"/>
            <family val="2"/>
          </rPr>
          <t xml:space="preserve">
198m DES Bear</t>
        </r>
      </text>
    </comment>
    <comment ref="AC48" authorId="1" shapeId="0" xr:uid="{00000000-0006-0000-0700-0000F2000000}">
      <text>
        <r>
          <rPr>
            <b/>
            <sz val="8"/>
            <color indexed="81"/>
            <rFont val="Tahoma"/>
            <family val="2"/>
          </rPr>
          <t>Martin Shkreli:</t>
        </r>
        <r>
          <rPr>
            <sz val="8"/>
            <color indexed="81"/>
            <rFont val="Tahoma"/>
            <family val="2"/>
          </rPr>
          <t xml:space="preserve">
489m DES Bear</t>
        </r>
      </text>
    </comment>
    <comment ref="AD48" authorId="1" shapeId="0" xr:uid="{00000000-0006-0000-0700-0000F3000000}">
      <text>
        <r>
          <rPr>
            <b/>
            <sz val="8"/>
            <color indexed="81"/>
            <rFont val="Tahoma"/>
            <family val="2"/>
          </rPr>
          <t>Martin Shkreli:</t>
        </r>
        <r>
          <rPr>
            <sz val="8"/>
            <color indexed="81"/>
            <rFont val="Tahoma"/>
            <family val="2"/>
          </rPr>
          <t xml:space="preserve">
550m DES Bear</t>
        </r>
      </text>
    </comment>
    <comment ref="AE48" authorId="1" shapeId="0" xr:uid="{00000000-0006-0000-0700-0000F4000000}">
      <text>
        <r>
          <rPr>
            <b/>
            <sz val="8"/>
            <color indexed="81"/>
            <rFont val="Tahoma"/>
            <family val="2"/>
          </rPr>
          <t>Martin Shkreli:</t>
        </r>
        <r>
          <rPr>
            <sz val="8"/>
            <color indexed="81"/>
            <rFont val="Tahoma"/>
            <family val="2"/>
          </rPr>
          <t xml:space="preserve">
532m DES Bear</t>
        </r>
      </text>
    </comment>
    <comment ref="AF48" authorId="1" shapeId="0" xr:uid="{00000000-0006-0000-0700-0000F5000000}">
      <text>
        <r>
          <rPr>
            <b/>
            <sz val="8"/>
            <color indexed="81"/>
            <rFont val="Tahoma"/>
            <family val="2"/>
          </rPr>
          <t>Martin Shkreli:</t>
        </r>
        <r>
          <rPr>
            <sz val="8"/>
            <color indexed="81"/>
            <rFont val="Tahoma"/>
            <family val="2"/>
          </rPr>
          <t xml:space="preserve">
331m DES Bear</t>
        </r>
      </text>
    </comment>
    <comment ref="AG48" authorId="1" shapeId="0" xr:uid="{00000000-0006-0000-0700-0000F6000000}">
      <text>
        <r>
          <rPr>
            <b/>
            <sz val="8"/>
            <color indexed="81"/>
            <rFont val="Tahoma"/>
            <family val="2"/>
          </rPr>
          <t>Martin Shkreli:</t>
        </r>
        <r>
          <rPr>
            <sz val="8"/>
            <color indexed="81"/>
            <rFont val="Tahoma"/>
            <family val="2"/>
          </rPr>
          <t xml:space="preserve">
439m DES Bear</t>
        </r>
      </text>
    </comment>
    <comment ref="AH48" authorId="1" shapeId="0" xr:uid="{00000000-0006-0000-0700-0000F7000000}">
      <text>
        <r>
          <rPr>
            <b/>
            <sz val="8"/>
            <color indexed="81"/>
            <rFont val="Tahoma"/>
            <family val="2"/>
          </rPr>
          <t>Martin Shkreli:</t>
        </r>
        <r>
          <rPr>
            <sz val="8"/>
            <color indexed="81"/>
            <rFont val="Tahoma"/>
            <family val="2"/>
          </rPr>
          <t xml:space="preserve">
561m DES Bear</t>
        </r>
      </text>
    </comment>
    <comment ref="AI48" authorId="1" shapeId="0" xr:uid="{00000000-0006-0000-0700-0000F8000000}">
      <text>
        <r>
          <rPr>
            <b/>
            <sz val="8"/>
            <color indexed="81"/>
            <rFont val="Tahoma"/>
            <family val="2"/>
          </rPr>
          <t>Martin Shkreli:</t>
        </r>
        <r>
          <rPr>
            <sz val="8"/>
            <color indexed="81"/>
            <rFont val="Tahoma"/>
            <family val="2"/>
          </rPr>
          <t xml:space="preserve">
617 DES bear actual</t>
        </r>
      </text>
    </comment>
    <comment ref="AJ48" authorId="1" shapeId="0" xr:uid="{00000000-0006-0000-0700-0000F9000000}">
      <text>
        <r>
          <rPr>
            <b/>
            <sz val="8"/>
            <color indexed="81"/>
            <rFont val="Tahoma"/>
            <family val="2"/>
          </rPr>
          <t>Martin Shkreli:</t>
        </r>
        <r>
          <rPr>
            <sz val="8"/>
            <color indexed="81"/>
            <rFont val="Tahoma"/>
            <family val="2"/>
          </rPr>
          <t xml:space="preserve">
659 bear des actual</t>
        </r>
      </text>
    </comment>
    <comment ref="AK48" authorId="1" shapeId="0" xr:uid="{00000000-0006-0000-0700-0000FA000000}">
      <text>
        <r>
          <rPr>
            <b/>
            <sz val="8"/>
            <color indexed="81"/>
            <rFont val="Tahoma"/>
            <family val="2"/>
          </rPr>
          <t>Martin Shkreli:</t>
        </r>
        <r>
          <rPr>
            <sz val="8"/>
            <color indexed="81"/>
            <rFont val="Tahoma"/>
            <family val="2"/>
          </rPr>
          <t xml:space="preserve">
656 bear actual des</t>
        </r>
      </text>
    </comment>
    <comment ref="AL48" authorId="1" shapeId="0" xr:uid="{00000000-0006-0000-0700-0000FB000000}">
      <text>
        <r>
          <rPr>
            <b/>
            <sz val="8"/>
            <color indexed="81"/>
            <rFont val="Tahoma"/>
            <family val="2"/>
          </rPr>
          <t>Martin Shkreli:</t>
        </r>
        <r>
          <rPr>
            <sz val="8"/>
            <color indexed="81"/>
            <rFont val="Tahoma"/>
            <family val="2"/>
          </rPr>
          <t xml:space="preserve">
670 bear des actual</t>
        </r>
      </text>
    </comment>
    <comment ref="AM48" authorId="1" shapeId="0" xr:uid="{00000000-0006-0000-0700-0000FC000000}">
      <text>
        <r>
          <rPr>
            <b/>
            <sz val="8"/>
            <color indexed="81"/>
            <rFont val="Tahoma"/>
            <family val="2"/>
          </rPr>
          <t>Martin Shkreli:</t>
        </r>
        <r>
          <rPr>
            <sz val="8"/>
            <color indexed="81"/>
            <rFont val="Tahoma"/>
            <family val="2"/>
          </rPr>
          <t xml:space="preserve">
717 Bear DES actual</t>
        </r>
      </text>
    </comment>
    <comment ref="AN48" authorId="1" shapeId="0" xr:uid="{00000000-0006-0000-0700-0000FD000000}">
      <text>
        <r>
          <rPr>
            <b/>
            <sz val="8"/>
            <color indexed="81"/>
            <rFont val="Tahoma"/>
            <family val="2"/>
          </rPr>
          <t>Martin Shkreli:</t>
        </r>
        <r>
          <rPr>
            <sz val="8"/>
            <color indexed="81"/>
            <rFont val="Tahoma"/>
            <family val="2"/>
          </rPr>
          <t xml:space="preserve">
695 DES Bear actual</t>
        </r>
      </text>
    </comment>
    <comment ref="BA48"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8" authorId="0" shapeId="0" xr:uid="{00000000-0006-0000-0700-0000FF000000}">
      <text>
        <r>
          <rPr>
            <b/>
            <sz val="9"/>
            <color indexed="81"/>
            <rFont val="Tahoma"/>
            <family val="2"/>
          </rPr>
          <t>MSMB - Andre:</t>
        </r>
        <r>
          <rPr>
            <sz val="9"/>
            <color indexed="81"/>
            <rFont val="Tahoma"/>
            <family val="2"/>
          </rPr>
          <t xml:space="preserve">
Cypher 190m, -27%</t>
        </r>
      </text>
    </comment>
    <comment ref="BD48" authorId="3" shapeId="0" xr:uid="{00000000-0006-0000-0700-000000010000}">
      <text>
        <r>
          <rPr>
            <b/>
            <sz val="9"/>
            <color indexed="81"/>
            <rFont val="Tahoma"/>
            <family val="2"/>
          </rPr>
          <t>MSMB:</t>
        </r>
        <r>
          <rPr>
            <sz val="9"/>
            <color indexed="81"/>
            <rFont val="Tahoma"/>
            <family val="2"/>
          </rPr>
          <t xml:space="preserve">
Cypher 170m, -29% y/y</t>
        </r>
      </text>
    </comment>
    <comment ref="DY48" authorId="1" shapeId="0" xr:uid="{00000000-0006-0000-0700-000001010000}">
      <text>
        <r>
          <rPr>
            <b/>
            <sz val="8"/>
            <color indexed="81"/>
            <rFont val="Tahoma"/>
            <family val="2"/>
          </rPr>
          <t>Martin Shkreli:</t>
        </r>
        <r>
          <rPr>
            <sz val="8"/>
            <color indexed="81"/>
            <rFont val="Tahoma"/>
            <family val="2"/>
          </rPr>
          <t xml:space="preserve">
914 Cowen</t>
        </r>
      </text>
    </comment>
    <comment ref="DZ48" authorId="1" shapeId="0" xr:uid="{00000000-0006-0000-0700-000002010000}">
      <text>
        <r>
          <rPr>
            <b/>
            <sz val="8"/>
            <color indexed="81"/>
            <rFont val="Tahoma"/>
            <family val="2"/>
          </rPr>
          <t>Martin Shkreli:</t>
        </r>
        <r>
          <rPr>
            <sz val="8"/>
            <color indexed="81"/>
            <rFont val="Tahoma"/>
            <family val="2"/>
          </rPr>
          <t xml:space="preserve">
Bear 935 actual</t>
        </r>
      </text>
    </comment>
    <comment ref="EA48" authorId="1" shapeId="0" xr:uid="{00000000-0006-0000-0700-000003010000}">
      <text>
        <r>
          <rPr>
            <b/>
            <sz val="8"/>
            <color indexed="81"/>
            <rFont val="Tahoma"/>
            <family val="2"/>
          </rPr>
          <t>Martin Shkreli:</t>
        </r>
        <r>
          <rPr>
            <sz val="8"/>
            <color indexed="81"/>
            <rFont val="Tahoma"/>
            <family val="2"/>
          </rPr>
          <t xml:space="preserve">
Bear actual 1056</t>
        </r>
      </text>
    </comment>
    <comment ref="EC48" authorId="1" shapeId="0" xr:uid="{00000000-0006-0000-0700-000004010000}">
      <text>
        <r>
          <rPr>
            <b/>
            <sz val="8"/>
            <color indexed="81"/>
            <rFont val="Tahoma"/>
            <family val="2"/>
          </rPr>
          <t>Martin Shkreli:</t>
        </r>
        <r>
          <rPr>
            <sz val="8"/>
            <color indexed="81"/>
            <rFont val="Tahoma"/>
            <family val="2"/>
          </rPr>
          <t xml:space="preserve">
112 DES Bear</t>
        </r>
      </text>
    </comment>
    <comment ref="EE48" authorId="1" shapeId="0" xr:uid="{00000000-0006-0000-0700-000005010000}">
      <text>
        <r>
          <rPr>
            <b/>
            <sz val="8"/>
            <color indexed="81"/>
            <rFont val="Tahoma"/>
            <family val="2"/>
          </rPr>
          <t>Martin Shkreli:</t>
        </r>
        <r>
          <rPr>
            <sz val="8"/>
            <color indexed="81"/>
            <rFont val="Tahoma"/>
            <family val="2"/>
          </rPr>
          <t xml:space="preserve">
1863 DES bear</t>
        </r>
      </text>
    </comment>
    <comment ref="EF48" authorId="1" shapeId="0" xr:uid="{00000000-0006-0000-0700-000006010000}">
      <text>
        <r>
          <rPr>
            <b/>
            <sz val="8"/>
            <color indexed="81"/>
            <rFont val="Tahoma"/>
            <family val="2"/>
          </rPr>
          <t>Martin Shkreli:</t>
        </r>
        <r>
          <rPr>
            <sz val="8"/>
            <color indexed="81"/>
            <rFont val="Tahoma"/>
            <family val="2"/>
          </rPr>
          <t xml:space="preserve">
2606 DES Bear actual</t>
        </r>
      </text>
    </comment>
    <comment ref="EI48"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1" authorId="1" shapeId="0" xr:uid="{00000000-0006-0000-0700-000008010000}">
      <text>
        <r>
          <rPr>
            <b/>
            <sz val="8"/>
            <color indexed="81"/>
            <rFont val="Tahoma"/>
            <family val="2"/>
          </rPr>
          <t>Martin Shkreli:</t>
        </r>
        <r>
          <rPr>
            <sz val="8"/>
            <color indexed="81"/>
            <rFont val="Tahoma"/>
            <family val="2"/>
          </rPr>
          <t xml:space="preserve">
Bear 1702 actual</t>
        </r>
      </text>
    </comment>
    <comment ref="B52"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2"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52" authorId="1" shapeId="0" xr:uid="{00000000-0006-0000-0700-00000B010000}">
      <text>
        <r>
          <rPr>
            <b/>
            <sz val="8"/>
            <color indexed="81"/>
            <rFont val="Tahoma"/>
            <family val="2"/>
          </rPr>
          <t>Martin Shkreli:</t>
        </r>
        <r>
          <rPr>
            <sz val="8"/>
            <color indexed="81"/>
            <rFont val="Tahoma"/>
            <family val="2"/>
          </rPr>
          <t xml:space="preserve">
594 MS 2</t>
        </r>
      </text>
    </comment>
    <comment ref="U52" authorId="1" shapeId="0" xr:uid="{00000000-0006-0000-0700-00000C010000}">
      <text>
        <r>
          <rPr>
            <b/>
            <sz val="8"/>
            <color indexed="81"/>
            <rFont val="Tahoma"/>
            <family val="2"/>
          </rPr>
          <t>Martin Shkreli:</t>
        </r>
        <r>
          <rPr>
            <sz val="8"/>
            <color indexed="81"/>
            <rFont val="Tahoma"/>
            <family val="2"/>
          </rPr>
          <t xml:space="preserve">
597 MS 2</t>
        </r>
      </text>
    </comment>
    <comment ref="V52" authorId="1" shapeId="0" xr:uid="{00000000-0006-0000-0700-00000D010000}">
      <text>
        <r>
          <rPr>
            <b/>
            <sz val="8"/>
            <color indexed="81"/>
            <rFont val="Tahoma"/>
            <family val="2"/>
          </rPr>
          <t>Martin Shkreli:</t>
        </r>
        <r>
          <rPr>
            <sz val="8"/>
            <color indexed="81"/>
            <rFont val="Tahoma"/>
            <family val="2"/>
          </rPr>
          <t xml:space="preserve">
Bear 607 actual</t>
        </r>
      </text>
    </comment>
    <comment ref="BC52"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2" authorId="1" shapeId="0" xr:uid="{00000000-0006-0000-0700-00000F010000}">
      <text>
        <r>
          <rPr>
            <b/>
            <sz val="8"/>
            <color indexed="81"/>
            <rFont val="Tahoma"/>
            <family val="2"/>
          </rPr>
          <t>Martin Shkreli:</t>
        </r>
        <r>
          <rPr>
            <sz val="8"/>
            <color indexed="81"/>
            <rFont val="Tahoma"/>
            <family val="2"/>
          </rPr>
          <t xml:space="preserve">
1608 JPM
1800 Cowen</t>
        </r>
      </text>
    </comment>
    <comment ref="DZ52"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EB52" authorId="1" shapeId="0" xr:uid="{00000000-0006-0000-0700-000011010000}">
      <text>
        <r>
          <rPr>
            <b/>
            <sz val="8"/>
            <color indexed="81"/>
            <rFont val="Tahoma"/>
            <family val="2"/>
          </rPr>
          <t>Martin Shkreli:</t>
        </r>
        <r>
          <rPr>
            <sz val="8"/>
            <color indexed="81"/>
            <rFont val="Tahoma"/>
            <family val="2"/>
          </rPr>
          <t xml:space="preserve">
2246 Bear actual</t>
        </r>
      </text>
    </comment>
    <comment ref="DY53" authorId="1" shapeId="0" xr:uid="{00000000-0006-0000-0700-000012010000}">
      <text>
        <r>
          <rPr>
            <b/>
            <sz val="8"/>
            <color indexed="81"/>
            <rFont val="Tahoma"/>
            <family val="2"/>
          </rPr>
          <t>Martin Shkreli:</t>
        </r>
        <r>
          <rPr>
            <sz val="8"/>
            <color indexed="81"/>
            <rFont val="Tahoma"/>
            <family val="2"/>
          </rPr>
          <t xml:space="preserve">
1144 Cowen</t>
        </r>
      </text>
    </comment>
    <comment ref="DZ53"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54" authorId="4" shapeId="0" xr:uid="{00000000-0006-0000-0700-000014010000}">
      <text>
        <r>
          <rPr>
            <b/>
            <sz val="9"/>
            <color indexed="81"/>
            <rFont val="Tahoma"/>
            <family val="2"/>
          </rPr>
          <t>Martin:</t>
        </r>
        <r>
          <rPr>
            <sz val="9"/>
            <color indexed="81"/>
            <rFont val="Tahoma"/>
            <family val="2"/>
          </rPr>
          <t xml:space="preserve">
Infection prevention</t>
        </r>
      </text>
    </comment>
    <comment ref="S56"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6"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6"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6" authorId="1" shapeId="0" xr:uid="{00000000-0006-0000-0700-000018010000}">
      <text>
        <r>
          <rPr>
            <b/>
            <sz val="8"/>
            <color indexed="81"/>
            <rFont val="Tahoma"/>
            <family val="2"/>
          </rPr>
          <t>Martin Shkreli:</t>
        </r>
        <r>
          <rPr>
            <sz val="8"/>
            <color indexed="81"/>
            <rFont val="Tahoma"/>
            <family val="2"/>
          </rPr>
          <t xml:space="preserve">
FDA Warning Letter</t>
        </r>
      </text>
    </comment>
    <comment ref="AM56" authorId="2" shapeId="0" xr:uid="{00000000-0006-0000-0700-000019010000}">
      <text>
        <r>
          <rPr>
            <sz val="8"/>
            <color indexed="8"/>
            <rFont val="Times New Roman"/>
            <family val="1"/>
          </rPr>
          <t>Animus acquisition completed</t>
        </r>
      </text>
    </comment>
    <comment ref="DY56" authorId="1" shapeId="0" xr:uid="{00000000-0006-0000-0700-00001A010000}">
      <text>
        <r>
          <rPr>
            <b/>
            <sz val="8"/>
            <color indexed="81"/>
            <rFont val="Tahoma"/>
            <family val="2"/>
          </rPr>
          <t>Martin Shkreli:</t>
        </r>
        <r>
          <rPr>
            <sz val="8"/>
            <color indexed="81"/>
            <rFont val="Tahoma"/>
            <family val="2"/>
          </rPr>
          <t xml:space="preserve">
996 JPM
988 Cowen</t>
        </r>
      </text>
    </comment>
    <comment ref="DZ56"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6" authorId="1" shapeId="0" xr:uid="{00000000-0006-0000-0700-00001C010000}">
      <text>
        <r>
          <rPr>
            <b/>
            <sz val="8"/>
            <color indexed="81"/>
            <rFont val="Tahoma"/>
            <family val="2"/>
          </rPr>
          <t>Martin Shkreli:</t>
        </r>
        <r>
          <rPr>
            <sz val="8"/>
            <color indexed="81"/>
            <rFont val="Tahoma"/>
            <family val="2"/>
          </rPr>
          <t xml:space="preserve">
1095 Bear actual</t>
        </r>
      </text>
    </comment>
    <comment ref="DY57" authorId="1" shapeId="0" xr:uid="{00000000-0006-0000-0700-00001D010000}">
      <text>
        <r>
          <rPr>
            <b/>
            <sz val="8"/>
            <color indexed="81"/>
            <rFont val="Tahoma"/>
            <family val="2"/>
          </rPr>
          <t>Martin Shkreli:</t>
        </r>
        <r>
          <rPr>
            <sz val="8"/>
            <color indexed="81"/>
            <rFont val="Tahoma"/>
            <family val="2"/>
          </rPr>
          <t xml:space="preserve">
972 Cowen
988 JPM</t>
        </r>
      </text>
    </comment>
    <comment ref="DZ57"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8"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8"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8" authorId="1" shapeId="0" xr:uid="{00000000-0006-0000-0700-000021010000}">
      <text>
        <r>
          <rPr>
            <b/>
            <sz val="8"/>
            <color indexed="81"/>
            <rFont val="Tahoma"/>
            <family val="2"/>
          </rPr>
          <t>Martin Shkreli:</t>
        </r>
        <r>
          <rPr>
            <sz val="8"/>
            <color indexed="81"/>
            <rFont val="Tahoma"/>
            <family val="2"/>
          </rPr>
          <t xml:space="preserve">
275 MS2
275 Bear actual</t>
        </r>
      </text>
    </comment>
    <comment ref="DY58" authorId="1" shapeId="0" xr:uid="{00000000-0006-0000-0700-000022010000}">
      <text>
        <r>
          <rPr>
            <b/>
            <sz val="8"/>
            <color indexed="81"/>
            <rFont val="Tahoma"/>
            <family val="2"/>
          </rPr>
          <t>Martin Shkreli:</t>
        </r>
        <r>
          <rPr>
            <sz val="8"/>
            <color indexed="81"/>
            <rFont val="Tahoma"/>
            <family val="2"/>
          </rPr>
          <t xml:space="preserve">
866 Cowen</t>
        </r>
      </text>
    </comment>
    <comment ref="DZ58" authorId="1" shapeId="0" xr:uid="{00000000-0006-0000-0700-000023010000}">
      <text>
        <r>
          <rPr>
            <b/>
            <sz val="8"/>
            <color indexed="81"/>
            <rFont val="Tahoma"/>
            <family val="2"/>
          </rPr>
          <t>Martin Shkreli:</t>
        </r>
        <r>
          <rPr>
            <sz val="8"/>
            <color indexed="81"/>
            <rFont val="Tahoma"/>
            <family val="2"/>
          </rPr>
          <t xml:space="preserve">
937 Bear actual</t>
        </r>
      </text>
    </comment>
    <comment ref="EB58" authorId="1" shapeId="0" xr:uid="{00000000-0006-0000-0700-000024010000}">
      <text>
        <r>
          <rPr>
            <b/>
            <sz val="8"/>
            <color indexed="81"/>
            <rFont val="Tahoma"/>
            <family val="2"/>
          </rPr>
          <t>Martin Shkreli:</t>
        </r>
        <r>
          <rPr>
            <sz val="8"/>
            <color indexed="81"/>
            <rFont val="Tahoma"/>
            <family val="2"/>
          </rPr>
          <t xml:space="preserve">
1044 Bear actual</t>
        </r>
      </text>
    </comment>
    <comment ref="O59" authorId="1" shapeId="0" xr:uid="{00000000-0006-0000-0700-000025010000}">
      <text>
        <r>
          <rPr>
            <b/>
            <sz val="8"/>
            <color indexed="81"/>
            <rFont val="Tahoma"/>
            <family val="2"/>
          </rPr>
          <t>Martin Shkreli:</t>
        </r>
        <r>
          <rPr>
            <sz val="8"/>
            <color indexed="81"/>
            <rFont val="Tahoma"/>
            <family val="2"/>
          </rPr>
          <t xml:space="preserve">
142 Bear actual</t>
        </r>
      </text>
    </comment>
    <comment ref="P59" authorId="1" shapeId="0" xr:uid="{00000000-0006-0000-0700-000026010000}">
      <text>
        <r>
          <rPr>
            <b/>
            <sz val="8"/>
            <color indexed="81"/>
            <rFont val="Tahoma"/>
            <family val="2"/>
          </rPr>
          <t>Martin Shkreli:</t>
        </r>
        <r>
          <rPr>
            <sz val="8"/>
            <color indexed="81"/>
            <rFont val="Tahoma"/>
            <family val="2"/>
          </rPr>
          <t xml:space="preserve">
137 Bear actual</t>
        </r>
      </text>
    </comment>
    <comment ref="Q59" authorId="1" shapeId="0" xr:uid="{00000000-0006-0000-0700-000027010000}">
      <text>
        <r>
          <rPr>
            <b/>
            <sz val="8"/>
            <color indexed="81"/>
            <rFont val="Tahoma"/>
            <family val="2"/>
          </rPr>
          <t>Martin Shkreli:</t>
        </r>
        <r>
          <rPr>
            <sz val="8"/>
            <color indexed="81"/>
            <rFont val="Tahoma"/>
            <family val="2"/>
          </rPr>
          <t xml:space="preserve">
143 Bear actual</t>
        </r>
      </text>
    </comment>
    <comment ref="R59" authorId="1" shapeId="0" xr:uid="{00000000-0006-0000-0700-000028010000}">
      <text>
        <r>
          <rPr>
            <b/>
            <sz val="8"/>
            <color indexed="81"/>
            <rFont val="Tahoma"/>
            <family val="2"/>
          </rPr>
          <t>Martin Shkreli:</t>
        </r>
        <r>
          <rPr>
            <sz val="8"/>
            <color indexed="81"/>
            <rFont val="Tahoma"/>
            <family val="2"/>
          </rPr>
          <t xml:space="preserve">
133 Bear actual</t>
        </r>
      </text>
    </comment>
    <comment ref="S59" authorId="1" shapeId="0" xr:uid="{00000000-0006-0000-0700-000029010000}">
      <text>
        <r>
          <rPr>
            <b/>
            <sz val="8"/>
            <color indexed="81"/>
            <rFont val="Tahoma"/>
            <family val="2"/>
          </rPr>
          <t>Martin Shkreli:</t>
        </r>
        <r>
          <rPr>
            <sz val="8"/>
            <color indexed="81"/>
            <rFont val="Tahoma"/>
            <family val="2"/>
          </rPr>
          <t xml:space="preserve">
83 MS2
83 Bear actual</t>
        </r>
      </text>
    </comment>
    <comment ref="T59" authorId="1" shapeId="0" xr:uid="{00000000-0006-0000-0700-00002A010000}">
      <text>
        <r>
          <rPr>
            <b/>
            <sz val="8"/>
            <color indexed="81"/>
            <rFont val="Tahoma"/>
            <family val="2"/>
          </rPr>
          <t>Martin Shkreli:</t>
        </r>
        <r>
          <rPr>
            <sz val="8"/>
            <color indexed="81"/>
            <rFont val="Tahoma"/>
            <family val="2"/>
          </rPr>
          <t xml:space="preserve">
67 MS2
131 Bear actual</t>
        </r>
      </text>
    </comment>
    <comment ref="U59" authorId="1" shapeId="0" xr:uid="{00000000-0006-0000-0700-00002B010000}">
      <text>
        <r>
          <rPr>
            <b/>
            <sz val="8"/>
            <color indexed="81"/>
            <rFont val="Tahoma"/>
            <family val="2"/>
          </rPr>
          <t>Martin Shkreli:</t>
        </r>
        <r>
          <rPr>
            <sz val="8"/>
            <color indexed="81"/>
            <rFont val="Tahoma"/>
            <family val="2"/>
          </rPr>
          <t xml:space="preserve">
34 MS2
98 Bear actual</t>
        </r>
      </text>
    </comment>
    <comment ref="V59" authorId="1" shapeId="0" xr:uid="{00000000-0006-0000-0700-00002C010000}">
      <text>
        <r>
          <rPr>
            <b/>
            <sz val="8"/>
            <color indexed="81"/>
            <rFont val="Tahoma"/>
            <family val="2"/>
          </rPr>
          <t>Martin Shkreli:</t>
        </r>
        <r>
          <rPr>
            <sz val="8"/>
            <color indexed="81"/>
            <rFont val="Tahoma"/>
            <family val="2"/>
          </rPr>
          <t xml:space="preserve">
30 Bear actual</t>
        </r>
      </text>
    </comment>
    <comment ref="W59" authorId="1" shapeId="0" xr:uid="{00000000-0006-0000-0700-00002D010000}">
      <text>
        <r>
          <rPr>
            <b/>
            <sz val="8"/>
            <color indexed="81"/>
            <rFont val="Tahoma"/>
            <family val="2"/>
          </rPr>
          <t>Martin Shkreli:</t>
        </r>
        <r>
          <rPr>
            <sz val="8"/>
            <color indexed="81"/>
            <rFont val="Tahoma"/>
            <family val="2"/>
          </rPr>
          <t xml:space="preserve">
29 Bear actual</t>
        </r>
      </text>
    </comment>
    <comment ref="Y59" authorId="1" shapeId="0" xr:uid="{00000000-0006-0000-0700-00002E010000}">
      <text>
        <r>
          <rPr>
            <b/>
            <sz val="8"/>
            <color indexed="81"/>
            <rFont val="Tahoma"/>
            <family val="2"/>
          </rPr>
          <t>Martin Shkreli:</t>
        </r>
        <r>
          <rPr>
            <sz val="8"/>
            <color indexed="81"/>
            <rFont val="Tahoma"/>
            <family val="2"/>
          </rPr>
          <t xml:space="preserve">
32 Bear actual</t>
        </r>
      </text>
    </comment>
    <comment ref="Z59" authorId="1" shapeId="0" xr:uid="{00000000-0006-0000-0700-00002F010000}">
      <text>
        <r>
          <rPr>
            <b/>
            <sz val="8"/>
            <color indexed="81"/>
            <rFont val="Tahoma"/>
            <family val="2"/>
          </rPr>
          <t>Martin Shkreli:</t>
        </r>
        <r>
          <rPr>
            <sz val="8"/>
            <color indexed="81"/>
            <rFont val="Tahoma"/>
            <family val="2"/>
          </rPr>
          <t xml:space="preserve">
24 Bear actual</t>
        </r>
      </text>
    </comment>
    <comment ref="AA59" authorId="1" shapeId="0" xr:uid="{00000000-0006-0000-0700-000030010000}">
      <text>
        <r>
          <rPr>
            <b/>
            <sz val="8"/>
            <color indexed="81"/>
            <rFont val="Tahoma"/>
            <family val="2"/>
          </rPr>
          <t>Martin Shkreli:</t>
        </r>
        <r>
          <rPr>
            <sz val="8"/>
            <color indexed="81"/>
            <rFont val="Tahoma"/>
            <family val="2"/>
          </rPr>
          <t xml:space="preserve">
17m Bear actual</t>
        </r>
      </text>
    </comment>
    <comment ref="AB59" authorId="1" shapeId="0" xr:uid="{00000000-0006-0000-0700-000031010000}">
      <text>
        <r>
          <rPr>
            <b/>
            <sz val="8"/>
            <color indexed="81"/>
            <rFont val="Tahoma"/>
            <family val="2"/>
          </rPr>
          <t>Martin Shkreli:</t>
        </r>
        <r>
          <rPr>
            <sz val="8"/>
            <color indexed="81"/>
            <rFont val="Tahoma"/>
            <family val="2"/>
          </rPr>
          <t xml:space="preserve">
17m Bear actual</t>
        </r>
      </text>
    </comment>
    <comment ref="DZ59" authorId="1" shapeId="0" xr:uid="{00000000-0006-0000-0700-000032010000}">
      <text>
        <r>
          <rPr>
            <b/>
            <sz val="8"/>
            <color indexed="81"/>
            <rFont val="Tahoma"/>
            <family val="2"/>
          </rPr>
          <t>Martin Shkreli:</t>
        </r>
        <r>
          <rPr>
            <sz val="8"/>
            <color indexed="81"/>
            <rFont val="Tahoma"/>
            <family val="2"/>
          </rPr>
          <t xml:space="preserve">
1156 Bear actual</t>
        </r>
      </text>
    </comment>
    <comment ref="EA59" authorId="1" shapeId="0" xr:uid="{00000000-0006-0000-0700-000033010000}">
      <text>
        <r>
          <rPr>
            <b/>
            <sz val="8"/>
            <color indexed="81"/>
            <rFont val="Tahoma"/>
            <family val="2"/>
          </rPr>
          <t>Martin Shkreli:</t>
        </r>
        <r>
          <rPr>
            <sz val="8"/>
            <color indexed="81"/>
            <rFont val="Tahoma"/>
            <family val="2"/>
          </rPr>
          <t xml:space="preserve">
554 Bear actual</t>
        </r>
      </text>
    </comment>
    <comment ref="EB59" authorId="1" shapeId="0" xr:uid="{00000000-0006-0000-0700-000034010000}">
      <text>
        <r>
          <rPr>
            <b/>
            <sz val="8"/>
            <color indexed="81"/>
            <rFont val="Tahoma"/>
            <family val="2"/>
          </rPr>
          <t>Martin Shkreli:</t>
        </r>
        <r>
          <rPr>
            <sz val="8"/>
            <color indexed="81"/>
            <rFont val="Tahoma"/>
            <family val="2"/>
          </rPr>
          <t xml:space="preserve">
341 Bear actual</t>
        </r>
      </text>
    </comment>
    <comment ref="EC59" authorId="1" shapeId="0" xr:uid="{00000000-0006-0000-0700-000035010000}">
      <text>
        <r>
          <rPr>
            <b/>
            <sz val="8"/>
            <color indexed="81"/>
            <rFont val="Tahoma"/>
            <family val="2"/>
          </rPr>
          <t>Martin Shkreli:</t>
        </r>
        <r>
          <rPr>
            <sz val="8"/>
            <color indexed="81"/>
            <rFont val="Tahoma"/>
            <family val="2"/>
          </rPr>
          <t xml:space="preserve">
118 bear actual</t>
        </r>
      </text>
    </comment>
    <comment ref="ED59" authorId="1" shapeId="0" xr:uid="{00000000-0006-0000-0700-000036010000}">
      <text>
        <r>
          <rPr>
            <b/>
            <sz val="8"/>
            <color indexed="81"/>
            <rFont val="Tahoma"/>
            <family val="2"/>
          </rPr>
          <t>Martin Shkreli:</t>
        </r>
        <r>
          <rPr>
            <sz val="8"/>
            <color indexed="81"/>
            <rFont val="Tahoma"/>
            <family val="2"/>
          </rPr>
          <t xml:space="preserve">
Bear 68 actual</t>
        </r>
      </text>
    </comment>
    <comment ref="S60" authorId="1" shapeId="0" xr:uid="{00000000-0006-0000-0700-000037010000}">
      <text>
        <r>
          <rPr>
            <b/>
            <sz val="8"/>
            <color indexed="81"/>
            <rFont val="Tahoma"/>
            <family val="2"/>
          </rPr>
          <t>Martin Shkreli:</t>
        </r>
        <r>
          <rPr>
            <sz val="8"/>
            <color indexed="81"/>
            <rFont val="Tahoma"/>
            <family val="2"/>
          </rPr>
          <t xml:space="preserve">
1631 MS2</t>
        </r>
      </text>
    </comment>
    <comment ref="T60" authorId="1" shapeId="0" xr:uid="{00000000-0006-0000-0700-000038010000}">
      <text>
        <r>
          <rPr>
            <b/>
            <sz val="8"/>
            <color indexed="81"/>
            <rFont val="Tahoma"/>
            <family val="2"/>
          </rPr>
          <t>Martin Shkreli:</t>
        </r>
        <r>
          <rPr>
            <sz val="8"/>
            <color indexed="81"/>
            <rFont val="Tahoma"/>
            <family val="2"/>
          </rPr>
          <t xml:space="preserve">
1529 MS2</t>
        </r>
      </text>
    </comment>
    <comment ref="U60" authorId="1" shapeId="0" xr:uid="{00000000-0006-0000-0700-000039010000}">
      <text>
        <r>
          <rPr>
            <b/>
            <sz val="8"/>
            <color indexed="81"/>
            <rFont val="Tahoma"/>
            <family val="2"/>
          </rPr>
          <t>Martin Shkreli:</t>
        </r>
        <r>
          <rPr>
            <sz val="8"/>
            <color indexed="81"/>
            <rFont val="Tahoma"/>
            <family val="2"/>
          </rPr>
          <t xml:space="preserve">
1609 MS2</t>
        </r>
      </text>
    </comment>
    <comment ref="AU60" authorId="1" shapeId="0" xr:uid="{00000000-0006-0000-0700-00003A010000}">
      <text>
        <r>
          <rPr>
            <b/>
            <sz val="8"/>
            <color indexed="81"/>
            <rFont val="Tahoma"/>
            <family val="2"/>
          </rPr>
          <t>Martin Shkreli:</t>
        </r>
        <r>
          <rPr>
            <sz val="8"/>
            <color indexed="81"/>
            <rFont val="Tahoma"/>
            <family val="2"/>
          </rPr>
          <t xml:space="preserve">
Zyrtec build</t>
        </r>
      </text>
    </comment>
    <comment ref="AY60"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0" authorId="6" shapeId="0" xr:uid="{00000000-0006-0000-0700-00003C010000}">
      <text>
        <r>
          <rPr>
            <sz val="8"/>
            <color indexed="81"/>
            <rFont val="Tahoma"/>
            <family val="2"/>
          </rPr>
          <t>August Cowen meeting: not seeing economy improving</t>
        </r>
      </text>
    </comment>
    <comment ref="BD60"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0"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0"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0"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0"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0" authorId="23"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0" authorId="1" shapeId="0" xr:uid="{00000000-0006-0000-0700-00003E010000}">
      <text>
        <r>
          <rPr>
            <b/>
            <sz val="8"/>
            <color indexed="81"/>
            <rFont val="Tahoma"/>
            <family val="2"/>
          </rPr>
          <t>Martin Shkreli:</t>
        </r>
        <r>
          <rPr>
            <sz val="8"/>
            <color indexed="81"/>
            <rFont val="Tahoma"/>
            <family val="2"/>
          </rPr>
          <t xml:space="preserve">
6248 bear
6862 cowen</t>
        </r>
      </text>
    </comment>
    <comment ref="EA60" authorId="1" shapeId="0" xr:uid="{00000000-0006-0000-0700-00003F010000}">
      <text>
        <r>
          <rPr>
            <b/>
            <sz val="8"/>
            <color indexed="81"/>
            <rFont val="Tahoma"/>
            <family val="2"/>
          </rPr>
          <t>Martin Shkreli:</t>
        </r>
        <r>
          <rPr>
            <sz val="8"/>
            <color indexed="81"/>
            <rFont val="Tahoma"/>
            <family val="2"/>
          </rPr>
          <t xml:space="preserve">
6271 bear</t>
        </r>
      </text>
    </comment>
    <comment ref="EB60" authorId="1" shapeId="0" xr:uid="{00000000-0006-0000-0700-000040010000}">
      <text>
        <r>
          <rPr>
            <b/>
            <sz val="8"/>
            <color indexed="81"/>
            <rFont val="Tahoma"/>
            <family val="2"/>
          </rPr>
          <t>Martin Shkreli:</t>
        </r>
        <r>
          <rPr>
            <sz val="8"/>
            <color indexed="81"/>
            <rFont val="Tahoma"/>
            <family val="2"/>
          </rPr>
          <t xml:space="preserve">
6321 bear</t>
        </r>
      </text>
    </comment>
    <comment ref="EK60"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1" authorId="1" shapeId="0" xr:uid="{00000000-0006-0000-0700-000042010000}">
      <text>
        <r>
          <rPr>
            <b/>
            <sz val="8"/>
            <color indexed="81"/>
            <rFont val="Tahoma"/>
            <family val="2"/>
          </rPr>
          <t>Martin Shkreli:</t>
        </r>
        <r>
          <rPr>
            <sz val="8"/>
            <color indexed="81"/>
            <rFont val="Tahoma"/>
            <family val="2"/>
          </rPr>
          <t xml:space="preserve">
6859? jpm</t>
        </r>
      </text>
    </comment>
    <comment ref="L61" authorId="1" shapeId="0" xr:uid="{00000000-0006-0000-0700-000043010000}">
      <text>
        <r>
          <rPr>
            <b/>
            <sz val="8"/>
            <color indexed="81"/>
            <rFont val="Tahoma"/>
            <family val="2"/>
          </rPr>
          <t>Martin Shkreli:</t>
        </r>
        <r>
          <rPr>
            <sz val="8"/>
            <color indexed="81"/>
            <rFont val="Tahoma"/>
            <family val="2"/>
          </rPr>
          <t xml:space="preserve">
7099 jpm</t>
        </r>
      </text>
    </comment>
    <comment ref="M61" authorId="1" shapeId="0" xr:uid="{00000000-0006-0000-0700-000044010000}">
      <text>
        <r>
          <rPr>
            <b/>
            <sz val="8"/>
            <color indexed="81"/>
            <rFont val="Tahoma"/>
            <family val="2"/>
          </rPr>
          <t>Martin Shkreli:</t>
        </r>
        <r>
          <rPr>
            <sz val="8"/>
            <color indexed="81"/>
            <rFont val="Tahoma"/>
            <family val="2"/>
          </rPr>
          <t xml:space="preserve">
7085 jpm</t>
        </r>
      </text>
    </comment>
    <comment ref="N61" authorId="1" shapeId="0" xr:uid="{00000000-0006-0000-0700-000045010000}">
      <text>
        <r>
          <rPr>
            <b/>
            <sz val="8"/>
            <color indexed="81"/>
            <rFont val="Tahoma"/>
            <family val="2"/>
          </rPr>
          <t>Martin Shkreli:</t>
        </r>
        <r>
          <rPr>
            <sz val="8"/>
            <color indexed="81"/>
            <rFont val="Tahoma"/>
            <family val="2"/>
          </rPr>
          <t xml:space="preserve">
6964 jpm</t>
        </r>
      </text>
    </comment>
    <comment ref="O61" authorId="1" shapeId="0" xr:uid="{00000000-0006-0000-0700-000046010000}">
      <text>
        <r>
          <rPr>
            <b/>
            <sz val="8"/>
            <color indexed="81"/>
            <rFont val="Tahoma"/>
            <family val="2"/>
          </rPr>
          <t>Martin Shkreli:</t>
        </r>
        <r>
          <rPr>
            <sz val="8"/>
            <color indexed="81"/>
            <rFont val="Tahoma"/>
            <family val="2"/>
          </rPr>
          <t xml:space="preserve">
7440 jpm
7440 bear</t>
        </r>
      </text>
    </comment>
    <comment ref="P61" authorId="1" shapeId="0" xr:uid="{00000000-0006-0000-0700-000047010000}">
      <text>
        <r>
          <rPr>
            <b/>
            <sz val="8"/>
            <color indexed="81"/>
            <rFont val="Tahoma"/>
            <family val="2"/>
          </rPr>
          <t>Martin Shkreli:</t>
        </r>
        <r>
          <rPr>
            <sz val="8"/>
            <color indexed="81"/>
            <rFont val="Tahoma"/>
            <family val="2"/>
          </rPr>
          <t xml:space="preserve">
7670 jpm
7670 bear</t>
        </r>
      </text>
    </comment>
    <comment ref="Q61" authorId="1" shapeId="0" xr:uid="{00000000-0006-0000-0700-000048010000}">
      <text>
        <r>
          <rPr>
            <b/>
            <sz val="8"/>
            <color indexed="81"/>
            <rFont val="Tahoma"/>
            <family val="2"/>
          </rPr>
          <t>Martin Shkreli:</t>
        </r>
        <r>
          <rPr>
            <sz val="8"/>
            <color indexed="81"/>
            <rFont val="Tahoma"/>
            <family val="2"/>
          </rPr>
          <t xml:space="preserve">
7438 jpm
7438 bear</t>
        </r>
      </text>
    </comment>
    <comment ref="R61" authorId="1" shapeId="0" xr:uid="{00000000-0006-0000-0700-000049010000}">
      <text>
        <r>
          <rPr>
            <b/>
            <sz val="8"/>
            <color indexed="81"/>
            <rFont val="Tahoma"/>
            <family val="2"/>
          </rPr>
          <t>Martin Shkreli:</t>
        </r>
        <r>
          <rPr>
            <sz val="8"/>
            <color indexed="81"/>
            <rFont val="Tahoma"/>
            <family val="2"/>
          </rPr>
          <t xml:space="preserve">
7298 jpm
7298 bear</t>
        </r>
      </text>
    </comment>
    <comment ref="S61"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1"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1"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1"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1" authorId="1" shapeId="0" xr:uid="{00000000-0006-0000-0700-00004E010000}">
      <text>
        <r>
          <rPr>
            <b/>
            <sz val="8"/>
            <color indexed="81"/>
            <rFont val="Tahoma"/>
            <family val="2"/>
          </rPr>
          <t>Martin Shkreli:</t>
        </r>
        <r>
          <rPr>
            <sz val="8"/>
            <color indexed="81"/>
            <rFont val="Tahoma"/>
            <family val="2"/>
          </rPr>
          <t xml:space="preserve">
Inventory +80m
FX -365m</t>
        </r>
      </text>
    </comment>
    <comment ref="AB61"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1" authorId="1" shapeId="0" xr:uid="{00000000-0006-0000-0700-000050010000}">
      <text>
        <r>
          <rPr>
            <b/>
            <sz val="8"/>
            <color indexed="81"/>
            <rFont val="Tahoma"/>
            <family val="2"/>
          </rPr>
          <t>Martin Shkreli:</t>
        </r>
        <r>
          <rPr>
            <sz val="8"/>
            <color indexed="81"/>
            <rFont val="Tahoma"/>
            <family val="2"/>
          </rPr>
          <t xml:space="preserve">
Acquisitions -45
FX -318</t>
        </r>
      </text>
    </comment>
    <comment ref="AD61" authorId="1" shapeId="0" xr:uid="{00000000-0006-0000-0700-000051010000}">
      <text>
        <r>
          <rPr>
            <b/>
            <sz val="8"/>
            <color indexed="81"/>
            <rFont val="Tahoma"/>
            <family val="2"/>
          </rPr>
          <t>Martin Shkreli:</t>
        </r>
        <r>
          <rPr>
            <sz val="8"/>
            <color indexed="81"/>
            <rFont val="Tahoma"/>
            <family val="2"/>
          </rPr>
          <t xml:space="preserve">
11254 JPM
FX -525</t>
        </r>
      </text>
    </comment>
    <comment ref="AL61"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1" authorId="2" shapeId="0" xr:uid="{00000000-0006-0000-0700-000053010000}">
      <text>
        <r>
          <rPr>
            <b/>
            <sz val="8"/>
            <color indexed="8"/>
            <rFont val="Times New Roman"/>
            <family val="1"/>
          </rPr>
          <t xml:space="preserve">Martin Shkreli:
</t>
        </r>
        <r>
          <rPr>
            <sz val="8"/>
            <color indexed="8"/>
            <rFont val="Times New Roman"/>
            <family val="1"/>
          </rPr>
          <t>10-11%</t>
        </r>
      </text>
    </comment>
    <comment ref="AZ61" authorId="1" shapeId="0" xr:uid="{00000000-0006-0000-0700-000054010000}">
      <text>
        <r>
          <rPr>
            <b/>
            <sz val="8"/>
            <color indexed="81"/>
            <rFont val="Tahoma"/>
            <family val="2"/>
          </rPr>
          <t>Martin Shkreli:</t>
        </r>
        <r>
          <rPr>
            <sz val="8"/>
            <color indexed="81"/>
            <rFont val="Tahoma"/>
            <family val="2"/>
          </rPr>
          <t xml:space="preserve">
7/4: 14.980bn consensus</t>
        </r>
      </text>
    </comment>
    <comment ref="BC61" authorId="0" shapeId="0" xr:uid="{00000000-0006-0000-0700-000055010000}">
      <text>
        <r>
          <rPr>
            <b/>
            <sz val="9"/>
            <color indexed="81"/>
            <rFont val="Tahoma"/>
            <family val="2"/>
          </rPr>
          <t>MSMB - Andre:</t>
        </r>
        <r>
          <rPr>
            <sz val="9"/>
            <color indexed="81"/>
            <rFont val="Tahoma"/>
            <family val="2"/>
          </rPr>
          <t xml:space="preserve">
60m impact from reform</t>
        </r>
      </text>
    </comment>
    <comment ref="BD61"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1" authorId="24"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1" authorId="25"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Q61" authorId="1" shapeId="0" xr:uid="{00000000-0006-0000-0700-000057010000}">
      <text>
        <r>
          <rPr>
            <b/>
            <sz val="8"/>
            <color indexed="81"/>
            <rFont val="Tahoma"/>
            <family val="2"/>
          </rPr>
          <t>Martin Shkreli:</t>
        </r>
        <r>
          <rPr>
            <sz val="8"/>
            <color indexed="81"/>
            <rFont val="Tahoma"/>
            <family val="2"/>
          </rPr>
          <t xml:space="preserve">
11331 bear</t>
        </r>
      </text>
    </comment>
    <comment ref="DR61" authorId="1" shapeId="0" xr:uid="{00000000-0006-0000-0700-000058010000}">
      <text>
        <r>
          <rPr>
            <b/>
            <sz val="8"/>
            <color indexed="81"/>
            <rFont val="Tahoma"/>
            <family val="2"/>
          </rPr>
          <t>Martin Shkreli:</t>
        </r>
        <r>
          <rPr>
            <sz val="8"/>
            <color indexed="81"/>
            <rFont val="Tahoma"/>
            <family val="2"/>
          </rPr>
          <t xml:space="preserve">
12571 bear</t>
        </r>
      </text>
    </comment>
    <comment ref="DS61" authorId="1" shapeId="0" xr:uid="{00000000-0006-0000-0700-000059010000}">
      <text>
        <r>
          <rPr>
            <b/>
            <sz val="8"/>
            <color indexed="81"/>
            <rFont val="Tahoma"/>
            <family val="2"/>
          </rPr>
          <t>Martin Shkreli:</t>
        </r>
        <r>
          <rPr>
            <sz val="8"/>
            <color indexed="81"/>
            <rFont val="Tahoma"/>
            <family val="2"/>
          </rPr>
          <t xml:space="preserve">
13985 bear</t>
        </r>
      </text>
    </comment>
    <comment ref="DT61" authorId="1" shapeId="0" xr:uid="{00000000-0006-0000-0700-00005A010000}">
      <text>
        <r>
          <rPr>
            <b/>
            <sz val="8"/>
            <color indexed="81"/>
            <rFont val="Tahoma"/>
            <family val="2"/>
          </rPr>
          <t>Martin Shkreli:</t>
        </r>
        <r>
          <rPr>
            <sz val="8"/>
            <color indexed="81"/>
            <rFont val="Tahoma"/>
            <family val="2"/>
          </rPr>
          <t xml:space="preserve">
14302 bear</t>
        </r>
      </text>
    </comment>
    <comment ref="DU61" authorId="1" shapeId="0" xr:uid="{00000000-0006-0000-0700-00005B010000}">
      <text>
        <r>
          <rPr>
            <b/>
            <sz val="8"/>
            <color indexed="81"/>
            <rFont val="Tahoma"/>
            <family val="2"/>
          </rPr>
          <t>Martin Shkreli:</t>
        </r>
        <r>
          <rPr>
            <sz val="8"/>
            <color indexed="81"/>
            <rFont val="Tahoma"/>
            <family val="2"/>
          </rPr>
          <t xml:space="preserve">
15916 bear</t>
        </r>
      </text>
    </comment>
    <comment ref="DV61" authorId="1" shapeId="0" xr:uid="{00000000-0006-0000-0700-00005C010000}">
      <text>
        <r>
          <rPr>
            <b/>
            <sz val="8"/>
            <color indexed="81"/>
            <rFont val="Tahoma"/>
            <family val="2"/>
          </rPr>
          <t>Martin Shkreli:</t>
        </r>
        <r>
          <rPr>
            <sz val="8"/>
            <color indexed="81"/>
            <rFont val="Tahoma"/>
            <family val="2"/>
          </rPr>
          <t xml:space="preserve">
19068 bear</t>
        </r>
      </text>
    </comment>
    <comment ref="DW61" authorId="1" shapeId="0" xr:uid="{00000000-0006-0000-0700-00005D010000}">
      <text>
        <r>
          <rPr>
            <b/>
            <sz val="8"/>
            <color indexed="81"/>
            <rFont val="Tahoma"/>
            <family val="2"/>
          </rPr>
          <t>Martin Shkreli:</t>
        </r>
        <r>
          <rPr>
            <sz val="8"/>
            <color indexed="81"/>
            <rFont val="Tahoma"/>
            <family val="2"/>
          </rPr>
          <t xml:space="preserve">
21984 bear</t>
        </r>
      </text>
    </comment>
    <comment ref="DX61" authorId="1" shapeId="0" xr:uid="{00000000-0006-0000-0700-00005E010000}">
      <text>
        <r>
          <rPr>
            <b/>
            <sz val="8"/>
            <color indexed="81"/>
            <rFont val="Tahoma"/>
            <family val="2"/>
          </rPr>
          <t>Martin Shkreli:</t>
        </r>
        <r>
          <rPr>
            <sz val="8"/>
            <color indexed="81"/>
            <rFont val="Tahoma"/>
            <family val="2"/>
          </rPr>
          <t xml:space="preserve">
23118 bear</t>
        </r>
      </text>
    </comment>
    <comment ref="DY61" authorId="1" shapeId="0" xr:uid="{00000000-0006-0000-0700-00005F010000}">
      <text>
        <r>
          <rPr>
            <b/>
            <sz val="8"/>
            <color indexed="81"/>
            <rFont val="Tahoma"/>
            <family val="2"/>
          </rPr>
          <t>Martin Shkreli:</t>
        </r>
        <r>
          <rPr>
            <sz val="8"/>
            <color indexed="81"/>
            <rFont val="Tahoma"/>
            <family val="2"/>
          </rPr>
          <t xml:space="preserve">
24398 bear</t>
        </r>
      </text>
    </comment>
    <comment ref="DZ61"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1"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1" authorId="1" shapeId="0" xr:uid="{00000000-0006-0000-0700-000062010000}">
      <text>
        <r>
          <rPr>
            <b/>
            <sz val="8"/>
            <color indexed="81"/>
            <rFont val="Tahoma"/>
            <family val="2"/>
          </rPr>
          <t>Martin Shkreli:</t>
        </r>
        <r>
          <rPr>
            <sz val="8"/>
            <color indexed="81"/>
            <rFont val="Tahoma"/>
            <family val="2"/>
          </rPr>
          <t xml:space="preserve">
32318 bear
</t>
        </r>
      </text>
    </comment>
    <comment ref="EG61" authorId="2" shapeId="0" xr:uid="{00000000-0006-0000-0700-000063010000}">
      <text>
        <r>
          <rPr>
            <b/>
            <sz val="8"/>
            <color indexed="8"/>
            <rFont val="Times New Roman"/>
            <family val="1"/>
          </rPr>
          <t xml:space="preserve">Bloomberg:
</t>
        </r>
        <r>
          <rPr>
            <sz val="8"/>
            <color indexed="8"/>
            <rFont val="Times New Roman"/>
            <family val="1"/>
          </rPr>
          <t>was 52.887</t>
        </r>
      </text>
    </comment>
    <comment ref="EH61"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1" authorId="2" shapeId="0" xr:uid="{00000000-0006-0000-0700-000065010000}">
      <text>
        <r>
          <rPr>
            <sz val="8"/>
            <color indexed="8"/>
            <rFont val="Times New Roman"/>
            <family val="1"/>
          </rPr>
          <t>Estimate was 62.604
Official result was 63.747b</t>
        </r>
      </text>
    </comment>
    <comment ref="EJ61"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1"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1" authorId="26"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1" authorId="27"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1" authorId="28"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K62" authorId="1" shapeId="0" xr:uid="{00000000-0006-0000-0700-000068010000}">
      <text>
        <r>
          <rPr>
            <b/>
            <sz val="8"/>
            <color indexed="81"/>
            <rFont val="Tahoma"/>
            <family val="2"/>
          </rPr>
          <t>Martin Shkreli:</t>
        </r>
        <r>
          <rPr>
            <sz val="8"/>
            <color indexed="81"/>
            <rFont val="Tahoma"/>
            <family val="2"/>
          </rPr>
          <t xml:space="preserve">
2080? jpm</t>
        </r>
      </text>
    </comment>
    <comment ref="L62" authorId="1" shapeId="0" xr:uid="{00000000-0006-0000-0700-000069010000}">
      <text>
        <r>
          <rPr>
            <b/>
            <sz val="8"/>
            <color indexed="81"/>
            <rFont val="Tahoma"/>
            <family val="2"/>
          </rPr>
          <t>Martin Shkreli:</t>
        </r>
        <r>
          <rPr>
            <sz val="8"/>
            <color indexed="81"/>
            <rFont val="Tahoma"/>
            <family val="2"/>
          </rPr>
          <t xml:space="preserve">
2135 jpm</t>
        </r>
      </text>
    </comment>
    <comment ref="M62" authorId="1" shapeId="0" xr:uid="{00000000-0006-0000-0700-00006A010000}">
      <text>
        <r>
          <rPr>
            <b/>
            <sz val="8"/>
            <color indexed="81"/>
            <rFont val="Tahoma"/>
            <family val="2"/>
          </rPr>
          <t>Martin Shkreli:</t>
        </r>
        <r>
          <rPr>
            <sz val="8"/>
            <color indexed="81"/>
            <rFont val="Tahoma"/>
            <family val="2"/>
          </rPr>
          <t xml:space="preserve">
2087 jpm</t>
        </r>
      </text>
    </comment>
    <comment ref="N62" authorId="1" shapeId="0" xr:uid="{00000000-0006-0000-0700-00006B010000}">
      <text>
        <r>
          <rPr>
            <b/>
            <sz val="8"/>
            <color indexed="81"/>
            <rFont val="Tahoma"/>
            <family val="2"/>
          </rPr>
          <t>Martin Shkreli:</t>
        </r>
        <r>
          <rPr>
            <sz val="8"/>
            <color indexed="81"/>
            <rFont val="Tahoma"/>
            <family val="2"/>
          </rPr>
          <t xml:space="preserve">
2196 jpm</t>
        </r>
      </text>
    </comment>
    <comment ref="O62" authorId="1" shapeId="0" xr:uid="{00000000-0006-0000-0700-00006C010000}">
      <text>
        <r>
          <rPr>
            <b/>
            <sz val="8"/>
            <color indexed="81"/>
            <rFont val="Tahoma"/>
            <family val="2"/>
          </rPr>
          <t>Martin Shkreli:</t>
        </r>
        <r>
          <rPr>
            <sz val="8"/>
            <color indexed="81"/>
            <rFont val="Tahoma"/>
            <family val="2"/>
          </rPr>
          <t xml:space="preserve">
2242 jpm
2242 bear</t>
        </r>
      </text>
    </comment>
    <comment ref="P62" authorId="1" shapeId="0" xr:uid="{00000000-0006-0000-0700-00006D010000}">
      <text>
        <r>
          <rPr>
            <b/>
            <sz val="8"/>
            <color indexed="81"/>
            <rFont val="Tahoma"/>
            <family val="2"/>
          </rPr>
          <t>Martin Shkreli:</t>
        </r>
        <r>
          <rPr>
            <sz val="8"/>
            <color indexed="81"/>
            <rFont val="Tahoma"/>
            <family val="2"/>
          </rPr>
          <t xml:space="preserve">
2261 jpm
2261 bear</t>
        </r>
      </text>
    </comment>
    <comment ref="Q62" authorId="1" shapeId="0" xr:uid="{00000000-0006-0000-0700-00006E010000}">
      <text>
        <r>
          <rPr>
            <b/>
            <sz val="8"/>
            <color indexed="81"/>
            <rFont val="Tahoma"/>
            <family val="2"/>
          </rPr>
          <t>Martin Shkreli:</t>
        </r>
        <r>
          <rPr>
            <sz val="8"/>
            <color indexed="81"/>
            <rFont val="Tahoma"/>
            <family val="2"/>
          </rPr>
          <t xml:space="preserve">
2191 jpm
2191 bear</t>
        </r>
      </text>
    </comment>
    <comment ref="R62" authorId="1" shapeId="0" xr:uid="{00000000-0006-0000-0700-00006F010000}">
      <text>
        <r>
          <rPr>
            <b/>
            <sz val="8"/>
            <color indexed="81"/>
            <rFont val="Tahoma"/>
            <family val="2"/>
          </rPr>
          <t>Martin Shkreli:</t>
        </r>
        <r>
          <rPr>
            <sz val="8"/>
            <color indexed="81"/>
            <rFont val="Tahoma"/>
            <family val="2"/>
          </rPr>
          <t xml:space="preserve">
2214 jpm
2214 bear</t>
        </r>
      </text>
    </comment>
    <comment ref="S62" authorId="1" shapeId="0" xr:uid="{00000000-0006-0000-0700-000070010000}">
      <text>
        <r>
          <rPr>
            <b/>
            <sz val="8"/>
            <color indexed="81"/>
            <rFont val="Tahoma"/>
            <family val="2"/>
          </rPr>
          <t>Martin Shkreli:</t>
        </r>
        <r>
          <rPr>
            <sz val="8"/>
            <color indexed="81"/>
            <rFont val="Tahoma"/>
            <family val="2"/>
          </rPr>
          <t xml:space="preserve">
2311 bear
2311 jpm</t>
        </r>
      </text>
    </comment>
    <comment ref="T62" authorId="1" shapeId="0" xr:uid="{00000000-0006-0000-0700-000071010000}">
      <text>
        <r>
          <rPr>
            <b/>
            <sz val="8"/>
            <color indexed="81"/>
            <rFont val="Tahoma"/>
            <family val="2"/>
          </rPr>
          <t>Martin Shkreli:</t>
        </r>
        <r>
          <rPr>
            <sz val="8"/>
            <color indexed="81"/>
            <rFont val="Tahoma"/>
            <family val="2"/>
          </rPr>
          <t xml:space="preserve">
2372 bear</t>
        </r>
      </text>
    </comment>
    <comment ref="U62" authorId="1" shapeId="0" xr:uid="{00000000-0006-0000-0700-000072010000}">
      <text>
        <r>
          <rPr>
            <b/>
            <sz val="8"/>
            <color indexed="81"/>
            <rFont val="Tahoma"/>
            <family val="2"/>
          </rPr>
          <t>Martin Shkreli:</t>
        </r>
        <r>
          <rPr>
            <sz val="8"/>
            <color indexed="81"/>
            <rFont val="Tahoma"/>
            <family val="2"/>
          </rPr>
          <t xml:space="preserve">
2396 bear</t>
        </r>
      </text>
    </comment>
    <comment ref="V62" authorId="1" shapeId="0" xr:uid="{00000000-0006-0000-0700-000073010000}">
      <text>
        <r>
          <rPr>
            <b/>
            <sz val="8"/>
            <color indexed="81"/>
            <rFont val="Tahoma"/>
            <family val="2"/>
          </rPr>
          <t>Martin Shkreli:</t>
        </r>
        <r>
          <rPr>
            <sz val="8"/>
            <color indexed="81"/>
            <rFont val="Tahoma"/>
            <family val="2"/>
          </rPr>
          <t xml:space="preserve">
2502 bear</t>
        </r>
      </text>
    </comment>
    <comment ref="AI62" authorId="1" shapeId="0" xr:uid="{00000000-0006-0000-0700-000074010000}">
      <text>
        <r>
          <rPr>
            <b/>
            <sz val="8"/>
            <color indexed="81"/>
            <rFont val="Tahoma"/>
            <family val="2"/>
          </rPr>
          <t>Martin Shkreli:</t>
        </r>
        <r>
          <rPr>
            <sz val="8"/>
            <color indexed="81"/>
            <rFont val="Tahoma"/>
            <family val="2"/>
          </rPr>
          <t xml:space="preserve">
3482 bear</t>
        </r>
      </text>
    </comment>
    <comment ref="AJ62" authorId="1" shapeId="0" xr:uid="{00000000-0006-0000-0700-000075010000}">
      <text>
        <r>
          <rPr>
            <b/>
            <sz val="8"/>
            <color indexed="81"/>
            <rFont val="Tahoma"/>
            <family val="2"/>
          </rPr>
          <t>Martin Shkreli:</t>
        </r>
        <r>
          <rPr>
            <sz val="8"/>
            <color indexed="81"/>
            <rFont val="Tahoma"/>
            <family val="2"/>
          </rPr>
          <t xml:space="preserve">
3508 bear</t>
        </r>
      </text>
    </comment>
    <comment ref="AK62" authorId="1" shapeId="0" xr:uid="{00000000-0006-0000-0700-000076010000}">
      <text>
        <r>
          <rPr>
            <b/>
            <sz val="8"/>
            <color indexed="81"/>
            <rFont val="Tahoma"/>
            <family val="2"/>
          </rPr>
          <t>Martin Shkreli:</t>
        </r>
        <r>
          <rPr>
            <sz val="8"/>
            <color indexed="81"/>
            <rFont val="Tahoma"/>
            <family val="2"/>
          </rPr>
          <t xml:space="preserve">
3340 bear</t>
        </r>
      </text>
    </comment>
    <comment ref="AL62" authorId="1" shapeId="0" xr:uid="{00000000-0006-0000-0700-000077010000}">
      <text>
        <r>
          <rPr>
            <b/>
            <sz val="8"/>
            <color indexed="81"/>
            <rFont val="Tahoma"/>
            <family val="2"/>
          </rPr>
          <t>Martin Shkreli:</t>
        </r>
        <r>
          <rPr>
            <sz val="8"/>
            <color indexed="81"/>
            <rFont val="Tahoma"/>
            <family val="2"/>
          </rPr>
          <t xml:space="preserve">
3624 bear</t>
        </r>
      </text>
    </comment>
    <comment ref="DC62" authorId="29"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2" authorId="1" shapeId="0" xr:uid="{00000000-0006-0000-0700-000078010000}">
      <text>
        <r>
          <rPr>
            <b/>
            <sz val="8"/>
            <color indexed="81"/>
            <rFont val="Tahoma"/>
            <family val="2"/>
          </rPr>
          <t>Martin Shkreli:</t>
        </r>
        <r>
          <rPr>
            <sz val="8"/>
            <color indexed="81"/>
            <rFont val="Tahoma"/>
            <family val="2"/>
          </rPr>
          <t xml:space="preserve">
3957 bear</t>
        </r>
      </text>
    </comment>
    <comment ref="DR62" authorId="1" shapeId="0" xr:uid="{00000000-0006-0000-0700-000079010000}">
      <text>
        <r>
          <rPr>
            <b/>
            <sz val="8"/>
            <color indexed="81"/>
            <rFont val="Tahoma"/>
            <family val="2"/>
          </rPr>
          <t>Martin Shkreli:</t>
        </r>
        <r>
          <rPr>
            <sz val="8"/>
            <color indexed="81"/>
            <rFont val="Tahoma"/>
            <family val="2"/>
          </rPr>
          <t xml:space="preserve">
4248 bear</t>
        </r>
      </text>
    </comment>
    <comment ref="DS62" authorId="1" shapeId="0" xr:uid="{00000000-0006-0000-0700-00007A010000}">
      <text>
        <r>
          <rPr>
            <b/>
            <sz val="8"/>
            <color indexed="81"/>
            <rFont val="Tahoma"/>
            <family val="2"/>
          </rPr>
          <t>Martin Shkreli:</t>
        </r>
        <r>
          <rPr>
            <sz val="8"/>
            <color indexed="81"/>
            <rFont val="Tahoma"/>
            <family val="2"/>
          </rPr>
          <t xml:space="preserve">
4748 bear</t>
        </r>
      </text>
    </comment>
    <comment ref="DT62" authorId="1" shapeId="0" xr:uid="{00000000-0006-0000-0700-00007B010000}">
      <text>
        <r>
          <rPr>
            <b/>
            <sz val="8"/>
            <color indexed="81"/>
            <rFont val="Tahoma"/>
            <family val="2"/>
          </rPr>
          <t>Martin Shkreli:</t>
        </r>
        <r>
          <rPr>
            <sz val="8"/>
            <color indexed="81"/>
            <rFont val="Tahoma"/>
            <family val="2"/>
          </rPr>
          <t xml:space="preserve">
4869 bear</t>
        </r>
      </text>
    </comment>
    <comment ref="DU62" authorId="1" shapeId="0" xr:uid="{00000000-0006-0000-0700-00007C010000}">
      <text>
        <r>
          <rPr>
            <b/>
            <sz val="8"/>
            <color indexed="81"/>
            <rFont val="Tahoma"/>
            <family val="2"/>
          </rPr>
          <t>Martin Shkreli:</t>
        </r>
        <r>
          <rPr>
            <sz val="8"/>
            <color indexed="81"/>
            <rFont val="Tahoma"/>
            <family val="2"/>
          </rPr>
          <t xml:space="preserve">
5350 bear</t>
        </r>
      </text>
    </comment>
    <comment ref="DV62" authorId="1" shapeId="0" xr:uid="{00000000-0006-0000-0700-00007D010000}">
      <text>
        <r>
          <rPr>
            <b/>
            <sz val="8"/>
            <color indexed="81"/>
            <rFont val="Tahoma"/>
            <family val="2"/>
          </rPr>
          <t>Martin Shkreli:</t>
        </r>
        <r>
          <rPr>
            <sz val="8"/>
            <color indexed="81"/>
            <rFont val="Tahoma"/>
            <family val="2"/>
          </rPr>
          <t xml:space="preserve">
6303 bear</t>
        </r>
      </text>
    </comment>
    <comment ref="DW62" authorId="1" shapeId="0" xr:uid="{00000000-0006-0000-0700-00007E010000}">
      <text>
        <r>
          <rPr>
            <b/>
            <sz val="8"/>
            <color indexed="81"/>
            <rFont val="Tahoma"/>
            <family val="2"/>
          </rPr>
          <t>Martin Shkreli:</t>
        </r>
        <r>
          <rPr>
            <sz val="8"/>
            <color indexed="81"/>
            <rFont val="Tahoma"/>
            <family val="2"/>
          </rPr>
          <t xml:space="preserve">
7130 bear</t>
        </r>
      </text>
    </comment>
    <comment ref="DX62" authorId="1" shapeId="0" xr:uid="{00000000-0006-0000-0700-00007F010000}">
      <text>
        <r>
          <rPr>
            <b/>
            <sz val="8"/>
            <color indexed="81"/>
            <rFont val="Tahoma"/>
            <family val="2"/>
          </rPr>
          <t>Martin Shkreli:</t>
        </r>
        <r>
          <rPr>
            <sz val="8"/>
            <color indexed="81"/>
            <rFont val="Tahoma"/>
            <family val="2"/>
          </rPr>
          <t xml:space="preserve">
7291 bear</t>
        </r>
      </text>
    </comment>
    <comment ref="DY62" authorId="1" shapeId="0" xr:uid="{00000000-0006-0000-0700-000080010000}">
      <text>
        <r>
          <rPr>
            <b/>
            <sz val="8"/>
            <color indexed="81"/>
            <rFont val="Tahoma"/>
            <family val="2"/>
          </rPr>
          <t>Martin Shkreli:</t>
        </r>
        <r>
          <rPr>
            <sz val="8"/>
            <color indexed="81"/>
            <rFont val="Tahoma"/>
            <family val="2"/>
          </rPr>
          <t xml:space="preserve">
7646 bear</t>
        </r>
      </text>
    </comment>
    <comment ref="DZ62" authorId="1" shapeId="0" xr:uid="{00000000-0006-0000-0700-000081010000}">
      <text>
        <r>
          <rPr>
            <b/>
            <sz val="8"/>
            <color indexed="81"/>
            <rFont val="Tahoma"/>
            <family val="2"/>
          </rPr>
          <t>Martin Shkreli:</t>
        </r>
        <r>
          <rPr>
            <sz val="8"/>
            <color indexed="81"/>
            <rFont val="Tahoma"/>
            <family val="2"/>
          </rPr>
          <t xml:space="preserve">
8498 jpm
8498 bear</t>
        </r>
      </text>
    </comment>
    <comment ref="EA62" authorId="1" shapeId="0" xr:uid="{00000000-0006-0000-0700-000082010000}">
      <text>
        <r>
          <rPr>
            <b/>
            <sz val="8"/>
            <color indexed="81"/>
            <rFont val="Tahoma"/>
            <family val="2"/>
          </rPr>
          <t>Martin Shkreli:</t>
        </r>
        <r>
          <rPr>
            <sz val="8"/>
            <color indexed="81"/>
            <rFont val="Tahoma"/>
            <family val="2"/>
          </rPr>
          <t xml:space="preserve">
8908 jpm
8908 bear</t>
        </r>
      </text>
    </comment>
    <comment ref="EB62" authorId="1" shapeId="0" xr:uid="{00000000-0006-0000-0700-000083010000}">
      <text>
        <r>
          <rPr>
            <b/>
            <sz val="8"/>
            <color indexed="81"/>
            <rFont val="Tahoma"/>
            <family val="2"/>
          </rPr>
          <t>Martin Shkreli:</t>
        </r>
        <r>
          <rPr>
            <sz val="8"/>
            <color indexed="81"/>
            <rFont val="Tahoma"/>
            <family val="2"/>
          </rPr>
          <t xml:space="preserve">
9581 bear</t>
        </r>
      </text>
    </comment>
    <comment ref="K63" authorId="1" shapeId="0" xr:uid="{00000000-0006-0000-0700-000084010000}">
      <text>
        <r>
          <rPr>
            <b/>
            <sz val="8"/>
            <color indexed="81"/>
            <rFont val="Tahoma"/>
            <family val="2"/>
          </rPr>
          <t>Martin Shkreli:</t>
        </r>
        <r>
          <rPr>
            <sz val="8"/>
            <color indexed="81"/>
            <rFont val="Tahoma"/>
            <family val="2"/>
          </rPr>
          <t xml:space="preserve">
4779 jpm?</t>
        </r>
      </text>
    </comment>
    <comment ref="L63" authorId="1" shapeId="0" xr:uid="{00000000-0006-0000-0700-000085010000}">
      <text>
        <r>
          <rPr>
            <b/>
            <sz val="8"/>
            <color indexed="81"/>
            <rFont val="Tahoma"/>
            <family val="2"/>
          </rPr>
          <t>Martin Shkreli:</t>
        </r>
        <r>
          <rPr>
            <sz val="8"/>
            <color indexed="81"/>
            <rFont val="Tahoma"/>
            <family val="2"/>
          </rPr>
          <t xml:space="preserve">
4964 jpm</t>
        </r>
      </text>
    </comment>
    <comment ref="M63" authorId="1" shapeId="0" xr:uid="{00000000-0006-0000-0700-000086010000}">
      <text>
        <r>
          <rPr>
            <b/>
            <sz val="8"/>
            <color indexed="81"/>
            <rFont val="Tahoma"/>
            <family val="2"/>
          </rPr>
          <t>Martin Shkreli:</t>
        </r>
        <r>
          <rPr>
            <sz val="8"/>
            <color indexed="81"/>
            <rFont val="Tahoma"/>
            <family val="2"/>
          </rPr>
          <t xml:space="preserve">
4998 jp</t>
        </r>
      </text>
    </comment>
    <comment ref="N63" authorId="1" shapeId="0" xr:uid="{00000000-0006-0000-0700-000087010000}">
      <text>
        <r>
          <rPr>
            <b/>
            <sz val="8"/>
            <color indexed="81"/>
            <rFont val="Tahoma"/>
            <family val="2"/>
          </rPr>
          <t>Martin Shkreli:</t>
        </r>
        <r>
          <rPr>
            <sz val="8"/>
            <color indexed="81"/>
            <rFont val="Tahoma"/>
            <family val="2"/>
          </rPr>
          <t xml:space="preserve">
4768 jpm</t>
        </r>
      </text>
    </comment>
    <comment ref="O63" authorId="1" shapeId="0" xr:uid="{00000000-0006-0000-0700-000088010000}">
      <text>
        <r>
          <rPr>
            <b/>
            <sz val="8"/>
            <color indexed="81"/>
            <rFont val="Tahoma"/>
            <family val="2"/>
          </rPr>
          <t>Martin Shkreli:</t>
        </r>
        <r>
          <rPr>
            <sz val="8"/>
            <color indexed="81"/>
            <rFont val="Tahoma"/>
            <family val="2"/>
          </rPr>
          <t xml:space="preserve">
5198 jpm
5198 bear</t>
        </r>
      </text>
    </comment>
    <comment ref="P63" authorId="1" shapeId="0" xr:uid="{00000000-0006-0000-0700-000089010000}">
      <text>
        <r>
          <rPr>
            <b/>
            <sz val="8"/>
            <color indexed="81"/>
            <rFont val="Tahoma"/>
            <family val="2"/>
          </rPr>
          <t>Martin Shkreli:</t>
        </r>
        <r>
          <rPr>
            <sz val="8"/>
            <color indexed="81"/>
            <rFont val="Tahoma"/>
            <family val="2"/>
          </rPr>
          <t xml:space="preserve">
5409 jpm
5409 bear</t>
        </r>
      </text>
    </comment>
    <comment ref="Q63" authorId="1" shapeId="0" xr:uid="{00000000-0006-0000-0700-00008A010000}">
      <text>
        <r>
          <rPr>
            <b/>
            <sz val="8"/>
            <color indexed="81"/>
            <rFont val="Tahoma"/>
            <family val="2"/>
          </rPr>
          <t>Martin Shkreli:</t>
        </r>
        <r>
          <rPr>
            <sz val="8"/>
            <color indexed="81"/>
            <rFont val="Tahoma"/>
            <family val="2"/>
          </rPr>
          <t xml:space="preserve">
5247 jpm
5247 bear</t>
        </r>
      </text>
    </comment>
    <comment ref="R63" authorId="1" shapeId="0" xr:uid="{00000000-0006-0000-0700-00008B010000}">
      <text>
        <r>
          <rPr>
            <b/>
            <sz val="8"/>
            <color indexed="81"/>
            <rFont val="Tahoma"/>
            <family val="2"/>
          </rPr>
          <t>Martin Shkreli:</t>
        </r>
        <r>
          <rPr>
            <sz val="8"/>
            <color indexed="81"/>
            <rFont val="Tahoma"/>
            <family val="2"/>
          </rPr>
          <t xml:space="preserve">
5084 jpm
5084 bear</t>
        </r>
      </text>
    </comment>
    <comment ref="S63" authorId="1" shapeId="0" xr:uid="{00000000-0006-0000-0700-00008C010000}">
      <text>
        <r>
          <rPr>
            <b/>
            <sz val="8"/>
            <color indexed="81"/>
            <rFont val="Tahoma"/>
            <family val="2"/>
          </rPr>
          <t>Martin Shkreli:</t>
        </r>
        <r>
          <rPr>
            <sz val="8"/>
            <color indexed="81"/>
            <rFont val="Tahoma"/>
            <family val="2"/>
          </rPr>
          <t xml:space="preserve">
5545 bear</t>
        </r>
      </text>
    </comment>
    <comment ref="T63" authorId="1" shapeId="0" xr:uid="{00000000-0006-0000-0700-00008D010000}">
      <text>
        <r>
          <rPr>
            <b/>
            <sz val="8"/>
            <color indexed="81"/>
            <rFont val="Tahoma"/>
            <family val="2"/>
          </rPr>
          <t>Martin Shkreli:</t>
        </r>
        <r>
          <rPr>
            <sz val="8"/>
            <color indexed="81"/>
            <rFont val="Tahoma"/>
            <family val="2"/>
          </rPr>
          <t xml:space="preserve">
5807 bear</t>
        </r>
      </text>
    </comment>
    <comment ref="U63" authorId="1" shapeId="0" xr:uid="{00000000-0006-0000-0700-00008E010000}">
      <text>
        <r>
          <rPr>
            <b/>
            <sz val="8"/>
            <color indexed="81"/>
            <rFont val="Tahoma"/>
            <family val="2"/>
          </rPr>
          <t>Martin Shkreli:</t>
        </r>
        <r>
          <rPr>
            <sz val="8"/>
            <color indexed="81"/>
            <rFont val="Tahoma"/>
            <family val="2"/>
          </rPr>
          <t xml:space="preserve">
5662 bear</t>
        </r>
      </text>
    </comment>
    <comment ref="V63" authorId="1" shapeId="0" xr:uid="{00000000-0006-0000-0700-00008F010000}">
      <text>
        <r>
          <rPr>
            <b/>
            <sz val="8"/>
            <color indexed="81"/>
            <rFont val="Tahoma"/>
            <family val="2"/>
          </rPr>
          <t>Martin Shkreli:</t>
        </r>
        <r>
          <rPr>
            <sz val="8"/>
            <color indexed="81"/>
            <rFont val="Tahoma"/>
            <family val="2"/>
          </rPr>
          <t xml:space="preserve">
5723 bear</t>
        </r>
      </text>
    </comment>
    <comment ref="AI63" authorId="1" shapeId="0" xr:uid="{00000000-0006-0000-0700-000090010000}">
      <text>
        <r>
          <rPr>
            <b/>
            <sz val="8"/>
            <color indexed="81"/>
            <rFont val="Tahoma"/>
            <family val="2"/>
          </rPr>
          <t>Martin Shkreli:</t>
        </r>
        <r>
          <rPr>
            <sz val="8"/>
            <color indexed="81"/>
            <rFont val="Tahoma"/>
            <family val="2"/>
          </rPr>
          <t xml:space="preserve">
9350 bear</t>
        </r>
      </text>
    </comment>
    <comment ref="AJ63" authorId="1" shapeId="0" xr:uid="{00000000-0006-0000-0700-000091010000}">
      <text>
        <r>
          <rPr>
            <b/>
            <sz val="8"/>
            <color indexed="81"/>
            <rFont val="Tahoma"/>
            <family val="2"/>
          </rPr>
          <t>Martin Shkreli:</t>
        </r>
        <r>
          <rPr>
            <sz val="8"/>
            <color indexed="81"/>
            <rFont val="Tahoma"/>
            <family val="2"/>
          </rPr>
          <t xml:space="preserve">
9254 bear</t>
        </r>
      </text>
    </comment>
    <comment ref="AK63" authorId="1" shapeId="0" xr:uid="{00000000-0006-0000-0700-000092010000}">
      <text>
        <r>
          <rPr>
            <b/>
            <sz val="8"/>
            <color indexed="81"/>
            <rFont val="Tahoma"/>
            <family val="2"/>
          </rPr>
          <t>Martin Shkreli:</t>
        </r>
        <r>
          <rPr>
            <sz val="8"/>
            <color indexed="81"/>
            <rFont val="Tahoma"/>
            <family val="2"/>
          </rPr>
          <t xml:space="preserve">
8970 bear</t>
        </r>
      </text>
    </comment>
    <comment ref="AL63" authorId="1" shapeId="0" xr:uid="{00000000-0006-0000-0700-000093010000}">
      <text>
        <r>
          <rPr>
            <b/>
            <sz val="8"/>
            <color indexed="81"/>
            <rFont val="Tahoma"/>
            <family val="2"/>
          </rPr>
          <t>Martin Shkreli:</t>
        </r>
        <r>
          <rPr>
            <sz val="8"/>
            <color indexed="81"/>
            <rFont val="Tahoma"/>
            <family val="2"/>
          </rPr>
          <t xml:space="preserve">
8986 bear</t>
        </r>
      </text>
    </comment>
    <comment ref="DQ63" authorId="1" shapeId="0" xr:uid="{00000000-0006-0000-0700-000094010000}">
      <text>
        <r>
          <rPr>
            <b/>
            <sz val="8"/>
            <color indexed="81"/>
            <rFont val="Tahoma"/>
            <family val="2"/>
          </rPr>
          <t>Martin Shkreli:</t>
        </r>
        <r>
          <rPr>
            <sz val="8"/>
            <color indexed="81"/>
            <rFont val="Tahoma"/>
            <family val="2"/>
          </rPr>
          <t xml:space="preserve">
7374 bear</t>
        </r>
      </text>
    </comment>
    <comment ref="DR63" authorId="1" shapeId="0" xr:uid="{00000000-0006-0000-0700-000095010000}">
      <text>
        <r>
          <rPr>
            <b/>
            <sz val="8"/>
            <color indexed="81"/>
            <rFont val="Tahoma"/>
            <family val="2"/>
          </rPr>
          <t>Martin Shkreli:</t>
        </r>
        <r>
          <rPr>
            <sz val="8"/>
            <color indexed="81"/>
            <rFont val="Tahoma"/>
            <family val="2"/>
          </rPr>
          <t xml:space="preserve">
8323 bear</t>
        </r>
      </text>
    </comment>
    <comment ref="DS63" authorId="1" shapeId="0" xr:uid="{00000000-0006-0000-0700-000096010000}">
      <text>
        <r>
          <rPr>
            <b/>
            <sz val="8"/>
            <color indexed="81"/>
            <rFont val="Tahoma"/>
            <family val="2"/>
          </rPr>
          <t>Martin Shkreli:</t>
        </r>
        <r>
          <rPr>
            <sz val="8"/>
            <color indexed="81"/>
            <rFont val="Tahoma"/>
            <family val="2"/>
          </rPr>
          <t xml:space="preserve">
9237 bear</t>
        </r>
      </text>
    </comment>
    <comment ref="DT63" authorId="1" shapeId="0" xr:uid="{00000000-0006-0000-0700-000097010000}">
      <text>
        <r>
          <rPr>
            <b/>
            <sz val="8"/>
            <color indexed="81"/>
            <rFont val="Tahoma"/>
            <family val="2"/>
          </rPr>
          <t>Martin Shkreli:</t>
        </r>
        <r>
          <rPr>
            <sz val="8"/>
            <color indexed="81"/>
            <rFont val="Tahoma"/>
            <family val="2"/>
          </rPr>
          <t xml:space="preserve">
9433 bear</t>
        </r>
      </text>
    </comment>
    <comment ref="DU63" authorId="1" shapeId="0" xr:uid="{00000000-0006-0000-0700-000098010000}">
      <text>
        <r>
          <rPr>
            <b/>
            <sz val="8"/>
            <color indexed="81"/>
            <rFont val="Tahoma"/>
            <family val="2"/>
          </rPr>
          <t>Martin Shkreli:</t>
        </r>
        <r>
          <rPr>
            <sz val="8"/>
            <color indexed="81"/>
            <rFont val="Tahoma"/>
            <family val="2"/>
          </rPr>
          <t xml:space="preserve">
10566 bear</t>
        </r>
      </text>
    </comment>
    <comment ref="DV63" authorId="1" shapeId="0" xr:uid="{00000000-0006-0000-0700-000099010000}">
      <text>
        <r>
          <rPr>
            <b/>
            <sz val="8"/>
            <color indexed="81"/>
            <rFont val="Tahoma"/>
            <family val="2"/>
          </rPr>
          <t>Martin Shkreli:</t>
        </r>
        <r>
          <rPr>
            <sz val="8"/>
            <color indexed="81"/>
            <rFont val="Tahoma"/>
            <family val="2"/>
          </rPr>
          <t xml:space="preserve">
12765 bear</t>
        </r>
      </text>
    </comment>
    <comment ref="DW63" authorId="1" shapeId="0" xr:uid="{00000000-0006-0000-0700-00009A010000}">
      <text>
        <r>
          <rPr>
            <b/>
            <sz val="8"/>
            <color indexed="81"/>
            <rFont val="Tahoma"/>
            <family val="2"/>
          </rPr>
          <t>Martin Shkreli:</t>
        </r>
        <r>
          <rPr>
            <sz val="8"/>
            <color indexed="81"/>
            <rFont val="Tahoma"/>
            <family val="2"/>
          </rPr>
          <t xml:space="preserve">
14854 bear</t>
        </r>
      </text>
    </comment>
    <comment ref="DX63" authorId="1" shapeId="0" xr:uid="{00000000-0006-0000-0700-00009B010000}">
      <text>
        <r>
          <rPr>
            <b/>
            <sz val="8"/>
            <color indexed="81"/>
            <rFont val="Tahoma"/>
            <family val="2"/>
          </rPr>
          <t>Martin Shkreli:</t>
        </r>
        <r>
          <rPr>
            <sz val="8"/>
            <color indexed="81"/>
            <rFont val="Tahoma"/>
            <family val="2"/>
          </rPr>
          <t xml:space="preserve">
15827 bear</t>
        </r>
      </text>
    </comment>
    <comment ref="DY63" authorId="1" shapeId="0" xr:uid="{00000000-0006-0000-0700-00009C010000}">
      <text>
        <r>
          <rPr>
            <b/>
            <sz val="8"/>
            <color indexed="81"/>
            <rFont val="Tahoma"/>
            <family val="2"/>
          </rPr>
          <t>Martin Shkreli:</t>
        </r>
        <r>
          <rPr>
            <sz val="8"/>
            <color indexed="81"/>
            <rFont val="Tahoma"/>
            <family val="2"/>
          </rPr>
          <t xml:space="preserve">
16752 bear</t>
        </r>
      </text>
    </comment>
    <comment ref="DZ63" authorId="1" shapeId="0" xr:uid="{00000000-0006-0000-0700-00009D010000}">
      <text>
        <r>
          <rPr>
            <b/>
            <sz val="8"/>
            <color indexed="81"/>
            <rFont val="Tahoma"/>
            <family val="2"/>
          </rPr>
          <t>Martin Shkreli:</t>
        </r>
        <r>
          <rPr>
            <sz val="8"/>
            <color indexed="81"/>
            <rFont val="Tahoma"/>
            <family val="2"/>
          </rPr>
          <t xml:space="preserve">
19510 jpm
19509 bear</t>
        </r>
      </text>
    </comment>
    <comment ref="EA63" authorId="1" shapeId="0" xr:uid="{00000000-0006-0000-0700-00009E010000}">
      <text>
        <r>
          <rPr>
            <b/>
            <sz val="8"/>
            <color indexed="81"/>
            <rFont val="Tahoma"/>
            <family val="2"/>
          </rPr>
          <t>Martin Shkreli:</t>
        </r>
        <r>
          <rPr>
            <sz val="8"/>
            <color indexed="81"/>
            <rFont val="Tahoma"/>
            <family val="2"/>
          </rPr>
          <t xml:space="preserve">
20938 jpm
20938 bear</t>
        </r>
      </text>
    </comment>
    <comment ref="EB63" authorId="1" shapeId="0" xr:uid="{00000000-0006-0000-0700-00009F010000}">
      <text>
        <r>
          <rPr>
            <b/>
            <sz val="8"/>
            <color indexed="81"/>
            <rFont val="Tahoma"/>
            <family val="2"/>
          </rPr>
          <t>Martin Shkreli:</t>
        </r>
        <r>
          <rPr>
            <sz val="8"/>
            <color indexed="81"/>
            <rFont val="Tahoma"/>
            <family val="2"/>
          </rPr>
          <t xml:space="preserve">
22737 bear</t>
        </r>
      </text>
    </comment>
    <comment ref="K64" authorId="1" shapeId="0" xr:uid="{00000000-0006-0000-0700-0000A0010000}">
      <text>
        <r>
          <rPr>
            <b/>
            <sz val="8"/>
            <color indexed="81"/>
            <rFont val="Tahoma"/>
            <family val="2"/>
          </rPr>
          <t>Martin Shkreli:</t>
        </r>
        <r>
          <rPr>
            <sz val="8"/>
            <color indexed="81"/>
            <rFont val="Tahoma"/>
            <family val="2"/>
          </rPr>
          <t xml:space="preserve">
2491 jpm</t>
        </r>
      </text>
    </comment>
    <comment ref="L64" authorId="1" shapeId="0" xr:uid="{00000000-0006-0000-0700-0000A1010000}">
      <text>
        <r>
          <rPr>
            <b/>
            <sz val="8"/>
            <color indexed="81"/>
            <rFont val="Tahoma"/>
            <family val="2"/>
          </rPr>
          <t>Martin Shkreli:</t>
        </r>
        <r>
          <rPr>
            <sz val="8"/>
            <color indexed="81"/>
            <rFont val="Tahoma"/>
            <family val="2"/>
          </rPr>
          <t xml:space="preserve">
2646 jpm</t>
        </r>
      </text>
    </comment>
    <comment ref="M64" authorId="1" shapeId="0" xr:uid="{00000000-0006-0000-0700-0000A2010000}">
      <text>
        <r>
          <rPr>
            <b/>
            <sz val="8"/>
            <color indexed="81"/>
            <rFont val="Tahoma"/>
            <family val="2"/>
          </rPr>
          <t>Martin Shkreli:</t>
        </r>
        <r>
          <rPr>
            <sz val="8"/>
            <color indexed="81"/>
            <rFont val="Tahoma"/>
            <family val="2"/>
          </rPr>
          <t xml:space="preserve">
2682 jpm</t>
        </r>
      </text>
    </comment>
    <comment ref="N64" authorId="1" shapeId="0" xr:uid="{00000000-0006-0000-0700-0000A3010000}">
      <text>
        <r>
          <rPr>
            <b/>
            <sz val="8"/>
            <color indexed="81"/>
            <rFont val="Tahoma"/>
            <family val="2"/>
          </rPr>
          <t>Martin Shkreli:</t>
        </r>
        <r>
          <rPr>
            <sz val="8"/>
            <color indexed="81"/>
            <rFont val="Tahoma"/>
            <family val="2"/>
          </rPr>
          <t xml:space="preserve">
2937 jpm</t>
        </r>
      </text>
    </comment>
    <comment ref="O64" authorId="1" shapeId="0" xr:uid="{00000000-0006-0000-0700-0000A4010000}">
      <text>
        <r>
          <rPr>
            <b/>
            <sz val="8"/>
            <color indexed="81"/>
            <rFont val="Tahoma"/>
            <family val="2"/>
          </rPr>
          <t>Martin Shkreli:</t>
        </r>
        <r>
          <rPr>
            <sz val="8"/>
            <color indexed="81"/>
            <rFont val="Tahoma"/>
            <family val="2"/>
          </rPr>
          <t xml:space="preserve">
2679 jpm
2679 bear</t>
        </r>
      </text>
    </comment>
    <comment ref="P64" authorId="1" shapeId="0" xr:uid="{00000000-0006-0000-0700-0000A5010000}">
      <text>
        <r>
          <rPr>
            <b/>
            <sz val="8"/>
            <color indexed="81"/>
            <rFont val="Tahoma"/>
            <family val="2"/>
          </rPr>
          <t>Martin Shkreli:</t>
        </r>
        <r>
          <rPr>
            <sz val="8"/>
            <color indexed="81"/>
            <rFont val="Tahoma"/>
            <family val="2"/>
          </rPr>
          <t xml:space="preserve">
2829 jpm
2829 bear</t>
        </r>
      </text>
    </comment>
    <comment ref="Q64" authorId="1" shapeId="0" xr:uid="{00000000-0006-0000-0700-0000A6010000}">
      <text>
        <r>
          <rPr>
            <b/>
            <sz val="8"/>
            <color indexed="81"/>
            <rFont val="Tahoma"/>
            <family val="2"/>
          </rPr>
          <t>Martin Shkreli:</t>
        </r>
        <r>
          <rPr>
            <sz val="8"/>
            <color indexed="81"/>
            <rFont val="Tahoma"/>
            <family val="2"/>
          </rPr>
          <t xml:space="preserve">
2767 jpm
2767 bear</t>
        </r>
      </text>
    </comment>
    <comment ref="R64" authorId="1" shapeId="0" xr:uid="{00000000-0006-0000-0700-0000A7010000}">
      <text>
        <r>
          <rPr>
            <b/>
            <sz val="8"/>
            <color indexed="81"/>
            <rFont val="Tahoma"/>
            <family val="2"/>
          </rPr>
          <t>Martin Shkreli:</t>
        </r>
        <r>
          <rPr>
            <sz val="8"/>
            <color indexed="81"/>
            <rFont val="Tahoma"/>
            <family val="2"/>
          </rPr>
          <t xml:space="preserve">
2943 jpm
2943 bear</t>
        </r>
      </text>
    </comment>
    <comment ref="S64" authorId="1" shapeId="0" xr:uid="{00000000-0006-0000-0700-0000A8010000}">
      <text>
        <r>
          <rPr>
            <b/>
            <sz val="8"/>
            <color indexed="81"/>
            <rFont val="Tahoma"/>
            <family val="2"/>
          </rPr>
          <t>Martin Shkreli:</t>
        </r>
        <r>
          <rPr>
            <sz val="8"/>
            <color indexed="81"/>
            <rFont val="Tahoma"/>
            <family val="2"/>
          </rPr>
          <t xml:space="preserve">
2666 bear
2666 jpm</t>
        </r>
      </text>
    </comment>
    <comment ref="T64" authorId="1" shapeId="0" xr:uid="{00000000-0006-0000-0700-0000A9010000}">
      <text>
        <r>
          <rPr>
            <b/>
            <sz val="8"/>
            <color indexed="81"/>
            <rFont val="Tahoma"/>
            <family val="2"/>
          </rPr>
          <t>Martin Shkreli:</t>
        </r>
        <r>
          <rPr>
            <sz val="8"/>
            <color indexed="81"/>
            <rFont val="Tahoma"/>
            <family val="2"/>
          </rPr>
          <t xml:space="preserve">
2802 bear</t>
        </r>
      </text>
    </comment>
    <comment ref="U64" authorId="1" shapeId="0" xr:uid="{00000000-0006-0000-0700-0000AA010000}">
      <text>
        <r>
          <rPr>
            <b/>
            <sz val="8"/>
            <color indexed="81"/>
            <rFont val="Tahoma"/>
            <family val="2"/>
          </rPr>
          <t>Martin Shkreli:</t>
        </r>
        <r>
          <rPr>
            <sz val="8"/>
            <color indexed="81"/>
            <rFont val="Tahoma"/>
            <family val="2"/>
          </rPr>
          <t xml:space="preserve">
2703 bear</t>
        </r>
      </text>
    </comment>
    <comment ref="V64" authorId="1" shapeId="0" xr:uid="{00000000-0006-0000-0700-0000AB010000}">
      <text>
        <r>
          <rPr>
            <b/>
            <sz val="8"/>
            <color indexed="81"/>
            <rFont val="Tahoma"/>
            <family val="2"/>
          </rPr>
          <t>Martin Shkreli:</t>
        </r>
        <r>
          <rPr>
            <sz val="8"/>
            <color indexed="81"/>
            <rFont val="Tahoma"/>
            <family val="2"/>
          </rPr>
          <t xml:space="preserve">
3089 bear</t>
        </r>
      </text>
    </comment>
    <comment ref="AI64" authorId="1" shapeId="0" xr:uid="{00000000-0006-0000-0700-0000AC010000}">
      <text>
        <r>
          <rPr>
            <b/>
            <sz val="8"/>
            <color indexed="81"/>
            <rFont val="Tahoma"/>
            <family val="2"/>
          </rPr>
          <t>Martin Shkreli:</t>
        </r>
        <r>
          <rPr>
            <sz val="8"/>
            <color indexed="81"/>
            <rFont val="Tahoma"/>
            <family val="2"/>
          </rPr>
          <t xml:space="preserve">
4043 bear</t>
        </r>
      </text>
    </comment>
    <comment ref="AK64" authorId="1" shapeId="0" xr:uid="{00000000-0006-0000-0700-0000AD010000}">
      <text>
        <r>
          <rPr>
            <b/>
            <sz val="8"/>
            <color indexed="81"/>
            <rFont val="Tahoma"/>
            <family val="2"/>
          </rPr>
          <t>Martin Shkreli:</t>
        </r>
        <r>
          <rPr>
            <sz val="8"/>
            <color indexed="81"/>
            <rFont val="Tahoma"/>
            <family val="2"/>
          </rPr>
          <t xml:space="preserve">
4078 bear</t>
        </r>
      </text>
    </comment>
    <comment ref="AL64" authorId="1" shapeId="0" xr:uid="{00000000-0006-0000-0700-0000AE010000}">
      <text>
        <r>
          <rPr>
            <b/>
            <sz val="8"/>
            <color indexed="81"/>
            <rFont val="Tahoma"/>
            <family val="2"/>
          </rPr>
          <t>Martin Shkreli:</t>
        </r>
        <r>
          <rPr>
            <sz val="8"/>
            <color indexed="81"/>
            <rFont val="Tahoma"/>
            <family val="2"/>
          </rPr>
          <t xml:space="preserve">
4562 bear</t>
        </r>
      </text>
    </comment>
    <comment ref="BB64" authorId="0" shapeId="0" xr:uid="{00000000-0006-0000-0700-0000AF010000}">
      <text>
        <r>
          <rPr>
            <sz val="9"/>
            <color indexed="81"/>
            <rFont val="Tahoma"/>
            <family val="2"/>
          </rPr>
          <t>recall costs impacted 6c</t>
        </r>
      </text>
    </comment>
    <comment ref="DC64" authorId="30"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4" authorId="1" shapeId="0" xr:uid="{00000000-0006-0000-0700-0000B0010000}">
      <text>
        <r>
          <rPr>
            <b/>
            <sz val="8"/>
            <color indexed="81"/>
            <rFont val="Tahoma"/>
            <family val="2"/>
          </rPr>
          <t>Martin Shkreli:</t>
        </r>
        <r>
          <rPr>
            <sz val="8"/>
            <color indexed="81"/>
            <rFont val="Tahoma"/>
            <family val="2"/>
          </rPr>
          <t xml:space="preserve">
4481 bear</t>
        </r>
      </text>
    </comment>
    <comment ref="DR64" authorId="1" shapeId="0" xr:uid="{00000000-0006-0000-0700-0000B1010000}">
      <text>
        <r>
          <rPr>
            <b/>
            <sz val="8"/>
            <color indexed="81"/>
            <rFont val="Tahoma"/>
            <family val="2"/>
          </rPr>
          <t>Martin Shkreli:</t>
        </r>
        <r>
          <rPr>
            <sz val="8"/>
            <color indexed="81"/>
            <rFont val="Tahoma"/>
            <family val="2"/>
          </rPr>
          <t xml:space="preserve">
5202 bear</t>
        </r>
      </text>
    </comment>
    <comment ref="DS64" authorId="1" shapeId="0" xr:uid="{00000000-0006-0000-0700-0000B2010000}">
      <text>
        <r>
          <rPr>
            <b/>
            <sz val="8"/>
            <color indexed="81"/>
            <rFont val="Tahoma"/>
            <family val="2"/>
          </rPr>
          <t>Martin Shkreli:</t>
        </r>
        <r>
          <rPr>
            <sz val="8"/>
            <color indexed="81"/>
            <rFont val="Tahoma"/>
            <family val="2"/>
          </rPr>
          <t xml:space="preserve">
5776 bear</t>
        </r>
      </text>
    </comment>
    <comment ref="DT64" authorId="1" shapeId="0" xr:uid="{00000000-0006-0000-0700-0000B3010000}">
      <text>
        <r>
          <rPr>
            <b/>
            <sz val="8"/>
            <color indexed="81"/>
            <rFont val="Tahoma"/>
            <family val="2"/>
          </rPr>
          <t>Martin Shkreli:</t>
        </r>
        <r>
          <rPr>
            <sz val="8"/>
            <color indexed="81"/>
            <rFont val="Tahoma"/>
            <family val="2"/>
          </rPr>
          <t xml:space="preserve">
5828 bear</t>
        </r>
      </text>
    </comment>
    <comment ref="DU64" authorId="1" shapeId="0" xr:uid="{00000000-0006-0000-0700-0000B4010000}">
      <text>
        <r>
          <rPr>
            <b/>
            <sz val="8"/>
            <color indexed="81"/>
            <rFont val="Tahoma"/>
            <family val="2"/>
          </rPr>
          <t>Martin Shkreli:</t>
        </r>
        <r>
          <rPr>
            <sz val="8"/>
            <color indexed="81"/>
            <rFont val="Tahoma"/>
            <family val="2"/>
          </rPr>
          <t xml:space="preserve">
6406 bear</t>
        </r>
      </text>
    </comment>
    <comment ref="DV64" authorId="1" shapeId="0" xr:uid="{00000000-0006-0000-0700-0000B5010000}">
      <text>
        <r>
          <rPr>
            <b/>
            <sz val="8"/>
            <color indexed="81"/>
            <rFont val="Tahoma"/>
            <family val="2"/>
          </rPr>
          <t>Martin Shkreli:</t>
        </r>
        <r>
          <rPr>
            <sz val="8"/>
            <color indexed="81"/>
            <rFont val="Tahoma"/>
            <family val="2"/>
          </rPr>
          <t xml:space="preserve">
7530 bear</t>
        </r>
      </text>
    </comment>
    <comment ref="DW64" authorId="1" shapeId="0" xr:uid="{00000000-0006-0000-0700-0000B6010000}">
      <text>
        <r>
          <rPr>
            <b/>
            <sz val="8"/>
            <color indexed="81"/>
            <rFont val="Tahoma"/>
            <family val="2"/>
          </rPr>
          <t>Martin Shkreli:</t>
        </r>
        <r>
          <rPr>
            <sz val="8"/>
            <color indexed="81"/>
            <rFont val="Tahoma"/>
            <family val="2"/>
          </rPr>
          <t xml:space="preserve">
8500 bear</t>
        </r>
      </text>
    </comment>
    <comment ref="DX64" authorId="1" shapeId="0" xr:uid="{00000000-0006-0000-0700-0000B7010000}">
      <text>
        <r>
          <rPr>
            <b/>
            <sz val="8"/>
            <color indexed="81"/>
            <rFont val="Tahoma"/>
            <family val="2"/>
          </rPr>
          <t>Martin Shkreli:</t>
        </r>
        <r>
          <rPr>
            <sz val="8"/>
            <color indexed="81"/>
            <rFont val="Tahoma"/>
            <family val="2"/>
          </rPr>
          <t xml:space="preserve">
8840 bear</t>
        </r>
      </text>
    </comment>
    <comment ref="DY64" authorId="1" shapeId="0" xr:uid="{00000000-0006-0000-0700-0000B8010000}">
      <text>
        <r>
          <rPr>
            <b/>
            <sz val="8"/>
            <color indexed="81"/>
            <rFont val="Tahoma"/>
            <family val="2"/>
          </rPr>
          <t>Martin Shkreli:</t>
        </r>
        <r>
          <rPr>
            <sz val="8"/>
            <color indexed="81"/>
            <rFont val="Tahoma"/>
            <family val="2"/>
          </rPr>
          <t xml:space="preserve">
9166 bear</t>
        </r>
      </text>
    </comment>
    <comment ref="DZ64" authorId="1" shapeId="0" xr:uid="{00000000-0006-0000-0700-0000B9010000}">
      <text>
        <r>
          <rPr>
            <b/>
            <sz val="8"/>
            <color indexed="81"/>
            <rFont val="Tahoma"/>
            <family val="2"/>
          </rPr>
          <t>Martin Shkreli:</t>
        </r>
        <r>
          <rPr>
            <sz val="8"/>
            <color indexed="81"/>
            <rFont val="Tahoma"/>
            <family val="2"/>
          </rPr>
          <t xml:space="preserve">
10756 jpm
10756 bear</t>
        </r>
      </text>
    </comment>
    <comment ref="EA64" authorId="1" shapeId="0" xr:uid="{00000000-0006-0000-0700-0000BA010000}">
      <text>
        <r>
          <rPr>
            <b/>
            <sz val="8"/>
            <color indexed="81"/>
            <rFont val="Tahoma"/>
            <family val="2"/>
          </rPr>
          <t>Martin Shkreli:</t>
        </r>
        <r>
          <rPr>
            <sz val="8"/>
            <color indexed="81"/>
            <rFont val="Tahoma"/>
            <family val="2"/>
          </rPr>
          <t xml:space="preserve">
11218 jpm
11218 bear</t>
        </r>
      </text>
    </comment>
    <comment ref="EB64" authorId="1" shapeId="0" xr:uid="{00000000-0006-0000-0700-0000BB010000}">
      <text>
        <r>
          <rPr>
            <b/>
            <sz val="8"/>
            <color indexed="81"/>
            <rFont val="Tahoma"/>
            <family val="2"/>
          </rPr>
          <t>Martin Shkreli:</t>
        </r>
        <r>
          <rPr>
            <sz val="8"/>
            <color indexed="81"/>
            <rFont val="Tahoma"/>
            <family val="2"/>
          </rPr>
          <t xml:space="preserve">
11260 bear</t>
        </r>
      </text>
    </comment>
    <comment ref="K65" authorId="1" shapeId="0" xr:uid="{00000000-0006-0000-0700-0000BC010000}">
      <text>
        <r>
          <rPr>
            <b/>
            <sz val="8"/>
            <color indexed="81"/>
            <rFont val="Tahoma"/>
            <family val="2"/>
          </rPr>
          <t>Martin Shkreli:</t>
        </r>
        <r>
          <rPr>
            <sz val="8"/>
            <color indexed="81"/>
            <rFont val="Tahoma"/>
            <family val="2"/>
          </rPr>
          <t xml:space="preserve">
597 jpm</t>
        </r>
      </text>
    </comment>
    <comment ref="L65" authorId="1" shapeId="0" xr:uid="{00000000-0006-0000-0700-0000BD010000}">
      <text>
        <r>
          <rPr>
            <b/>
            <sz val="8"/>
            <color indexed="81"/>
            <rFont val="Tahoma"/>
            <family val="2"/>
          </rPr>
          <t>Martin Shkreli:</t>
        </r>
        <r>
          <rPr>
            <sz val="8"/>
            <color indexed="81"/>
            <rFont val="Tahoma"/>
            <family val="2"/>
          </rPr>
          <t xml:space="preserve">
640 jpm</t>
        </r>
      </text>
    </comment>
    <comment ref="M65" authorId="1" shapeId="0" xr:uid="{00000000-0006-0000-0700-0000BE010000}">
      <text>
        <r>
          <rPr>
            <b/>
            <sz val="8"/>
            <color indexed="81"/>
            <rFont val="Tahoma"/>
            <family val="2"/>
          </rPr>
          <t>Martin Shkreli:</t>
        </r>
        <r>
          <rPr>
            <sz val="8"/>
            <color indexed="81"/>
            <rFont val="Tahoma"/>
            <family val="2"/>
          </rPr>
          <t xml:space="preserve">
672 jpm</t>
        </r>
      </text>
    </comment>
    <comment ref="N65" authorId="1" shapeId="0" xr:uid="{00000000-0006-0000-0700-0000BF010000}">
      <text>
        <r>
          <rPr>
            <b/>
            <sz val="8"/>
            <color indexed="81"/>
            <rFont val="Tahoma"/>
            <family val="2"/>
          </rPr>
          <t>Martin Shkreli:</t>
        </r>
        <r>
          <rPr>
            <sz val="8"/>
            <color indexed="81"/>
            <rFont val="Tahoma"/>
            <family val="2"/>
          </rPr>
          <t xml:space="preserve">
858 jpm</t>
        </r>
      </text>
    </comment>
    <comment ref="O65" authorId="1" shapeId="0" xr:uid="{00000000-0006-0000-0700-0000C0010000}">
      <text>
        <r>
          <rPr>
            <b/>
            <sz val="8"/>
            <color indexed="81"/>
            <rFont val="Tahoma"/>
            <family val="2"/>
          </rPr>
          <t>Martin Shkreli:</t>
        </r>
        <r>
          <rPr>
            <sz val="8"/>
            <color indexed="81"/>
            <rFont val="Tahoma"/>
            <family val="2"/>
          </rPr>
          <t xml:space="preserve">
677 jpm
677 bear</t>
        </r>
      </text>
    </comment>
    <comment ref="P65" authorId="1" shapeId="0" xr:uid="{00000000-0006-0000-0700-0000C1010000}">
      <text>
        <r>
          <rPr>
            <b/>
            <sz val="8"/>
            <color indexed="81"/>
            <rFont val="Tahoma"/>
            <family val="2"/>
          </rPr>
          <t>Martin Shkreli:</t>
        </r>
        <r>
          <rPr>
            <sz val="8"/>
            <color indexed="81"/>
            <rFont val="Tahoma"/>
            <family val="2"/>
          </rPr>
          <t xml:space="preserve">
713 jpm
713 bear</t>
        </r>
      </text>
    </comment>
    <comment ref="Q65" authorId="1" shapeId="0" xr:uid="{00000000-0006-0000-0700-0000C2010000}">
      <text>
        <r>
          <rPr>
            <b/>
            <sz val="8"/>
            <color indexed="81"/>
            <rFont val="Tahoma"/>
            <family val="2"/>
          </rPr>
          <t>Martin Shkreli:</t>
        </r>
        <r>
          <rPr>
            <sz val="8"/>
            <color indexed="81"/>
            <rFont val="Tahoma"/>
            <family val="2"/>
          </rPr>
          <t xml:space="preserve">
739 jpm
739 bear</t>
        </r>
      </text>
    </comment>
    <comment ref="R65" authorId="1" shapeId="0" xr:uid="{00000000-0006-0000-0700-0000C3010000}">
      <text>
        <r>
          <rPr>
            <b/>
            <sz val="8"/>
            <color indexed="81"/>
            <rFont val="Tahoma"/>
            <family val="2"/>
          </rPr>
          <t>Martin Shkreli:</t>
        </r>
        <r>
          <rPr>
            <sz val="8"/>
            <color indexed="81"/>
            <rFont val="Tahoma"/>
            <family val="2"/>
          </rPr>
          <t xml:space="preserve">
976 jpm
976 bear</t>
        </r>
      </text>
    </comment>
    <comment ref="S65" authorId="1" shapeId="0" xr:uid="{00000000-0006-0000-0700-0000C4010000}">
      <text>
        <r>
          <rPr>
            <b/>
            <sz val="8"/>
            <color indexed="81"/>
            <rFont val="Tahoma"/>
            <family val="2"/>
          </rPr>
          <t>Martin Shkreli:</t>
        </r>
        <r>
          <rPr>
            <sz val="8"/>
            <color indexed="81"/>
            <rFont val="Tahoma"/>
            <family val="2"/>
          </rPr>
          <t xml:space="preserve">
759 bear
759 jpm</t>
        </r>
      </text>
    </comment>
    <comment ref="AI65" authorId="1" shapeId="0" xr:uid="{00000000-0006-0000-0700-0000C5010000}">
      <text>
        <r>
          <rPr>
            <b/>
            <sz val="8"/>
            <color indexed="81"/>
            <rFont val="Tahoma"/>
            <family val="2"/>
          </rPr>
          <t>Martin Shkreli:</t>
        </r>
        <r>
          <rPr>
            <sz val="8"/>
            <color indexed="81"/>
            <rFont val="Tahoma"/>
            <family val="2"/>
          </rPr>
          <t xml:space="preserve">
1347 bear</t>
        </r>
      </text>
    </comment>
    <comment ref="AK65" authorId="1" shapeId="0" xr:uid="{00000000-0006-0000-0700-0000C6010000}">
      <text>
        <r>
          <rPr>
            <b/>
            <sz val="8"/>
            <color indexed="81"/>
            <rFont val="Tahoma"/>
            <family val="2"/>
          </rPr>
          <t>Martin Shkreli:</t>
        </r>
        <r>
          <rPr>
            <sz val="8"/>
            <color indexed="81"/>
            <rFont val="Tahoma"/>
            <family val="2"/>
          </rPr>
          <t xml:space="preserve">
1502 bear</t>
        </r>
      </text>
    </comment>
    <comment ref="AL65" authorId="1" shapeId="0" xr:uid="{00000000-0006-0000-0700-0000C7010000}">
      <text>
        <r>
          <rPr>
            <b/>
            <sz val="8"/>
            <color indexed="81"/>
            <rFont val="Tahoma"/>
            <family val="2"/>
          </rPr>
          <t>Martin Shkreli:</t>
        </r>
        <r>
          <rPr>
            <sz val="8"/>
            <color indexed="81"/>
            <rFont val="Tahoma"/>
            <family val="2"/>
          </rPr>
          <t xml:space="preserve">
1976 bear</t>
        </r>
      </text>
    </comment>
    <comment ref="AN65"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5" authorId="31"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5" authorId="1" shapeId="0" xr:uid="{00000000-0006-0000-0700-0000C9010000}">
      <text>
        <r>
          <rPr>
            <b/>
            <sz val="8"/>
            <color indexed="81"/>
            <rFont val="Tahoma"/>
            <family val="2"/>
          </rPr>
          <t>Martin Shkreli:</t>
        </r>
        <r>
          <rPr>
            <sz val="8"/>
            <color indexed="81"/>
            <rFont val="Tahoma"/>
            <family val="2"/>
          </rPr>
          <t xml:space="preserve">
869 bear</t>
        </r>
      </text>
    </comment>
    <comment ref="DR65" authorId="1" shapeId="0" xr:uid="{00000000-0006-0000-0700-0000CA010000}">
      <text>
        <r>
          <rPr>
            <b/>
            <sz val="8"/>
            <color indexed="81"/>
            <rFont val="Tahoma"/>
            <family val="2"/>
          </rPr>
          <t>Martin Shkreli:</t>
        </r>
        <r>
          <rPr>
            <sz val="8"/>
            <color indexed="81"/>
            <rFont val="Tahoma"/>
            <family val="2"/>
          </rPr>
          <t xml:space="preserve">
1092 bear</t>
        </r>
      </text>
    </comment>
    <comment ref="DS65" authorId="1" shapeId="0" xr:uid="{00000000-0006-0000-0700-0000CB010000}">
      <text>
        <r>
          <rPr>
            <b/>
            <sz val="8"/>
            <color indexed="81"/>
            <rFont val="Tahoma"/>
            <family val="2"/>
          </rPr>
          <t>Martin Shkreli:</t>
        </r>
        <r>
          <rPr>
            <sz val="8"/>
            <color indexed="81"/>
            <rFont val="Tahoma"/>
            <family val="2"/>
          </rPr>
          <t xml:space="preserve">
1282 bear</t>
        </r>
      </text>
    </comment>
    <comment ref="DT65" authorId="1" shapeId="0" xr:uid="{00000000-0006-0000-0700-0000CC010000}">
      <text>
        <r>
          <rPr>
            <b/>
            <sz val="8"/>
            <color indexed="81"/>
            <rFont val="Tahoma"/>
            <family val="2"/>
          </rPr>
          <t>Martin Shkreli:</t>
        </r>
        <r>
          <rPr>
            <sz val="8"/>
            <color indexed="81"/>
            <rFont val="Tahoma"/>
            <family val="2"/>
          </rPr>
          <t xml:space="preserve">
1296 bear</t>
        </r>
      </text>
    </comment>
    <comment ref="DU65" authorId="1" shapeId="0" xr:uid="{00000000-0006-0000-0700-0000CD010000}">
      <text>
        <r>
          <rPr>
            <b/>
            <sz val="8"/>
            <color indexed="81"/>
            <rFont val="Tahoma"/>
            <family val="2"/>
          </rPr>
          <t>Martin Shkreli:</t>
        </r>
        <r>
          <rPr>
            <sz val="8"/>
            <color indexed="81"/>
            <rFont val="Tahoma"/>
            <family val="2"/>
          </rPr>
          <t xml:space="preserve">
1416 bear</t>
        </r>
      </text>
    </comment>
    <comment ref="DV65" authorId="1" shapeId="0" xr:uid="{00000000-0006-0000-0700-0000CE010000}">
      <text>
        <r>
          <rPr>
            <b/>
            <sz val="8"/>
            <color indexed="81"/>
            <rFont val="Tahoma"/>
            <family val="2"/>
          </rPr>
          <t>Martin Shkreli:</t>
        </r>
        <r>
          <rPr>
            <sz val="8"/>
            <color indexed="81"/>
            <rFont val="Tahoma"/>
            <family val="2"/>
          </rPr>
          <t xml:space="preserve">
1788 bear</t>
        </r>
      </text>
    </comment>
    <comment ref="DW65" authorId="1" shapeId="0" xr:uid="{00000000-0006-0000-0700-0000CF010000}">
      <text>
        <r>
          <rPr>
            <b/>
            <sz val="8"/>
            <color indexed="81"/>
            <rFont val="Tahoma"/>
            <family val="2"/>
          </rPr>
          <t>Martin Shkreli:</t>
        </r>
        <r>
          <rPr>
            <sz val="8"/>
            <color indexed="81"/>
            <rFont val="Tahoma"/>
            <family val="2"/>
          </rPr>
          <t xml:space="preserve">
2109 bear</t>
        </r>
      </text>
    </comment>
    <comment ref="DX65" authorId="1" shapeId="0" xr:uid="{00000000-0006-0000-0700-0000D0010000}">
      <text>
        <r>
          <rPr>
            <b/>
            <sz val="8"/>
            <color indexed="81"/>
            <rFont val="Tahoma"/>
            <family val="2"/>
          </rPr>
          <t>Martin Shkreli:</t>
        </r>
        <r>
          <rPr>
            <sz val="8"/>
            <color indexed="81"/>
            <rFont val="Tahoma"/>
            <family val="2"/>
          </rPr>
          <t xml:space="preserve">
2373 bear</t>
        </r>
      </text>
    </comment>
    <comment ref="DY65" authorId="1" shapeId="0" xr:uid="{00000000-0006-0000-0700-0000D1010000}">
      <text>
        <r>
          <rPr>
            <b/>
            <sz val="8"/>
            <color indexed="81"/>
            <rFont val="Tahoma"/>
            <family val="2"/>
          </rPr>
          <t>Martin Shkreli:</t>
        </r>
        <r>
          <rPr>
            <sz val="8"/>
            <color indexed="81"/>
            <rFont val="Tahoma"/>
            <family val="2"/>
          </rPr>
          <t xml:space="preserve">
2506 bear</t>
        </r>
      </text>
    </comment>
    <comment ref="DZ65" authorId="1" shapeId="0" xr:uid="{00000000-0006-0000-0700-0000D2010000}">
      <text>
        <r>
          <rPr>
            <b/>
            <sz val="8"/>
            <color indexed="81"/>
            <rFont val="Tahoma"/>
            <family val="2"/>
          </rPr>
          <t>Martin Shkreli:</t>
        </r>
        <r>
          <rPr>
            <sz val="8"/>
            <color indexed="81"/>
            <rFont val="Tahoma"/>
            <family val="2"/>
          </rPr>
          <t xml:space="preserve">
2768 jpm
2768 bear</t>
        </r>
      </text>
    </comment>
    <comment ref="EA65" authorId="1" shapeId="0" xr:uid="{00000000-0006-0000-0700-0000D3010000}">
      <text>
        <r>
          <rPr>
            <b/>
            <sz val="8"/>
            <color indexed="81"/>
            <rFont val="Tahoma"/>
            <family val="2"/>
          </rPr>
          <t>Martin Shkreli:</t>
        </r>
        <r>
          <rPr>
            <sz val="8"/>
            <color indexed="81"/>
            <rFont val="Tahoma"/>
            <family val="2"/>
          </rPr>
          <t xml:space="preserve">
3105 jpm
3105 bear</t>
        </r>
      </text>
    </comment>
    <comment ref="K67" authorId="1" shapeId="0" xr:uid="{00000000-0006-0000-0700-0000D4010000}">
      <text>
        <r>
          <rPr>
            <b/>
            <sz val="8"/>
            <color indexed="81"/>
            <rFont val="Tahoma"/>
            <family val="2"/>
          </rPr>
          <t>Martin Shkreli:</t>
        </r>
        <r>
          <rPr>
            <sz val="8"/>
            <color indexed="81"/>
            <rFont val="Tahoma"/>
            <family val="2"/>
          </rPr>
          <t xml:space="preserve">
1691 jpm</t>
        </r>
      </text>
    </comment>
    <comment ref="L67" authorId="1" shapeId="0" xr:uid="{00000000-0006-0000-0700-0000D5010000}">
      <text>
        <r>
          <rPr>
            <b/>
            <sz val="8"/>
            <color indexed="81"/>
            <rFont val="Tahoma"/>
            <family val="2"/>
          </rPr>
          <t>Martin Shkreli:</t>
        </r>
        <r>
          <rPr>
            <sz val="8"/>
            <color indexed="81"/>
            <rFont val="Tahoma"/>
            <family val="2"/>
          </rPr>
          <t xml:space="preserve">
1678 jpm</t>
        </r>
      </text>
    </comment>
    <comment ref="M67" authorId="1" shapeId="0" xr:uid="{00000000-0006-0000-0700-0000D6010000}">
      <text>
        <r>
          <rPr>
            <b/>
            <sz val="8"/>
            <color indexed="81"/>
            <rFont val="Tahoma"/>
            <family val="2"/>
          </rPr>
          <t>Martin Shkreli:</t>
        </r>
        <r>
          <rPr>
            <sz val="8"/>
            <color indexed="81"/>
            <rFont val="Tahoma"/>
            <family val="2"/>
          </rPr>
          <t xml:space="preserve">
1644 jpm</t>
        </r>
      </text>
    </comment>
    <comment ref="N67" authorId="1" shapeId="0" xr:uid="{00000000-0006-0000-0700-0000D7010000}">
      <text>
        <r>
          <rPr>
            <b/>
            <sz val="8"/>
            <color indexed="81"/>
            <rFont val="Tahoma"/>
            <family val="2"/>
          </rPr>
          <t>Martin Shkreli:</t>
        </r>
        <r>
          <rPr>
            <sz val="8"/>
            <color indexed="81"/>
            <rFont val="Tahoma"/>
            <family val="2"/>
          </rPr>
          <t xml:space="preserve">
974 jpm</t>
        </r>
      </text>
    </comment>
    <comment ref="O67" authorId="1" shapeId="0" xr:uid="{00000000-0006-0000-0700-0000D8010000}">
      <text>
        <r>
          <rPr>
            <b/>
            <sz val="8"/>
            <color indexed="81"/>
            <rFont val="Tahoma"/>
            <family val="2"/>
          </rPr>
          <t>Martin Shkreli:</t>
        </r>
        <r>
          <rPr>
            <sz val="8"/>
            <color indexed="81"/>
            <rFont val="Tahoma"/>
            <family val="2"/>
          </rPr>
          <t xml:space="preserve">
1842 jpm
1842 bear</t>
        </r>
      </text>
    </comment>
    <comment ref="P67" authorId="1" shapeId="0" xr:uid="{00000000-0006-0000-0700-0000D9010000}">
      <text>
        <r>
          <rPr>
            <b/>
            <sz val="8"/>
            <color indexed="81"/>
            <rFont val="Tahoma"/>
            <family val="2"/>
          </rPr>
          <t>Martin Shkreli:</t>
        </r>
        <r>
          <rPr>
            <sz val="8"/>
            <color indexed="81"/>
            <rFont val="Tahoma"/>
            <family val="2"/>
          </rPr>
          <t xml:space="preserve">
1867 jpm
1867 bear</t>
        </r>
      </text>
    </comment>
    <comment ref="Q67" authorId="1" shapeId="0" xr:uid="{00000000-0006-0000-0700-0000DA010000}">
      <text>
        <r>
          <rPr>
            <b/>
            <sz val="8"/>
            <color indexed="81"/>
            <rFont val="Tahoma"/>
            <family val="2"/>
          </rPr>
          <t>Martin Shkreli:</t>
        </r>
        <r>
          <rPr>
            <sz val="8"/>
            <color indexed="81"/>
            <rFont val="Tahoma"/>
            <family val="2"/>
          </rPr>
          <t xml:space="preserve">
1741 jpm
1741 bear</t>
        </r>
      </text>
    </comment>
    <comment ref="R67" authorId="1" shapeId="0" xr:uid="{00000000-0006-0000-0700-0000DB010000}">
      <text>
        <r>
          <rPr>
            <b/>
            <sz val="8"/>
            <color indexed="81"/>
            <rFont val="Tahoma"/>
            <family val="2"/>
          </rPr>
          <t>Martin Shkreli:</t>
        </r>
        <r>
          <rPr>
            <sz val="8"/>
            <color indexed="81"/>
            <rFont val="Tahoma"/>
            <family val="2"/>
          </rPr>
          <t xml:space="preserve">
1165 jpm
1165 bear</t>
        </r>
      </text>
    </comment>
    <comment ref="S67" authorId="1" shapeId="0" xr:uid="{00000000-0006-0000-0700-0000DC010000}">
      <text>
        <r>
          <rPr>
            <b/>
            <sz val="8"/>
            <color indexed="81"/>
            <rFont val="Tahoma"/>
            <family val="2"/>
          </rPr>
          <t>Martin Shkreli:</t>
        </r>
        <r>
          <rPr>
            <sz val="8"/>
            <color indexed="81"/>
            <rFont val="Tahoma"/>
            <family val="2"/>
          </rPr>
          <t xml:space="preserve">
2120 bear</t>
        </r>
      </text>
    </comment>
    <comment ref="AI67" authorId="1" shapeId="0" xr:uid="{00000000-0006-0000-0700-0000DD010000}">
      <text>
        <r>
          <rPr>
            <b/>
            <sz val="8"/>
            <color indexed="81"/>
            <rFont val="Tahoma"/>
            <family val="2"/>
          </rPr>
          <t>Martin Shkreli:</t>
        </r>
        <r>
          <rPr>
            <sz val="8"/>
            <color indexed="81"/>
            <rFont val="Tahoma"/>
            <family val="2"/>
          </rPr>
          <t xml:space="preserve">
3960 bear</t>
        </r>
      </text>
    </comment>
    <comment ref="AJ67" authorId="1" shapeId="0" xr:uid="{00000000-0006-0000-0700-0000DE010000}">
      <text>
        <r>
          <rPr>
            <b/>
            <sz val="8"/>
            <color indexed="81"/>
            <rFont val="Tahoma"/>
            <family val="2"/>
          </rPr>
          <t>Martin Shkreli:</t>
        </r>
        <r>
          <rPr>
            <sz val="8"/>
            <color indexed="81"/>
            <rFont val="Tahoma"/>
            <family val="2"/>
          </rPr>
          <t xml:space="preserve">
3573 bear</t>
        </r>
      </text>
    </comment>
    <comment ref="AK67" authorId="1" shapeId="0" xr:uid="{00000000-0006-0000-0700-0000DF010000}">
      <text>
        <r>
          <rPr>
            <b/>
            <sz val="8"/>
            <color indexed="81"/>
            <rFont val="Tahoma"/>
            <family val="2"/>
          </rPr>
          <t>Martin Shkreli:</t>
        </r>
        <r>
          <rPr>
            <sz val="8"/>
            <color indexed="81"/>
            <rFont val="Tahoma"/>
            <family val="2"/>
          </rPr>
          <t xml:space="preserve">
3390 bear</t>
        </r>
      </text>
    </comment>
    <comment ref="AL67" authorId="1" shapeId="0" xr:uid="{00000000-0006-0000-0700-0000E0010000}">
      <text>
        <r>
          <rPr>
            <b/>
            <sz val="8"/>
            <color indexed="81"/>
            <rFont val="Tahoma"/>
            <family val="2"/>
          </rPr>
          <t>Martin Shkreli:</t>
        </r>
        <r>
          <rPr>
            <sz val="8"/>
            <color indexed="81"/>
            <rFont val="Tahoma"/>
            <family val="2"/>
          </rPr>
          <t xml:space="preserve">
2448 bear</t>
        </r>
      </text>
    </comment>
    <comment ref="AN67" authorId="1" shapeId="0" xr:uid="{00000000-0006-0000-0700-0000E1010000}">
      <text>
        <r>
          <rPr>
            <b/>
            <sz val="8"/>
            <color indexed="81"/>
            <rFont val="Tahoma"/>
            <family val="2"/>
          </rPr>
          <t>Martin Shkreli:</t>
        </r>
        <r>
          <rPr>
            <sz val="8"/>
            <color indexed="81"/>
            <rFont val="Tahoma"/>
            <family val="2"/>
          </rPr>
          <t xml:space="preserve">
3396 bear</t>
        </r>
      </text>
    </comment>
    <comment ref="DQ67" authorId="1" shapeId="0" xr:uid="{00000000-0006-0000-0700-0000E2010000}">
      <text>
        <r>
          <rPr>
            <b/>
            <sz val="8"/>
            <color indexed="81"/>
            <rFont val="Tahoma"/>
            <family val="2"/>
          </rPr>
          <t>Martin Shkreli:</t>
        </r>
        <r>
          <rPr>
            <sz val="8"/>
            <color indexed="81"/>
            <rFont val="Tahoma"/>
            <family val="2"/>
          </rPr>
          <t xml:space="preserve">
2024 bear</t>
        </r>
      </text>
    </comment>
    <comment ref="DR67" authorId="1" shapeId="0" xr:uid="{00000000-0006-0000-0700-0000E3010000}">
      <text>
        <r>
          <rPr>
            <b/>
            <sz val="8"/>
            <color indexed="81"/>
            <rFont val="Tahoma"/>
            <family val="2"/>
          </rPr>
          <t>Martin Shkreli:</t>
        </r>
        <r>
          <rPr>
            <sz val="8"/>
            <color indexed="81"/>
            <rFont val="Tahoma"/>
            <family val="2"/>
          </rPr>
          <t xml:space="preserve">
2029 bear</t>
        </r>
      </text>
    </comment>
    <comment ref="DS67" authorId="1" shapeId="0" xr:uid="{00000000-0006-0000-0700-0000E4010000}">
      <text>
        <r>
          <rPr>
            <b/>
            <sz val="8"/>
            <color indexed="81"/>
            <rFont val="Tahoma"/>
            <family val="2"/>
          </rPr>
          <t>Martin Shkreli:</t>
        </r>
        <r>
          <rPr>
            <sz val="8"/>
            <color indexed="81"/>
            <rFont val="Tahoma"/>
            <family val="2"/>
          </rPr>
          <t xml:space="preserve">
2179 bear</t>
        </r>
      </text>
    </comment>
    <comment ref="DT67" authorId="1" shapeId="0" xr:uid="{00000000-0006-0000-0700-0000E5010000}">
      <text>
        <r>
          <rPr>
            <b/>
            <sz val="8"/>
            <color indexed="81"/>
            <rFont val="Tahoma"/>
            <family val="2"/>
          </rPr>
          <t>Martin Shkreli:</t>
        </r>
        <r>
          <rPr>
            <sz val="8"/>
            <color indexed="81"/>
            <rFont val="Tahoma"/>
            <family val="2"/>
          </rPr>
          <t xml:space="preserve">
2309 bear</t>
        </r>
      </text>
    </comment>
    <comment ref="DU67" authorId="1" shapeId="0" xr:uid="{00000000-0006-0000-0700-0000E6010000}">
      <text>
        <r>
          <rPr>
            <b/>
            <sz val="8"/>
            <color indexed="81"/>
            <rFont val="Tahoma"/>
            <family val="2"/>
          </rPr>
          <t>Martin Shkreli:</t>
        </r>
        <r>
          <rPr>
            <sz val="8"/>
            <color indexed="81"/>
            <rFont val="Tahoma"/>
            <family val="2"/>
          </rPr>
          <t xml:space="preserve">
2744 bear</t>
        </r>
      </text>
    </comment>
    <comment ref="DV67" authorId="1" shapeId="0" xr:uid="{00000000-0006-0000-0700-0000E7010000}">
      <text>
        <r>
          <rPr>
            <b/>
            <sz val="8"/>
            <color indexed="81"/>
            <rFont val="Tahoma"/>
            <family val="2"/>
          </rPr>
          <t>Martin Shkreli:</t>
        </r>
        <r>
          <rPr>
            <sz val="8"/>
            <color indexed="81"/>
            <rFont val="Tahoma"/>
            <family val="2"/>
          </rPr>
          <t xml:space="preserve">
3447 bear</t>
        </r>
      </text>
    </comment>
    <comment ref="DW67" authorId="1" shapeId="0" xr:uid="{00000000-0006-0000-0700-0000E8010000}">
      <text>
        <r>
          <rPr>
            <b/>
            <sz val="8"/>
            <color indexed="81"/>
            <rFont val="Tahoma"/>
            <family val="2"/>
          </rPr>
          <t>Martin Shkreli:</t>
        </r>
        <r>
          <rPr>
            <sz val="8"/>
            <color indexed="81"/>
            <rFont val="Tahoma"/>
            <family val="2"/>
          </rPr>
          <t xml:space="preserve">
4245 bear</t>
        </r>
      </text>
    </comment>
    <comment ref="DX67" authorId="1" shapeId="0" xr:uid="{00000000-0006-0000-0700-0000E9010000}">
      <text>
        <r>
          <rPr>
            <b/>
            <sz val="8"/>
            <color indexed="81"/>
            <rFont val="Tahoma"/>
            <family val="2"/>
          </rPr>
          <t>Martin Shkreli:</t>
        </r>
        <r>
          <rPr>
            <sz val="8"/>
            <color indexed="81"/>
            <rFont val="Tahoma"/>
            <family val="2"/>
          </rPr>
          <t xml:space="preserve">
4614 bear</t>
        </r>
      </text>
    </comment>
    <comment ref="DY67" authorId="1" shapeId="0" xr:uid="{00000000-0006-0000-0700-0000EA010000}">
      <text>
        <r>
          <rPr>
            <b/>
            <sz val="8"/>
            <color indexed="81"/>
            <rFont val="Tahoma"/>
            <family val="2"/>
          </rPr>
          <t>Martin Shkreli:</t>
        </r>
        <r>
          <rPr>
            <sz val="8"/>
            <color indexed="81"/>
            <rFont val="Tahoma"/>
            <family val="2"/>
          </rPr>
          <t xml:space="preserve">
5080 bear</t>
        </r>
      </text>
    </comment>
    <comment ref="DZ67" authorId="1" shapeId="0" xr:uid="{00000000-0006-0000-0700-0000EB010000}">
      <text>
        <r>
          <rPr>
            <b/>
            <sz val="8"/>
            <color indexed="81"/>
            <rFont val="Tahoma"/>
            <family val="2"/>
          </rPr>
          <t>Martin Shkreli:</t>
        </r>
        <r>
          <rPr>
            <sz val="8"/>
            <color indexed="81"/>
            <rFont val="Tahoma"/>
            <family val="2"/>
          </rPr>
          <t xml:space="preserve">
5986 jpm
5985 bear</t>
        </r>
      </text>
    </comment>
    <comment ref="EA67" authorId="1" shapeId="0" xr:uid="{00000000-0006-0000-0700-0000EC010000}">
      <text>
        <r>
          <rPr>
            <b/>
            <sz val="8"/>
            <color indexed="81"/>
            <rFont val="Tahoma"/>
            <family val="2"/>
          </rPr>
          <t>Martin Shkreli:</t>
        </r>
        <r>
          <rPr>
            <sz val="8"/>
            <color indexed="81"/>
            <rFont val="Tahoma"/>
            <family val="2"/>
          </rPr>
          <t xml:space="preserve">
6615 jpm
6615 bear</t>
        </r>
      </text>
    </comment>
    <comment ref="EJ67" authorId="1" shapeId="0" xr:uid="{00000000-0006-0000-0700-0000ED010000}">
      <text>
        <r>
          <rPr>
            <b/>
            <sz val="8"/>
            <color indexed="81"/>
            <rFont val="Tahoma"/>
            <family val="2"/>
          </rPr>
          <t>Martin Shkreli:</t>
        </r>
        <r>
          <rPr>
            <sz val="8"/>
            <color indexed="81"/>
            <rFont val="Tahoma"/>
            <family val="2"/>
          </rPr>
          <t xml:space="preserve">
was 17.4 many years ago</t>
        </r>
      </text>
    </comment>
    <comment ref="EK67" authorId="1" shapeId="0" xr:uid="{00000000-0006-0000-0700-0000EE010000}">
      <text>
        <r>
          <rPr>
            <b/>
            <sz val="8"/>
            <color indexed="81"/>
            <rFont val="Tahoma"/>
            <family val="2"/>
          </rPr>
          <t>Martin Shkreli:</t>
        </r>
        <r>
          <rPr>
            <sz val="8"/>
            <color indexed="81"/>
            <rFont val="Tahoma"/>
            <family val="2"/>
          </rPr>
          <t xml:space="preserve">
was 17.9 many years ago</t>
        </r>
      </text>
    </comment>
    <comment ref="T68" authorId="1" shapeId="0" xr:uid="{00000000-0006-0000-0700-0000EF010000}">
      <text>
        <r>
          <rPr>
            <b/>
            <sz val="8"/>
            <color indexed="81"/>
            <rFont val="Tahoma"/>
            <family val="2"/>
          </rPr>
          <t>Martin Shkreli:</t>
        </r>
        <r>
          <rPr>
            <sz val="8"/>
            <color indexed="81"/>
            <rFont val="Tahoma"/>
            <family val="2"/>
          </rPr>
          <t xml:space="preserve">
78m Bear</t>
        </r>
      </text>
    </comment>
    <comment ref="AV68" authorId="13" shapeId="0" xr:uid="{00000000-0006-0000-0700-0000F0010000}">
      <text>
        <r>
          <rPr>
            <b/>
            <sz val="8"/>
            <color indexed="81"/>
            <rFont val="Tahoma"/>
            <family val="2"/>
          </rPr>
          <t>RBC:</t>
        </r>
        <r>
          <rPr>
            <sz val="8"/>
            <color indexed="81"/>
            <rFont val="Tahoma"/>
            <family val="2"/>
          </rPr>
          <t xml:space="preserve">
200m from Amgen?</t>
        </r>
      </text>
    </comment>
    <comment ref="DQ68" authorId="1" shapeId="0" xr:uid="{00000000-0006-0000-0700-0000F1010000}">
      <text>
        <r>
          <rPr>
            <b/>
            <sz val="8"/>
            <color indexed="81"/>
            <rFont val="Tahoma"/>
            <family val="2"/>
          </rPr>
          <t>Martin Shkreli:</t>
        </r>
        <r>
          <rPr>
            <sz val="8"/>
            <color indexed="81"/>
            <rFont val="Tahoma"/>
            <family val="2"/>
          </rPr>
          <t xml:space="preserve">
-362 bear</t>
        </r>
      </text>
    </comment>
    <comment ref="DR68" authorId="1" shapeId="0" xr:uid="{00000000-0006-0000-0700-0000F2010000}">
      <text>
        <r>
          <rPr>
            <b/>
            <sz val="8"/>
            <color indexed="81"/>
            <rFont val="Tahoma"/>
            <family val="2"/>
          </rPr>
          <t>Martin Shkreli:</t>
        </r>
        <r>
          <rPr>
            <sz val="8"/>
            <color indexed="81"/>
            <rFont val="Tahoma"/>
            <family val="2"/>
          </rPr>
          <t xml:space="preserve">
-57 bear</t>
        </r>
      </text>
    </comment>
    <comment ref="DS68" authorId="1" shapeId="0" xr:uid="{00000000-0006-0000-0700-0000F3010000}">
      <text>
        <r>
          <rPr>
            <b/>
            <sz val="8"/>
            <color indexed="81"/>
            <rFont val="Tahoma"/>
            <family val="2"/>
          </rPr>
          <t>Martin Shkreli:</t>
        </r>
        <r>
          <rPr>
            <sz val="8"/>
            <color indexed="81"/>
            <rFont val="Tahoma"/>
            <family val="2"/>
          </rPr>
          <t xml:space="preserve">
-60 bear</t>
        </r>
      </text>
    </comment>
    <comment ref="DT68" authorId="1" shapeId="0" xr:uid="{00000000-0006-0000-0700-0000F4010000}">
      <text>
        <r>
          <rPr>
            <b/>
            <sz val="8"/>
            <color indexed="81"/>
            <rFont val="Tahoma"/>
            <family val="2"/>
          </rPr>
          <t>Martin Shkreli:</t>
        </r>
        <r>
          <rPr>
            <sz val="8"/>
            <color indexed="81"/>
            <rFont val="Tahoma"/>
            <family val="2"/>
          </rPr>
          <t xml:space="preserve">
10 bear</t>
        </r>
      </text>
    </comment>
    <comment ref="DU68" authorId="1" shapeId="0" xr:uid="{00000000-0006-0000-0700-0000F5010000}">
      <text>
        <r>
          <rPr>
            <b/>
            <sz val="8"/>
            <color indexed="81"/>
            <rFont val="Tahoma"/>
            <family val="2"/>
          </rPr>
          <t>Martin Shkreli:</t>
        </r>
        <r>
          <rPr>
            <sz val="8"/>
            <color indexed="81"/>
            <rFont val="Tahoma"/>
            <family val="2"/>
          </rPr>
          <t xml:space="preserve">
-92 bear</t>
        </r>
      </text>
    </comment>
    <comment ref="DV68" authorId="1" shapeId="0" xr:uid="{00000000-0006-0000-0700-0000F6010000}">
      <text>
        <r>
          <rPr>
            <b/>
            <sz val="8"/>
            <color indexed="81"/>
            <rFont val="Tahoma"/>
            <family val="2"/>
          </rPr>
          <t>Martin Shkreli:</t>
        </r>
        <r>
          <rPr>
            <sz val="8"/>
            <color indexed="81"/>
            <rFont val="Tahoma"/>
            <family val="2"/>
          </rPr>
          <t xml:space="preserve">
-103 bear</t>
        </r>
      </text>
    </comment>
    <comment ref="DW68" authorId="1" shapeId="0" xr:uid="{00000000-0006-0000-0700-0000F7010000}">
      <text>
        <r>
          <rPr>
            <b/>
            <sz val="8"/>
            <color indexed="81"/>
            <rFont val="Tahoma"/>
            <family val="2"/>
          </rPr>
          <t>Martin Shkreli:</t>
        </r>
        <r>
          <rPr>
            <sz val="8"/>
            <color indexed="81"/>
            <rFont val="Tahoma"/>
            <family val="2"/>
          </rPr>
          <t xml:space="preserve">
-102 bear</t>
        </r>
      </text>
    </comment>
    <comment ref="DX68" authorId="1" shapeId="0" xr:uid="{00000000-0006-0000-0700-0000F8010000}">
      <text>
        <r>
          <rPr>
            <b/>
            <sz val="8"/>
            <color indexed="81"/>
            <rFont val="Tahoma"/>
            <family val="2"/>
          </rPr>
          <t>Martin Shkreli:</t>
        </r>
        <r>
          <rPr>
            <sz val="8"/>
            <color indexed="81"/>
            <rFont val="Tahoma"/>
            <family val="2"/>
          </rPr>
          <t xml:space="preserve">
94 bear</t>
        </r>
      </text>
    </comment>
    <comment ref="DY68" authorId="1" shapeId="0" xr:uid="{00000000-0006-0000-0700-0000F9010000}">
      <text>
        <r>
          <rPr>
            <b/>
            <sz val="8"/>
            <color indexed="81"/>
            <rFont val="Tahoma"/>
            <family val="2"/>
          </rPr>
          <t>Martin Shkreli:</t>
        </r>
        <r>
          <rPr>
            <sz val="8"/>
            <color indexed="81"/>
            <rFont val="Tahoma"/>
            <family val="2"/>
          </rPr>
          <t xml:space="preserve">
104 bear</t>
        </r>
      </text>
    </comment>
    <comment ref="DZ68" authorId="1" shapeId="0" xr:uid="{00000000-0006-0000-0700-0000FA010000}">
      <text>
        <r>
          <rPr>
            <b/>
            <sz val="8"/>
            <color indexed="81"/>
            <rFont val="Tahoma"/>
            <family val="2"/>
          </rPr>
          <t>Martin Shkreli:</t>
        </r>
        <r>
          <rPr>
            <sz val="8"/>
            <color indexed="81"/>
            <rFont val="Tahoma"/>
            <family val="2"/>
          </rPr>
          <t xml:space="preserve">
-108 bear</t>
        </r>
      </text>
    </comment>
    <comment ref="EA68" authorId="1" shapeId="0" xr:uid="{00000000-0006-0000-0700-0000FB010000}">
      <text>
        <r>
          <rPr>
            <b/>
            <sz val="8"/>
            <color indexed="81"/>
            <rFont val="Tahoma"/>
            <family val="2"/>
          </rPr>
          <t>Martin Shkreli:</t>
        </r>
        <r>
          <rPr>
            <sz val="8"/>
            <color indexed="81"/>
            <rFont val="Tahoma"/>
            <family val="2"/>
          </rPr>
          <t xml:space="preserve">
350 bear</t>
        </r>
      </text>
    </comment>
    <comment ref="EB68" authorId="1" shapeId="0" xr:uid="{00000000-0006-0000-0700-0000FC010000}">
      <text>
        <r>
          <rPr>
            <b/>
            <sz val="8"/>
            <color indexed="81"/>
            <rFont val="Tahoma"/>
            <family val="2"/>
          </rPr>
          <t>Martin Shkreli:</t>
        </r>
        <r>
          <rPr>
            <sz val="8"/>
            <color indexed="81"/>
            <rFont val="Tahoma"/>
            <family val="2"/>
          </rPr>
          <t xml:space="preserve">
265 bear</t>
        </r>
      </text>
    </comment>
    <comment ref="EH68"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68"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9" authorId="1" shapeId="0" xr:uid="{00000000-0006-0000-0700-0000FF010000}">
      <text>
        <r>
          <rPr>
            <b/>
            <sz val="8"/>
            <color indexed="81"/>
            <rFont val="Tahoma"/>
            <family val="2"/>
          </rPr>
          <t>Martin Shkreli:</t>
        </r>
        <r>
          <rPr>
            <sz val="8"/>
            <color indexed="81"/>
            <rFont val="Tahoma"/>
            <family val="2"/>
          </rPr>
          <t xml:space="preserve">
-6 jpm actual</t>
        </r>
      </text>
    </comment>
    <comment ref="T69" authorId="1" shapeId="0" xr:uid="{00000000-0006-0000-0700-000000020000}">
      <text>
        <r>
          <rPr>
            <b/>
            <sz val="8"/>
            <color indexed="81"/>
            <rFont val="Tahoma"/>
            <family val="2"/>
          </rPr>
          <t>Martin Shkreli:</t>
        </r>
        <r>
          <rPr>
            <sz val="8"/>
            <color indexed="81"/>
            <rFont val="Tahoma"/>
            <family val="2"/>
          </rPr>
          <t xml:space="preserve">
8m Bear</t>
        </r>
      </text>
    </comment>
    <comment ref="AE69" authorId="2" shapeId="0" xr:uid="{00000000-0006-0000-0700-000001020000}">
      <text>
        <r>
          <rPr>
            <sz val="8"/>
            <color indexed="8"/>
            <rFont val="Times New Roman"/>
            <family val="1"/>
          </rPr>
          <t>Includes gain on sale from orthopedics casting business</t>
        </r>
      </text>
    </comment>
    <comment ref="AM69" authorId="2" shapeId="0" xr:uid="{00000000-0006-0000-0700-000002020000}">
      <text>
        <r>
          <rPr>
            <b/>
            <sz val="8"/>
            <color indexed="8"/>
            <rFont val="Times New Roman"/>
            <family val="1"/>
          </rPr>
          <t xml:space="preserve">Martin Shkreli:
</t>
        </r>
        <r>
          <rPr>
            <sz val="8"/>
            <color indexed="8"/>
            <rFont val="Times New Roman"/>
            <family val="1"/>
          </rPr>
          <t>GDT fee</t>
        </r>
      </text>
    </comment>
    <comment ref="K70" authorId="1" shapeId="0" xr:uid="{00000000-0006-0000-0700-000003020000}">
      <text>
        <r>
          <rPr>
            <b/>
            <sz val="8"/>
            <color indexed="81"/>
            <rFont val="Tahoma"/>
            <family val="2"/>
          </rPr>
          <t>Martin Shkreli:</t>
        </r>
        <r>
          <rPr>
            <sz val="8"/>
            <color indexed="81"/>
            <rFont val="Tahoma"/>
            <family val="2"/>
          </rPr>
          <t xml:space="preserve">
1650 jpm</t>
        </r>
      </text>
    </comment>
    <comment ref="L70" authorId="1" shapeId="0" xr:uid="{00000000-0006-0000-0700-000004020000}">
      <text>
        <r>
          <rPr>
            <b/>
            <sz val="8"/>
            <color indexed="81"/>
            <rFont val="Tahoma"/>
            <family val="2"/>
          </rPr>
          <t>Martin Shkreli:</t>
        </r>
        <r>
          <rPr>
            <sz val="8"/>
            <color indexed="81"/>
            <rFont val="Tahoma"/>
            <family val="2"/>
          </rPr>
          <t xml:space="preserve">
1676 jpm</t>
        </r>
      </text>
    </comment>
    <comment ref="M70" authorId="1" shapeId="0" xr:uid="{00000000-0006-0000-0700-000005020000}">
      <text>
        <r>
          <rPr>
            <b/>
            <sz val="8"/>
            <color indexed="81"/>
            <rFont val="Tahoma"/>
            <family val="2"/>
          </rPr>
          <t>Martin Shkreli:</t>
        </r>
        <r>
          <rPr>
            <sz val="8"/>
            <color indexed="81"/>
            <rFont val="Tahoma"/>
            <family val="2"/>
          </rPr>
          <t xml:space="preserve">
1593 jpm</t>
        </r>
      </text>
    </comment>
    <comment ref="N70" authorId="1" shapeId="0" xr:uid="{00000000-0006-0000-0700-000006020000}">
      <text>
        <r>
          <rPr>
            <b/>
            <sz val="8"/>
            <color indexed="81"/>
            <rFont val="Tahoma"/>
            <family val="2"/>
          </rPr>
          <t>Martin Shkreli:</t>
        </r>
        <r>
          <rPr>
            <sz val="8"/>
            <color indexed="81"/>
            <rFont val="Tahoma"/>
            <family val="2"/>
          </rPr>
          <t xml:space="preserve">
978 jpm</t>
        </r>
      </text>
    </comment>
    <comment ref="O70" authorId="1" shapeId="0" xr:uid="{00000000-0006-0000-0700-000007020000}">
      <text>
        <r>
          <rPr>
            <b/>
            <sz val="8"/>
            <color indexed="81"/>
            <rFont val="Tahoma"/>
            <family val="2"/>
          </rPr>
          <t>Martin Shkreli:</t>
        </r>
        <r>
          <rPr>
            <sz val="8"/>
            <color indexed="81"/>
            <rFont val="Tahoma"/>
            <family val="2"/>
          </rPr>
          <t xml:space="preserve">
1936 jpm
1936 bear</t>
        </r>
      </text>
    </comment>
    <comment ref="P70" authorId="1" shapeId="0" xr:uid="{00000000-0006-0000-0700-000008020000}">
      <text>
        <r>
          <rPr>
            <b/>
            <sz val="8"/>
            <color indexed="81"/>
            <rFont val="Tahoma"/>
            <family val="2"/>
          </rPr>
          <t>Martin Shkreli:</t>
        </r>
        <r>
          <rPr>
            <sz val="8"/>
            <color indexed="81"/>
            <rFont val="Tahoma"/>
            <family val="2"/>
          </rPr>
          <t xml:space="preserve">
1927 jpm
1927 bear</t>
        </r>
      </text>
    </comment>
    <comment ref="Q70" authorId="1" shapeId="0" xr:uid="{00000000-0006-0000-0700-000009020000}">
      <text>
        <r>
          <rPr>
            <b/>
            <sz val="8"/>
            <color indexed="81"/>
            <rFont val="Tahoma"/>
            <family val="2"/>
          </rPr>
          <t>Martin Shkreli:</t>
        </r>
        <r>
          <rPr>
            <sz val="8"/>
            <color indexed="81"/>
            <rFont val="Tahoma"/>
            <family val="2"/>
          </rPr>
          <t xml:space="preserve">
1848 jpm
1848 bear</t>
        </r>
      </text>
    </comment>
    <comment ref="R70" authorId="1" shapeId="0" xr:uid="{00000000-0006-0000-0700-00000A020000}">
      <text>
        <r>
          <rPr>
            <b/>
            <sz val="8"/>
            <color indexed="81"/>
            <rFont val="Tahoma"/>
            <family val="2"/>
          </rPr>
          <t>Martin Shkreli:</t>
        </r>
        <r>
          <rPr>
            <sz val="8"/>
            <color indexed="81"/>
            <rFont val="Tahoma"/>
            <family val="2"/>
          </rPr>
          <t xml:space="preserve">
1220 jpm
1254 bear</t>
        </r>
      </text>
    </comment>
    <comment ref="S70" authorId="1" shapeId="0" xr:uid="{00000000-0006-0000-0700-00000B020000}">
      <text>
        <r>
          <rPr>
            <b/>
            <sz val="8"/>
            <color indexed="81"/>
            <rFont val="Tahoma"/>
            <family val="2"/>
          </rPr>
          <t>Martin Shkreli:</t>
        </r>
        <r>
          <rPr>
            <sz val="8"/>
            <color indexed="81"/>
            <rFont val="Tahoma"/>
            <family val="2"/>
          </rPr>
          <t xml:space="preserve">
2218 bear</t>
        </r>
      </text>
    </comment>
    <comment ref="T70" authorId="1" shapeId="0" xr:uid="{00000000-0006-0000-0700-00000C020000}">
      <text>
        <r>
          <rPr>
            <b/>
            <sz val="8"/>
            <color indexed="81"/>
            <rFont val="Tahoma"/>
            <family val="2"/>
          </rPr>
          <t>Martin Shkreli:</t>
        </r>
        <r>
          <rPr>
            <sz val="8"/>
            <color indexed="81"/>
            <rFont val="Tahoma"/>
            <family val="2"/>
          </rPr>
          <t xml:space="preserve">
2238 bear</t>
        </r>
      </text>
    </comment>
    <comment ref="U70" authorId="1" shapeId="0" xr:uid="{00000000-0006-0000-0700-00000D020000}">
      <text>
        <r>
          <rPr>
            <b/>
            <sz val="8"/>
            <color indexed="81"/>
            <rFont val="Tahoma"/>
            <family val="2"/>
          </rPr>
          <t>Martin Shkreli:</t>
        </r>
        <r>
          <rPr>
            <sz val="8"/>
            <color indexed="81"/>
            <rFont val="Tahoma"/>
            <family val="2"/>
          </rPr>
          <t xml:space="preserve">
2146 bear</t>
        </r>
      </text>
    </comment>
    <comment ref="X70" authorId="1" shapeId="0" xr:uid="{00000000-0006-0000-0700-00000E020000}">
      <text>
        <r>
          <rPr>
            <b/>
            <sz val="8"/>
            <color indexed="81"/>
            <rFont val="Tahoma"/>
            <family val="2"/>
          </rPr>
          <t>Martin Shkreli:</t>
        </r>
        <r>
          <rPr>
            <sz val="8"/>
            <color indexed="81"/>
            <rFont val="Tahoma"/>
            <family val="2"/>
          </rPr>
          <t xml:space="preserve">
2617 bear</t>
        </r>
      </text>
    </comment>
    <comment ref="AD70" authorId="1" shapeId="0" xr:uid="{00000000-0006-0000-0700-00000F020000}">
      <text>
        <r>
          <rPr>
            <b/>
            <sz val="8"/>
            <color indexed="81"/>
            <rFont val="Tahoma"/>
            <family val="2"/>
          </rPr>
          <t>Martin Shkreli:</t>
        </r>
        <r>
          <rPr>
            <sz val="8"/>
            <color indexed="81"/>
            <rFont val="Tahoma"/>
            <family val="2"/>
          </rPr>
          <t xml:space="preserve">
2232 bear</t>
        </r>
      </text>
    </comment>
    <comment ref="AE70" authorId="1" shapeId="0" xr:uid="{00000000-0006-0000-0700-000010020000}">
      <text>
        <r>
          <rPr>
            <b/>
            <sz val="8"/>
            <color indexed="81"/>
            <rFont val="Tahoma"/>
            <family val="2"/>
          </rPr>
          <t>Martin Shkreli:</t>
        </r>
        <r>
          <rPr>
            <sz val="8"/>
            <color indexed="81"/>
            <rFont val="Tahoma"/>
            <family val="2"/>
          </rPr>
          <t xml:space="preserve">
3516 bear</t>
        </r>
      </text>
    </comment>
    <comment ref="AI70" authorId="1" shapeId="0" xr:uid="{00000000-0006-0000-0700-000011020000}">
      <text>
        <r>
          <rPr>
            <b/>
            <sz val="8"/>
            <color indexed="81"/>
            <rFont val="Tahoma"/>
            <family val="2"/>
          </rPr>
          <t>Martin Shkreli:</t>
        </r>
        <r>
          <rPr>
            <sz val="8"/>
            <color indexed="81"/>
            <rFont val="Tahoma"/>
            <family val="2"/>
          </rPr>
          <t xml:space="preserve">
4062 bear</t>
        </r>
      </text>
    </comment>
    <comment ref="AJ70" authorId="1" shapeId="0" xr:uid="{00000000-0006-0000-0700-000012020000}">
      <text>
        <r>
          <rPr>
            <b/>
            <sz val="8"/>
            <color indexed="81"/>
            <rFont val="Tahoma"/>
            <family val="2"/>
          </rPr>
          <t>Martin Shkreli:</t>
        </r>
        <r>
          <rPr>
            <sz val="8"/>
            <color indexed="81"/>
            <rFont val="Tahoma"/>
            <family val="2"/>
          </rPr>
          <t xml:space="preserve">
3755 bear</t>
        </r>
      </text>
    </comment>
    <comment ref="AK70" authorId="1" shapeId="0" xr:uid="{00000000-0006-0000-0700-000013020000}">
      <text>
        <r>
          <rPr>
            <b/>
            <sz val="8"/>
            <color indexed="81"/>
            <rFont val="Tahoma"/>
            <family val="2"/>
          </rPr>
          <t>Martin Shkreli:</t>
        </r>
        <r>
          <rPr>
            <sz val="8"/>
            <color indexed="81"/>
            <rFont val="Tahoma"/>
            <family val="2"/>
          </rPr>
          <t xml:space="preserve">
3554 bear</t>
        </r>
      </text>
    </comment>
    <comment ref="AL70" authorId="1" shapeId="0" xr:uid="{00000000-0006-0000-0700-000014020000}">
      <text>
        <r>
          <rPr>
            <b/>
            <sz val="8"/>
            <color indexed="81"/>
            <rFont val="Tahoma"/>
            <family val="2"/>
          </rPr>
          <t>Martin Shkreli:</t>
        </r>
        <r>
          <rPr>
            <sz val="8"/>
            <color indexed="81"/>
            <rFont val="Tahoma"/>
            <family val="2"/>
          </rPr>
          <t xml:space="preserve">
2647 bear</t>
        </r>
      </text>
    </comment>
    <comment ref="AM70" authorId="1" shapeId="0" xr:uid="{00000000-0006-0000-0700-000015020000}">
      <text>
        <r>
          <rPr>
            <b/>
            <sz val="8"/>
            <color indexed="81"/>
            <rFont val="Tahoma"/>
            <family val="2"/>
          </rPr>
          <t>Martin Shkreli:</t>
        </r>
        <r>
          <rPr>
            <sz val="8"/>
            <color indexed="81"/>
            <rFont val="Tahoma"/>
            <family val="2"/>
          </rPr>
          <t xml:space="preserve">
4030 bear</t>
        </r>
      </text>
    </comment>
    <comment ref="CI70" authorId="32"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0" authorId="33"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0" authorId="34"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0" authorId="35"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0" authorId="36"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0" authorId="37"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0" authorId="38"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0" authorId="1" shapeId="0" xr:uid="{00000000-0006-0000-0700-000016020000}">
      <text>
        <r>
          <rPr>
            <b/>
            <sz val="8"/>
            <color indexed="81"/>
            <rFont val="Tahoma"/>
            <family val="2"/>
          </rPr>
          <t>Martin Shkreli:</t>
        </r>
        <r>
          <rPr>
            <sz val="8"/>
            <color indexed="81"/>
            <rFont val="Tahoma"/>
            <family val="2"/>
          </rPr>
          <t xml:space="preserve">
1662 bear</t>
        </r>
      </text>
    </comment>
    <comment ref="DR70" authorId="1" shapeId="0" xr:uid="{00000000-0006-0000-0700-000017020000}">
      <text>
        <r>
          <rPr>
            <b/>
            <sz val="8"/>
            <color indexed="81"/>
            <rFont val="Tahoma"/>
            <family val="2"/>
          </rPr>
          <t>Martin Shkreli:</t>
        </r>
        <r>
          <rPr>
            <sz val="8"/>
            <color indexed="81"/>
            <rFont val="Tahoma"/>
            <family val="2"/>
          </rPr>
          <t xml:space="preserve">
1972 bear</t>
        </r>
      </text>
    </comment>
    <comment ref="DS70" authorId="1" shapeId="0" xr:uid="{00000000-0006-0000-0700-000018020000}">
      <text>
        <r>
          <rPr>
            <b/>
            <sz val="8"/>
            <color indexed="81"/>
            <rFont val="Tahoma"/>
            <family val="2"/>
          </rPr>
          <t>Martin Shkreli:</t>
        </r>
        <r>
          <rPr>
            <sz val="8"/>
            <color indexed="81"/>
            <rFont val="Tahoma"/>
            <family val="2"/>
          </rPr>
          <t xml:space="preserve">
2119 bear</t>
        </r>
      </text>
    </comment>
    <comment ref="DT70" authorId="1" shapeId="0" xr:uid="{00000000-0006-0000-0700-000019020000}">
      <text>
        <r>
          <rPr>
            <b/>
            <sz val="8"/>
            <color indexed="81"/>
            <rFont val="Tahoma"/>
            <family val="2"/>
          </rPr>
          <t>Martin Shkreli:</t>
        </r>
        <r>
          <rPr>
            <sz val="8"/>
            <color indexed="81"/>
            <rFont val="Tahoma"/>
            <family val="2"/>
          </rPr>
          <t xml:space="preserve">
2319 bear</t>
        </r>
      </text>
    </comment>
    <comment ref="DU70" authorId="1" shapeId="0" xr:uid="{00000000-0006-0000-0700-00001A020000}">
      <text>
        <r>
          <rPr>
            <b/>
            <sz val="8"/>
            <color indexed="81"/>
            <rFont val="Tahoma"/>
            <family val="2"/>
          </rPr>
          <t>Martin Shkreli:</t>
        </r>
        <r>
          <rPr>
            <sz val="8"/>
            <color indexed="81"/>
            <rFont val="Tahoma"/>
            <family val="2"/>
          </rPr>
          <t xml:space="preserve">
2652 bear</t>
        </r>
      </text>
    </comment>
    <comment ref="DV70" authorId="1" shapeId="0" xr:uid="{00000000-0006-0000-0700-00001B020000}">
      <text>
        <r>
          <rPr>
            <b/>
            <sz val="8"/>
            <color indexed="81"/>
            <rFont val="Tahoma"/>
            <family val="2"/>
          </rPr>
          <t>Martin Shkreli:</t>
        </r>
        <r>
          <rPr>
            <sz val="8"/>
            <color indexed="81"/>
            <rFont val="Tahoma"/>
            <family val="2"/>
          </rPr>
          <t xml:space="preserve">
3344 bear</t>
        </r>
      </text>
    </comment>
    <comment ref="DW70" authorId="1" shapeId="0" xr:uid="{00000000-0006-0000-0700-00001C020000}">
      <text>
        <r>
          <rPr>
            <b/>
            <sz val="8"/>
            <color indexed="81"/>
            <rFont val="Tahoma"/>
            <family val="2"/>
          </rPr>
          <t>Martin Shkreli:</t>
        </r>
        <r>
          <rPr>
            <sz val="8"/>
            <color indexed="81"/>
            <rFont val="Tahoma"/>
            <family val="2"/>
          </rPr>
          <t xml:space="preserve">
4143 bear</t>
        </r>
      </text>
    </comment>
    <comment ref="DX70" authorId="1" shapeId="0" xr:uid="{00000000-0006-0000-0700-00001D020000}">
      <text>
        <r>
          <rPr>
            <b/>
            <sz val="8"/>
            <color indexed="81"/>
            <rFont val="Tahoma"/>
            <family val="2"/>
          </rPr>
          <t>Martin Shkreli:</t>
        </r>
        <r>
          <rPr>
            <sz val="8"/>
            <color indexed="81"/>
            <rFont val="Tahoma"/>
            <family val="2"/>
          </rPr>
          <t xml:space="preserve">
4708 bear</t>
        </r>
      </text>
    </comment>
    <comment ref="DY70" authorId="1" shapeId="0" xr:uid="{00000000-0006-0000-0700-00001E020000}">
      <text>
        <r>
          <rPr>
            <b/>
            <sz val="8"/>
            <color indexed="81"/>
            <rFont val="Tahoma"/>
            <family val="2"/>
          </rPr>
          <t>Martin Shkreli:</t>
        </r>
        <r>
          <rPr>
            <sz val="8"/>
            <color indexed="81"/>
            <rFont val="Tahoma"/>
            <family val="2"/>
          </rPr>
          <t xml:space="preserve">
5184 bear</t>
        </r>
      </text>
    </comment>
    <comment ref="DZ70" authorId="1" shapeId="0" xr:uid="{00000000-0006-0000-0700-00001F020000}">
      <text>
        <r>
          <rPr>
            <b/>
            <sz val="8"/>
            <color indexed="81"/>
            <rFont val="Tahoma"/>
            <family val="2"/>
          </rPr>
          <t>Martin Shkreli:</t>
        </r>
        <r>
          <rPr>
            <sz val="8"/>
            <color indexed="81"/>
            <rFont val="Tahoma"/>
            <family val="2"/>
          </rPr>
          <t xml:space="preserve">
5896 jpm
5877 bear</t>
        </r>
      </text>
    </comment>
    <comment ref="EA70" authorId="1" shapeId="0" xr:uid="{00000000-0006-0000-0700-000020020000}">
      <text>
        <r>
          <rPr>
            <b/>
            <sz val="8"/>
            <color indexed="81"/>
            <rFont val="Tahoma"/>
            <family val="2"/>
          </rPr>
          <t>Martin Shkreli:</t>
        </r>
        <r>
          <rPr>
            <sz val="8"/>
            <color indexed="81"/>
            <rFont val="Tahoma"/>
            <family val="2"/>
          </rPr>
          <t xml:space="preserve">
6930 jpm
6964 bear</t>
        </r>
      </text>
    </comment>
    <comment ref="EB70" authorId="1" shapeId="0" xr:uid="{00000000-0006-0000-0700-000021020000}">
      <text>
        <r>
          <rPr>
            <b/>
            <sz val="8"/>
            <color indexed="81"/>
            <rFont val="Tahoma"/>
            <family val="2"/>
          </rPr>
          <t>Martin Shkreli:</t>
        </r>
        <r>
          <rPr>
            <sz val="8"/>
            <color indexed="81"/>
            <rFont val="Tahoma"/>
            <family val="2"/>
          </rPr>
          <t xml:space="preserve">
8151 bear</t>
        </r>
      </text>
    </comment>
    <comment ref="ED70" authorId="1" shapeId="0" xr:uid="{00000000-0006-0000-0700-000022020000}">
      <text>
        <r>
          <rPr>
            <b/>
            <sz val="8"/>
            <color indexed="81"/>
            <rFont val="Tahoma"/>
            <family val="2"/>
          </rPr>
          <t>Martin Shkreli:</t>
        </r>
        <r>
          <rPr>
            <sz val="8"/>
            <color indexed="81"/>
            <rFont val="Tahoma"/>
            <family val="2"/>
          </rPr>
          <t xml:space="preserve">
11084 bear</t>
        </r>
      </text>
    </comment>
    <comment ref="K71" authorId="1" shapeId="0" xr:uid="{00000000-0006-0000-0700-000023020000}">
      <text>
        <r>
          <rPr>
            <b/>
            <sz val="8"/>
            <color indexed="81"/>
            <rFont val="Tahoma"/>
            <family val="2"/>
          </rPr>
          <t>Martin Shkreli:</t>
        </r>
        <r>
          <rPr>
            <sz val="8"/>
            <color indexed="81"/>
            <rFont val="Tahoma"/>
            <family val="2"/>
          </rPr>
          <t xml:space="preserve">
493 jpm</t>
        </r>
      </text>
    </comment>
    <comment ref="L71" authorId="1" shapeId="0" xr:uid="{00000000-0006-0000-0700-000024020000}">
      <text>
        <r>
          <rPr>
            <b/>
            <sz val="8"/>
            <color indexed="81"/>
            <rFont val="Tahoma"/>
            <family val="2"/>
          </rPr>
          <t>Martin Shkreli:</t>
        </r>
        <r>
          <rPr>
            <sz val="8"/>
            <color indexed="81"/>
            <rFont val="Tahoma"/>
            <family val="2"/>
          </rPr>
          <t xml:space="preserve">
472 jpm</t>
        </r>
      </text>
    </comment>
    <comment ref="M71" authorId="1" shapeId="0" xr:uid="{00000000-0006-0000-0700-000025020000}">
      <text>
        <r>
          <rPr>
            <b/>
            <sz val="8"/>
            <color indexed="81"/>
            <rFont val="Tahoma"/>
            <family val="2"/>
          </rPr>
          <t>Martin Shkreli:</t>
        </r>
        <r>
          <rPr>
            <sz val="8"/>
            <color indexed="81"/>
            <rFont val="Tahoma"/>
            <family val="2"/>
          </rPr>
          <t xml:space="preserve">
428 jpm</t>
        </r>
      </text>
    </comment>
    <comment ref="N71" authorId="1" shapeId="0" xr:uid="{00000000-0006-0000-0700-000026020000}">
      <text>
        <r>
          <rPr>
            <b/>
            <sz val="8"/>
            <color indexed="81"/>
            <rFont val="Tahoma"/>
            <family val="2"/>
          </rPr>
          <t>Martin Shkreli:</t>
        </r>
        <r>
          <rPr>
            <sz val="8"/>
            <color indexed="81"/>
            <rFont val="Tahoma"/>
            <family val="2"/>
          </rPr>
          <t xml:space="preserve">
215 jpm</t>
        </r>
      </text>
    </comment>
    <comment ref="O71" authorId="1" shapeId="0" xr:uid="{00000000-0006-0000-0700-000027020000}">
      <text>
        <r>
          <rPr>
            <b/>
            <sz val="8"/>
            <color indexed="81"/>
            <rFont val="Tahoma"/>
            <family val="2"/>
          </rPr>
          <t>Martin Shkreli:</t>
        </r>
        <r>
          <rPr>
            <sz val="8"/>
            <color indexed="81"/>
            <rFont val="Tahoma"/>
            <family val="2"/>
          </rPr>
          <t xml:space="preserve">
590 jpm
590 bear</t>
        </r>
      </text>
    </comment>
    <comment ref="P71" authorId="1" shapeId="0" xr:uid="{00000000-0006-0000-0700-000028020000}">
      <text>
        <r>
          <rPr>
            <b/>
            <sz val="8"/>
            <color indexed="81"/>
            <rFont val="Tahoma"/>
            <family val="2"/>
          </rPr>
          <t>Martin Shkreli:</t>
        </r>
        <r>
          <rPr>
            <sz val="8"/>
            <color indexed="81"/>
            <rFont val="Tahoma"/>
            <family val="2"/>
          </rPr>
          <t xml:space="preserve">
554 jpm
555 bear</t>
        </r>
      </text>
    </comment>
    <comment ref="Q71" authorId="1" shapeId="0" xr:uid="{00000000-0006-0000-0700-000029020000}">
      <text>
        <r>
          <rPr>
            <b/>
            <sz val="8"/>
            <color indexed="81"/>
            <rFont val="Tahoma"/>
            <family val="2"/>
          </rPr>
          <t>Martin Shkreli:</t>
        </r>
        <r>
          <rPr>
            <sz val="8"/>
            <color indexed="81"/>
            <rFont val="Tahoma"/>
            <family val="2"/>
          </rPr>
          <t xml:space="preserve">
514 jpm
515 bear</t>
        </r>
      </text>
    </comment>
    <comment ref="R71" authorId="1" shapeId="0" xr:uid="{00000000-0006-0000-0700-00002A020000}">
      <text>
        <r>
          <rPr>
            <b/>
            <sz val="8"/>
            <color indexed="81"/>
            <rFont val="Tahoma"/>
            <family val="2"/>
          </rPr>
          <t>Martin Shkreli:</t>
        </r>
        <r>
          <rPr>
            <sz val="8"/>
            <color indexed="81"/>
            <rFont val="Tahoma"/>
            <family val="2"/>
          </rPr>
          <t xml:space="preserve">
274 jpm
261 bear</t>
        </r>
      </text>
    </comment>
    <comment ref="S71" authorId="1" shapeId="0" xr:uid="{00000000-0006-0000-0700-00002B020000}">
      <text>
        <r>
          <rPr>
            <b/>
            <sz val="8"/>
            <color indexed="81"/>
            <rFont val="Tahoma"/>
            <family val="2"/>
          </rPr>
          <t>Martin Shkreli:</t>
        </r>
        <r>
          <rPr>
            <sz val="8"/>
            <color indexed="81"/>
            <rFont val="Tahoma"/>
            <family val="2"/>
          </rPr>
          <t xml:space="preserve">
665 bear
669 jpm</t>
        </r>
      </text>
    </comment>
    <comment ref="T71" authorId="1" shapeId="0" xr:uid="{00000000-0006-0000-0700-00002C020000}">
      <text>
        <r>
          <rPr>
            <b/>
            <sz val="8"/>
            <color indexed="81"/>
            <rFont val="Tahoma"/>
            <family val="2"/>
          </rPr>
          <t>Martin Shkreli:</t>
        </r>
        <r>
          <rPr>
            <sz val="8"/>
            <color indexed="81"/>
            <rFont val="Tahoma"/>
            <family val="2"/>
          </rPr>
          <t xml:space="preserve">
654 bear</t>
        </r>
      </text>
    </comment>
    <comment ref="U71" authorId="1" shapeId="0" xr:uid="{00000000-0006-0000-0700-00002D020000}">
      <text>
        <r>
          <rPr>
            <b/>
            <sz val="8"/>
            <color indexed="81"/>
            <rFont val="Tahoma"/>
            <family val="2"/>
          </rPr>
          <t>Martin Shkreli:</t>
        </r>
        <r>
          <rPr>
            <sz val="8"/>
            <color indexed="81"/>
            <rFont val="Tahoma"/>
            <family val="2"/>
          </rPr>
          <t xml:space="preserve">
593 bear</t>
        </r>
      </text>
    </comment>
    <comment ref="AA71" authorId="1" shapeId="0" xr:uid="{00000000-0006-0000-0700-00002E020000}">
      <text>
        <r>
          <rPr>
            <b/>
            <sz val="8"/>
            <color indexed="81"/>
            <rFont val="Tahoma"/>
            <family val="2"/>
          </rPr>
          <t>Martin Shkreli:</t>
        </r>
        <r>
          <rPr>
            <sz val="8"/>
            <color indexed="81"/>
            <rFont val="Tahoma"/>
            <family val="2"/>
          </rPr>
          <t xml:space="preserve">
862 bear</t>
        </r>
      </text>
    </comment>
    <comment ref="AI71" authorId="1" shapeId="0" xr:uid="{00000000-0006-0000-0700-00002F020000}">
      <text>
        <r>
          <rPr>
            <b/>
            <sz val="8"/>
            <color indexed="81"/>
            <rFont val="Tahoma"/>
            <family val="2"/>
          </rPr>
          <t>Martin Shkreli:</t>
        </r>
        <r>
          <rPr>
            <sz val="8"/>
            <color indexed="81"/>
            <rFont val="Tahoma"/>
            <family val="2"/>
          </rPr>
          <t xml:space="preserve">
1135 bear</t>
        </r>
      </text>
    </comment>
    <comment ref="AJ71" authorId="1" shapeId="0" xr:uid="{00000000-0006-0000-0700-000030020000}">
      <text>
        <r>
          <rPr>
            <b/>
            <sz val="8"/>
            <color indexed="81"/>
            <rFont val="Tahoma"/>
            <family val="2"/>
          </rPr>
          <t>Martin Shkreli:</t>
        </r>
        <r>
          <rPr>
            <sz val="8"/>
            <color indexed="81"/>
            <rFont val="Tahoma"/>
            <family val="2"/>
          </rPr>
          <t xml:space="preserve">
951 bear</t>
        </r>
      </text>
    </comment>
    <comment ref="AK71" authorId="1" shapeId="0" xr:uid="{00000000-0006-0000-0700-000031020000}">
      <text>
        <r>
          <rPr>
            <b/>
            <sz val="8"/>
            <color indexed="81"/>
            <rFont val="Tahoma"/>
            <family val="2"/>
          </rPr>
          <t>Martin Shkreli:</t>
        </r>
        <r>
          <rPr>
            <sz val="8"/>
            <color indexed="81"/>
            <rFont val="Tahoma"/>
            <family val="2"/>
          </rPr>
          <t xml:space="preserve">
929 bear</t>
        </r>
      </text>
    </comment>
    <comment ref="AL71" authorId="1" shapeId="0" xr:uid="{00000000-0006-0000-0700-000032020000}">
      <text>
        <r>
          <rPr>
            <b/>
            <sz val="8"/>
            <color indexed="81"/>
            <rFont val="Tahoma"/>
            <family val="2"/>
          </rPr>
          <t>Martin Shkreli:</t>
        </r>
        <r>
          <rPr>
            <sz val="8"/>
            <color indexed="81"/>
            <rFont val="Tahoma"/>
            <family val="2"/>
          </rPr>
          <t xml:space="preserve">
455 bear</t>
        </r>
      </text>
    </comment>
    <comment ref="AM71" authorId="1" shapeId="0" xr:uid="{00000000-0006-0000-0700-000033020000}">
      <text>
        <r>
          <rPr>
            <b/>
            <sz val="8"/>
            <color indexed="81"/>
            <rFont val="Tahoma"/>
            <family val="2"/>
          </rPr>
          <t>Martin Shkreli:</t>
        </r>
        <r>
          <rPr>
            <sz val="8"/>
            <color indexed="81"/>
            <rFont val="Tahoma"/>
            <family val="2"/>
          </rPr>
          <t xml:space="preserve">
1064 bear</t>
        </r>
      </text>
    </comment>
    <comment ref="BB71" authorId="0" shapeId="0" xr:uid="{00000000-0006-0000-0700-000034020000}">
      <text>
        <r>
          <rPr>
            <sz val="9"/>
            <color indexed="81"/>
            <rFont val="Tahoma"/>
            <family val="2"/>
          </rPr>
          <t>7c positive impact</t>
        </r>
      </text>
    </comment>
    <comment ref="BD71"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Q71" authorId="1" shapeId="0" xr:uid="{00000000-0006-0000-0700-000036020000}">
      <text>
        <r>
          <rPr>
            <b/>
            <sz val="8"/>
            <color indexed="81"/>
            <rFont val="Tahoma"/>
            <family val="2"/>
          </rPr>
          <t>Martin Shkreli:</t>
        </r>
        <r>
          <rPr>
            <sz val="8"/>
            <color indexed="81"/>
            <rFont val="Tahoma"/>
            <family val="2"/>
          </rPr>
          <t xml:space="preserve">
494 bear</t>
        </r>
      </text>
    </comment>
    <comment ref="DR71" authorId="1" shapeId="0" xr:uid="{00000000-0006-0000-0700-000037020000}">
      <text>
        <r>
          <rPr>
            <b/>
            <sz val="8"/>
            <color indexed="81"/>
            <rFont val="Tahoma"/>
            <family val="2"/>
          </rPr>
          <t>Martin Shkreli:</t>
        </r>
        <r>
          <rPr>
            <sz val="8"/>
            <color indexed="81"/>
            <rFont val="Tahoma"/>
            <family val="2"/>
          </rPr>
          <t xml:space="preserve">
531 bear</t>
        </r>
      </text>
    </comment>
    <comment ref="DS71" authorId="1" shapeId="0" xr:uid="{00000000-0006-0000-0700-000038020000}">
      <text>
        <r>
          <rPr>
            <b/>
            <sz val="8"/>
            <color indexed="81"/>
            <rFont val="Tahoma"/>
            <family val="2"/>
          </rPr>
          <t>Martin Shkreli:</t>
        </r>
        <r>
          <rPr>
            <sz val="8"/>
            <color indexed="81"/>
            <rFont val="Tahoma"/>
            <family val="2"/>
          </rPr>
          <t xml:space="preserve">
547 bear</t>
        </r>
      </text>
    </comment>
    <comment ref="DT71" authorId="1" shapeId="0" xr:uid="{00000000-0006-0000-0700-000039020000}">
      <text>
        <r>
          <rPr>
            <b/>
            <sz val="8"/>
            <color indexed="81"/>
            <rFont val="Tahoma"/>
            <family val="2"/>
          </rPr>
          <t>Martin Shkreli:</t>
        </r>
        <r>
          <rPr>
            <sz val="8"/>
            <color indexed="81"/>
            <rFont val="Tahoma"/>
            <family val="2"/>
          </rPr>
          <t xml:space="preserve">
533 bear</t>
        </r>
      </text>
    </comment>
    <comment ref="DU71" authorId="1" shapeId="0" xr:uid="{00000000-0006-0000-0700-00003A020000}">
      <text>
        <r>
          <rPr>
            <b/>
            <sz val="8"/>
            <color indexed="81"/>
            <rFont val="Tahoma"/>
            <family val="2"/>
          </rPr>
          <t>Martin Shkreli:</t>
        </r>
        <r>
          <rPr>
            <sz val="8"/>
            <color indexed="81"/>
            <rFont val="Tahoma"/>
            <family val="2"/>
          </rPr>
          <t xml:space="preserve">
654 bear</t>
        </r>
      </text>
    </comment>
    <comment ref="DV71" authorId="1" shapeId="0" xr:uid="{00000000-0006-0000-0700-00003B020000}">
      <text>
        <r>
          <rPr>
            <b/>
            <sz val="8"/>
            <color indexed="81"/>
            <rFont val="Tahoma"/>
            <family val="2"/>
          </rPr>
          <t>Martin Shkreli:</t>
        </r>
        <r>
          <rPr>
            <sz val="8"/>
            <color indexed="81"/>
            <rFont val="Tahoma"/>
            <family val="2"/>
          </rPr>
          <t xml:space="preserve">
926 bear</t>
        </r>
      </text>
    </comment>
    <comment ref="DW71" authorId="1" shapeId="0" xr:uid="{00000000-0006-0000-0700-00003C020000}">
      <text>
        <r>
          <rPr>
            <b/>
            <sz val="8"/>
            <color indexed="81"/>
            <rFont val="Tahoma"/>
            <family val="2"/>
          </rPr>
          <t>Martin Shkreli:</t>
        </r>
        <r>
          <rPr>
            <sz val="8"/>
            <color indexed="81"/>
            <rFont val="Tahoma"/>
            <family val="2"/>
          </rPr>
          <t xml:space="preserve">
1185 bear</t>
        </r>
      </text>
    </comment>
    <comment ref="DX71" authorId="1" shapeId="0" xr:uid="{00000000-0006-0000-0700-00003D020000}">
      <text>
        <r>
          <rPr>
            <b/>
            <sz val="8"/>
            <color indexed="81"/>
            <rFont val="Tahoma"/>
            <family val="2"/>
          </rPr>
          <t>Martin Shkreli:</t>
        </r>
        <r>
          <rPr>
            <sz val="8"/>
            <color indexed="81"/>
            <rFont val="Tahoma"/>
            <family val="2"/>
          </rPr>
          <t xml:space="preserve">
1237 bear</t>
        </r>
      </text>
    </comment>
    <comment ref="DY71" authorId="1" shapeId="0" xr:uid="{00000000-0006-0000-0700-00003E020000}">
      <text>
        <r>
          <rPr>
            <b/>
            <sz val="8"/>
            <color indexed="81"/>
            <rFont val="Tahoma"/>
            <family val="2"/>
          </rPr>
          <t>Martin Shkreli:</t>
        </r>
        <r>
          <rPr>
            <sz val="8"/>
            <color indexed="81"/>
            <rFont val="Tahoma"/>
            <family val="2"/>
          </rPr>
          <t xml:space="preserve">
1232 bear</t>
        </r>
      </text>
    </comment>
    <comment ref="DZ71" authorId="1" shapeId="0" xr:uid="{00000000-0006-0000-0700-00003F020000}">
      <text>
        <r>
          <rPr>
            <b/>
            <sz val="8"/>
            <color indexed="81"/>
            <rFont val="Tahoma"/>
            <family val="2"/>
          </rPr>
          <t>Martin Shkreli:</t>
        </r>
        <r>
          <rPr>
            <sz val="8"/>
            <color indexed="81"/>
            <rFont val="Tahoma"/>
            <family val="2"/>
          </rPr>
          <t xml:space="preserve">
1609 jpm
1604 bear</t>
        </r>
      </text>
    </comment>
    <comment ref="EA71" authorId="1" shapeId="0" xr:uid="{00000000-0006-0000-0700-000040020000}">
      <text>
        <r>
          <rPr>
            <b/>
            <sz val="8"/>
            <color indexed="81"/>
            <rFont val="Tahoma"/>
            <family val="2"/>
          </rPr>
          <t>Martin Shkreli:</t>
        </r>
        <r>
          <rPr>
            <sz val="8"/>
            <color indexed="81"/>
            <rFont val="Tahoma"/>
            <family val="2"/>
          </rPr>
          <t xml:space="preserve">
1932 jpm
1921 bear</t>
        </r>
      </text>
    </comment>
    <comment ref="EB71" authorId="1" shapeId="0" xr:uid="{00000000-0006-0000-0700-000041020000}">
      <text>
        <r>
          <rPr>
            <b/>
            <sz val="8"/>
            <color indexed="81"/>
            <rFont val="Tahoma"/>
            <family val="2"/>
          </rPr>
          <t>Martin Shkreli:</t>
        </r>
        <r>
          <rPr>
            <sz val="8"/>
            <color indexed="81"/>
            <rFont val="Tahoma"/>
            <family val="2"/>
          </rPr>
          <t xml:space="preserve">
2251 bear</t>
        </r>
      </text>
    </comment>
    <comment ref="EC71" authorId="1" shapeId="0" xr:uid="{00000000-0006-0000-0700-000042020000}">
      <text>
        <r>
          <rPr>
            <b/>
            <sz val="8"/>
            <color indexed="81"/>
            <rFont val="Tahoma"/>
            <family val="2"/>
          </rPr>
          <t>Martin Shkreli:</t>
        </r>
        <r>
          <rPr>
            <sz val="8"/>
            <color indexed="81"/>
            <rFont val="Tahoma"/>
            <family val="2"/>
          </rPr>
          <t xml:space="preserve">
2694 bear</t>
        </r>
      </text>
    </comment>
    <comment ref="ED71" authorId="1" shapeId="0" xr:uid="{00000000-0006-0000-0700-000043020000}">
      <text>
        <r>
          <rPr>
            <b/>
            <sz val="8"/>
            <color indexed="81"/>
            <rFont val="Tahoma"/>
            <family val="2"/>
          </rPr>
          <t>Martin Shkreli:</t>
        </r>
        <r>
          <rPr>
            <sz val="8"/>
            <color indexed="81"/>
            <rFont val="Tahoma"/>
            <family val="2"/>
          </rPr>
          <t xml:space="preserve">
3114 bear</t>
        </r>
      </text>
    </comment>
    <comment ref="EE71" authorId="1" shapeId="0" xr:uid="{00000000-0006-0000-0700-000044020000}">
      <text>
        <r>
          <rPr>
            <b/>
            <sz val="8"/>
            <color indexed="81"/>
            <rFont val="Tahoma"/>
            <family val="2"/>
          </rPr>
          <t>Martin Shkreli:</t>
        </r>
        <r>
          <rPr>
            <sz val="8"/>
            <color indexed="81"/>
            <rFont val="Tahoma"/>
            <family val="2"/>
          </rPr>
          <t xml:space="preserve">
3540 bear</t>
        </r>
      </text>
    </comment>
    <comment ref="EF71" authorId="1" shapeId="0" xr:uid="{00000000-0006-0000-0700-000045020000}">
      <text>
        <r>
          <rPr>
            <b/>
            <sz val="8"/>
            <color indexed="81"/>
            <rFont val="Tahoma"/>
            <family val="2"/>
          </rPr>
          <t>Martin Shkreli:</t>
        </r>
        <r>
          <rPr>
            <sz val="8"/>
            <color indexed="81"/>
            <rFont val="Tahoma"/>
            <family val="2"/>
          </rPr>
          <t xml:space="preserve">
3470 bear</t>
        </r>
      </text>
    </comment>
    <comment ref="K72" authorId="1" shapeId="0" xr:uid="{00000000-0006-0000-0700-000046020000}">
      <text>
        <r>
          <rPr>
            <b/>
            <sz val="8"/>
            <color indexed="81"/>
            <rFont val="Tahoma"/>
            <family val="2"/>
          </rPr>
          <t>Martin Shkreli:</t>
        </r>
        <r>
          <rPr>
            <sz val="8"/>
            <color indexed="81"/>
            <rFont val="Tahoma"/>
            <family val="2"/>
          </rPr>
          <t xml:space="preserve">
1156 jpm</t>
        </r>
      </text>
    </comment>
    <comment ref="L72" authorId="1" shapeId="0" xr:uid="{00000000-0006-0000-0700-000047020000}">
      <text>
        <r>
          <rPr>
            <b/>
            <sz val="8"/>
            <color indexed="81"/>
            <rFont val="Tahoma"/>
            <family val="2"/>
          </rPr>
          <t>Martin Shkreli:</t>
        </r>
        <r>
          <rPr>
            <sz val="8"/>
            <color indexed="81"/>
            <rFont val="Tahoma"/>
            <family val="2"/>
          </rPr>
          <t xml:space="preserve">
1204 jpm</t>
        </r>
      </text>
    </comment>
    <comment ref="M72" authorId="1" shapeId="0" xr:uid="{00000000-0006-0000-0700-000048020000}">
      <text>
        <r>
          <rPr>
            <b/>
            <sz val="8"/>
            <color indexed="81"/>
            <rFont val="Tahoma"/>
            <family val="2"/>
          </rPr>
          <t>Martin Shkreli:</t>
        </r>
        <r>
          <rPr>
            <sz val="8"/>
            <color indexed="81"/>
            <rFont val="Tahoma"/>
            <family val="2"/>
          </rPr>
          <t xml:space="preserve">
1165 jpm</t>
        </r>
      </text>
    </comment>
    <comment ref="N72" authorId="1" shapeId="0" xr:uid="{00000000-0006-0000-0700-000049020000}">
      <text>
        <r>
          <rPr>
            <b/>
            <sz val="8"/>
            <color indexed="81"/>
            <rFont val="Tahoma"/>
            <family val="2"/>
          </rPr>
          <t>Martin Shkreli:</t>
        </r>
        <r>
          <rPr>
            <sz val="8"/>
            <color indexed="81"/>
            <rFont val="Tahoma"/>
            <family val="2"/>
          </rPr>
          <t xml:space="preserve">
763 jpm</t>
        </r>
      </text>
    </comment>
    <comment ref="O72" authorId="1" shapeId="0" xr:uid="{00000000-0006-0000-0700-00004A020000}">
      <text>
        <r>
          <rPr>
            <b/>
            <sz val="8"/>
            <color indexed="81"/>
            <rFont val="Tahoma"/>
            <family val="2"/>
          </rPr>
          <t>Martin Shkreli:</t>
        </r>
        <r>
          <rPr>
            <sz val="8"/>
            <color indexed="81"/>
            <rFont val="Tahoma"/>
            <family val="2"/>
          </rPr>
          <t xml:space="preserve">
1346 jpm
1346 bear</t>
        </r>
      </text>
    </comment>
    <comment ref="P72" authorId="1" shapeId="0" xr:uid="{00000000-0006-0000-0700-00004B020000}">
      <text>
        <r>
          <rPr>
            <b/>
            <sz val="8"/>
            <color indexed="81"/>
            <rFont val="Tahoma"/>
            <family val="2"/>
          </rPr>
          <t>Martin Shkreli:</t>
        </r>
        <r>
          <rPr>
            <sz val="8"/>
            <color indexed="81"/>
            <rFont val="Tahoma"/>
            <family val="2"/>
          </rPr>
          <t xml:space="preserve">
1373 jpm
1372 bear</t>
        </r>
      </text>
    </comment>
    <comment ref="Q72" authorId="1" shapeId="0" xr:uid="{00000000-0006-0000-0700-00004C020000}">
      <text>
        <r>
          <rPr>
            <b/>
            <sz val="8"/>
            <color indexed="81"/>
            <rFont val="Tahoma"/>
            <family val="2"/>
          </rPr>
          <t>Martin Shkreli:</t>
        </r>
        <r>
          <rPr>
            <sz val="8"/>
            <color indexed="81"/>
            <rFont val="Tahoma"/>
            <family val="2"/>
          </rPr>
          <t xml:space="preserve">
1334 jpm
1333 bear</t>
        </r>
      </text>
    </comment>
    <comment ref="R72" authorId="1" shapeId="0" xr:uid="{00000000-0006-0000-0700-00004D020000}">
      <text>
        <r>
          <rPr>
            <b/>
            <sz val="8"/>
            <color indexed="81"/>
            <rFont val="Tahoma"/>
            <family val="2"/>
          </rPr>
          <t>Martin Shkreli:</t>
        </r>
        <r>
          <rPr>
            <sz val="8"/>
            <color indexed="81"/>
            <rFont val="Tahoma"/>
            <family val="2"/>
          </rPr>
          <t xml:space="preserve">
946 jpm
993 bear</t>
        </r>
      </text>
    </comment>
    <comment ref="S72" authorId="1" shapeId="0" xr:uid="{00000000-0006-0000-0700-00004E020000}">
      <text>
        <r>
          <rPr>
            <b/>
            <sz val="8"/>
            <color indexed="81"/>
            <rFont val="Tahoma"/>
            <family val="2"/>
          </rPr>
          <t>Martin Shkreli:</t>
        </r>
        <r>
          <rPr>
            <sz val="8"/>
            <color indexed="81"/>
            <rFont val="Tahoma"/>
            <family val="2"/>
          </rPr>
          <t xml:space="preserve">
1553 bear</t>
        </r>
      </text>
    </comment>
    <comment ref="T72" authorId="1" shapeId="0" xr:uid="{00000000-0006-0000-0700-00004F020000}">
      <text>
        <r>
          <rPr>
            <b/>
            <sz val="8"/>
            <color indexed="81"/>
            <rFont val="Tahoma"/>
            <family val="2"/>
          </rPr>
          <t>Martin Shkreli:</t>
        </r>
        <r>
          <rPr>
            <sz val="8"/>
            <color indexed="81"/>
            <rFont val="Tahoma"/>
            <family val="2"/>
          </rPr>
          <t xml:space="preserve">
1584 bear</t>
        </r>
      </text>
    </comment>
    <comment ref="U72" authorId="1" shapeId="0" xr:uid="{00000000-0006-0000-0700-000050020000}">
      <text>
        <r>
          <rPr>
            <b/>
            <sz val="8"/>
            <color indexed="81"/>
            <rFont val="Tahoma"/>
            <family val="2"/>
          </rPr>
          <t>Martin Shkreli:</t>
        </r>
        <r>
          <rPr>
            <sz val="8"/>
            <color indexed="81"/>
            <rFont val="Tahoma"/>
            <family val="2"/>
          </rPr>
          <t xml:space="preserve">
1553 bear</t>
        </r>
      </text>
    </comment>
    <comment ref="AA72" authorId="1" shapeId="0" xr:uid="{00000000-0006-0000-0700-000051020000}">
      <text>
        <r>
          <rPr>
            <b/>
            <sz val="8"/>
            <color indexed="81"/>
            <rFont val="Tahoma"/>
            <family val="2"/>
          </rPr>
          <t>Martin Shkreli:</t>
        </r>
        <r>
          <rPr>
            <sz val="8"/>
            <color indexed="81"/>
            <rFont val="Tahoma"/>
            <family val="2"/>
          </rPr>
          <t xml:space="preserve">
2084 bear</t>
        </r>
      </text>
    </comment>
    <comment ref="AD72" authorId="1" shapeId="0" xr:uid="{00000000-0006-0000-0700-000052020000}">
      <text>
        <r>
          <rPr>
            <b/>
            <sz val="8"/>
            <color indexed="81"/>
            <rFont val="Tahoma"/>
            <family val="2"/>
          </rPr>
          <t>Martin Shkreli:</t>
        </r>
        <r>
          <rPr>
            <sz val="8"/>
            <color indexed="81"/>
            <rFont val="Tahoma"/>
            <family val="2"/>
          </rPr>
          <t xml:space="preserve">
1703 bear</t>
        </r>
      </text>
    </comment>
    <comment ref="AI72" authorId="1" shapeId="0" xr:uid="{00000000-0006-0000-0700-000053020000}">
      <text>
        <r>
          <rPr>
            <b/>
            <sz val="8"/>
            <color indexed="81"/>
            <rFont val="Tahoma"/>
            <family val="2"/>
          </rPr>
          <t>Martin Shkreli:</t>
        </r>
        <r>
          <rPr>
            <sz val="8"/>
            <color indexed="81"/>
            <rFont val="Tahoma"/>
            <family val="2"/>
          </rPr>
          <t xml:space="preserve">
2927 bear</t>
        </r>
      </text>
    </comment>
    <comment ref="AJ72" authorId="1" shapeId="0" xr:uid="{00000000-0006-0000-0700-000054020000}">
      <text>
        <r>
          <rPr>
            <b/>
            <sz val="8"/>
            <color indexed="81"/>
            <rFont val="Tahoma"/>
            <family val="2"/>
          </rPr>
          <t>Martin Shkreli:</t>
        </r>
        <r>
          <rPr>
            <sz val="8"/>
            <color indexed="81"/>
            <rFont val="Tahoma"/>
            <family val="2"/>
          </rPr>
          <t xml:space="preserve">
2804 bear</t>
        </r>
      </text>
    </comment>
    <comment ref="AK72" authorId="1" shapeId="0" xr:uid="{00000000-0006-0000-0700-000055020000}">
      <text>
        <r>
          <rPr>
            <b/>
            <sz val="8"/>
            <color indexed="81"/>
            <rFont val="Tahoma"/>
            <family val="2"/>
          </rPr>
          <t>Martin Shkreli:</t>
        </r>
        <r>
          <rPr>
            <sz val="8"/>
            <color indexed="81"/>
            <rFont val="Tahoma"/>
            <family val="2"/>
          </rPr>
          <t xml:space="preserve">
2625 bear</t>
        </r>
      </text>
    </comment>
    <comment ref="AL72" authorId="1" shapeId="0" xr:uid="{00000000-0006-0000-0700-000056020000}">
      <text>
        <r>
          <rPr>
            <b/>
            <sz val="8"/>
            <color indexed="81"/>
            <rFont val="Tahoma"/>
            <family val="2"/>
          </rPr>
          <t>Martin Shkreli:</t>
        </r>
        <r>
          <rPr>
            <sz val="8"/>
            <color indexed="81"/>
            <rFont val="Tahoma"/>
            <family val="2"/>
          </rPr>
          <t xml:space="preserve">
2192 bear</t>
        </r>
      </text>
    </comment>
    <comment ref="AM72" authorId="1" shapeId="0" xr:uid="{00000000-0006-0000-0700-000057020000}">
      <text>
        <r>
          <rPr>
            <b/>
            <sz val="8"/>
            <color indexed="81"/>
            <rFont val="Tahoma"/>
            <family val="2"/>
          </rPr>
          <t>Martin Shkreli:</t>
        </r>
        <r>
          <rPr>
            <sz val="8"/>
            <color indexed="81"/>
            <rFont val="Tahoma"/>
            <family val="2"/>
          </rPr>
          <t xml:space="preserve">
2966 bear</t>
        </r>
      </text>
    </comment>
    <comment ref="BI72"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2" authorId="39"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2" authorId="40"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2" authorId="41"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2" authorId="42"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2" authorId="43"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2" authorId="44"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2" authorId="45"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2" authorId="46"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2" authorId="47"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2" authorId="1" shapeId="0" xr:uid="{00000000-0006-0000-0700-000059020000}">
      <text>
        <r>
          <rPr>
            <b/>
            <sz val="8"/>
            <color indexed="81"/>
            <rFont val="Tahoma"/>
            <family val="2"/>
          </rPr>
          <t>Martin Shkreli:</t>
        </r>
        <r>
          <rPr>
            <sz val="8"/>
            <color indexed="81"/>
            <rFont val="Tahoma"/>
            <family val="2"/>
          </rPr>
          <t xml:space="preserve">
1168 bear</t>
        </r>
      </text>
    </comment>
    <comment ref="DR72" authorId="1" shapeId="0" xr:uid="{00000000-0006-0000-0700-00005A020000}">
      <text>
        <r>
          <rPr>
            <b/>
            <sz val="8"/>
            <color indexed="81"/>
            <rFont val="Tahoma"/>
            <family val="2"/>
          </rPr>
          <t>Martin Shkreli:</t>
        </r>
        <r>
          <rPr>
            <sz val="8"/>
            <color indexed="81"/>
            <rFont val="Tahoma"/>
            <family val="2"/>
          </rPr>
          <t xml:space="preserve">
1441 bear</t>
        </r>
      </text>
    </comment>
    <comment ref="DS72" authorId="1" shapeId="0" xr:uid="{00000000-0006-0000-0700-00005B020000}">
      <text>
        <r>
          <rPr>
            <b/>
            <sz val="8"/>
            <color indexed="81"/>
            <rFont val="Tahoma"/>
            <family val="2"/>
          </rPr>
          <t>Martin Shkreli:</t>
        </r>
        <r>
          <rPr>
            <sz val="8"/>
            <color indexed="81"/>
            <rFont val="Tahoma"/>
            <family val="2"/>
          </rPr>
          <t xml:space="preserve">
1572 bear</t>
        </r>
      </text>
    </comment>
    <comment ref="DT72" authorId="1" shapeId="0" xr:uid="{00000000-0006-0000-0700-00005C020000}">
      <text>
        <r>
          <rPr>
            <b/>
            <sz val="8"/>
            <color indexed="81"/>
            <rFont val="Tahoma"/>
            <family val="2"/>
          </rPr>
          <t>Martin Shkreli:</t>
        </r>
        <r>
          <rPr>
            <sz val="8"/>
            <color indexed="81"/>
            <rFont val="Tahoma"/>
            <family val="2"/>
          </rPr>
          <t xml:space="preserve">
1786 bear</t>
        </r>
      </text>
    </comment>
    <comment ref="DU72" authorId="1" shapeId="0" xr:uid="{00000000-0006-0000-0700-00005D020000}">
      <text>
        <r>
          <rPr>
            <b/>
            <sz val="8"/>
            <color indexed="81"/>
            <rFont val="Tahoma"/>
            <family val="2"/>
          </rPr>
          <t>Martin Shkreli:</t>
        </r>
        <r>
          <rPr>
            <sz val="8"/>
            <color indexed="81"/>
            <rFont val="Tahoma"/>
            <family val="2"/>
          </rPr>
          <t xml:space="preserve">
1998 bear</t>
        </r>
      </text>
    </comment>
    <comment ref="DV72" authorId="1" shapeId="0" xr:uid="{00000000-0006-0000-0700-00005E020000}">
      <text>
        <r>
          <rPr>
            <b/>
            <sz val="8"/>
            <color indexed="81"/>
            <rFont val="Tahoma"/>
            <family val="2"/>
          </rPr>
          <t>Martin Shkreli:</t>
        </r>
        <r>
          <rPr>
            <sz val="8"/>
            <color indexed="81"/>
            <rFont val="Tahoma"/>
            <family val="2"/>
          </rPr>
          <t xml:space="preserve">
2418 bear</t>
        </r>
      </text>
    </comment>
    <comment ref="DW72" authorId="1" shapeId="0" xr:uid="{00000000-0006-0000-0700-00005F020000}">
      <text>
        <r>
          <rPr>
            <b/>
            <sz val="8"/>
            <color indexed="81"/>
            <rFont val="Tahoma"/>
            <family val="2"/>
          </rPr>
          <t>Martin Shkreli:</t>
        </r>
        <r>
          <rPr>
            <sz val="8"/>
            <color indexed="81"/>
            <rFont val="Tahoma"/>
            <family val="2"/>
          </rPr>
          <t xml:space="preserve">
2958 bear</t>
        </r>
      </text>
    </comment>
    <comment ref="DX72" authorId="1" shapeId="0" xr:uid="{00000000-0006-0000-0700-000060020000}">
      <text>
        <r>
          <rPr>
            <b/>
            <sz val="8"/>
            <color indexed="81"/>
            <rFont val="Tahoma"/>
            <family val="2"/>
          </rPr>
          <t>Martin Shkreli:</t>
        </r>
        <r>
          <rPr>
            <sz val="8"/>
            <color indexed="81"/>
            <rFont val="Tahoma"/>
            <family val="2"/>
          </rPr>
          <t xml:space="preserve">
3471 bear</t>
        </r>
      </text>
    </comment>
    <comment ref="DY72" authorId="1" shapeId="0" xr:uid="{00000000-0006-0000-0700-000061020000}">
      <text>
        <r>
          <rPr>
            <b/>
            <sz val="8"/>
            <color indexed="81"/>
            <rFont val="Tahoma"/>
            <family val="2"/>
          </rPr>
          <t>Martin Shkreli:</t>
        </r>
        <r>
          <rPr>
            <sz val="8"/>
            <color indexed="81"/>
            <rFont val="Tahoma"/>
            <family val="2"/>
          </rPr>
          <t xml:space="preserve">
3952 bear</t>
        </r>
      </text>
    </comment>
    <comment ref="DZ72" authorId="1" shapeId="0" xr:uid="{00000000-0006-0000-0700-000062020000}">
      <text>
        <r>
          <rPr>
            <b/>
            <sz val="8"/>
            <color indexed="81"/>
            <rFont val="Tahoma"/>
            <family val="2"/>
          </rPr>
          <t>Martin Shkreli:</t>
        </r>
        <r>
          <rPr>
            <sz val="8"/>
            <color indexed="81"/>
            <rFont val="Tahoma"/>
            <family val="2"/>
          </rPr>
          <t xml:space="preserve">
4287 jpm
4273 bear</t>
        </r>
      </text>
    </comment>
    <comment ref="EA72" authorId="1" shapeId="0" xr:uid="{00000000-0006-0000-0700-000063020000}">
      <text>
        <r>
          <rPr>
            <b/>
            <sz val="8"/>
            <color indexed="81"/>
            <rFont val="Tahoma"/>
            <family val="2"/>
          </rPr>
          <t>Martin Shkreli:</t>
        </r>
        <r>
          <rPr>
            <sz val="8"/>
            <color indexed="81"/>
            <rFont val="Tahoma"/>
            <family val="2"/>
          </rPr>
          <t xml:space="preserve">
4998 jpm
5043 bear</t>
        </r>
      </text>
    </comment>
    <comment ref="EB72" authorId="1" shapeId="0" xr:uid="{00000000-0006-0000-0700-000064020000}">
      <text>
        <r>
          <rPr>
            <b/>
            <sz val="8"/>
            <color indexed="81"/>
            <rFont val="Tahoma"/>
            <family val="2"/>
          </rPr>
          <t>Martin Shkreli:</t>
        </r>
        <r>
          <rPr>
            <sz val="8"/>
            <color indexed="81"/>
            <rFont val="Tahoma"/>
            <family val="2"/>
          </rPr>
          <t xml:space="preserve">
5900 bear</t>
        </r>
      </text>
    </comment>
    <comment ref="EC72" authorId="1" shapeId="0" xr:uid="{00000000-0006-0000-0700-000065020000}">
      <text>
        <r>
          <rPr>
            <b/>
            <sz val="8"/>
            <color indexed="81"/>
            <rFont val="Tahoma"/>
            <family val="2"/>
          </rPr>
          <t>Martin Shkreli:</t>
        </r>
        <r>
          <rPr>
            <sz val="8"/>
            <color indexed="81"/>
            <rFont val="Tahoma"/>
            <family val="2"/>
          </rPr>
          <t xml:space="preserve">
6786 bear</t>
        </r>
      </text>
    </comment>
    <comment ref="ED72" authorId="1" shapeId="0" xr:uid="{00000000-0006-0000-0700-000066020000}">
      <text>
        <r>
          <rPr>
            <b/>
            <sz val="8"/>
            <color indexed="81"/>
            <rFont val="Tahoma"/>
            <family val="2"/>
          </rPr>
          <t>Martin Shkreli:</t>
        </r>
        <r>
          <rPr>
            <sz val="8"/>
            <color indexed="81"/>
            <rFont val="Tahoma"/>
            <family val="2"/>
          </rPr>
          <t xml:space="preserve">
7970 bear</t>
        </r>
      </text>
    </comment>
    <comment ref="EE72" authorId="1" shapeId="0" xr:uid="{00000000-0006-0000-0700-000067020000}">
      <text>
        <r>
          <rPr>
            <b/>
            <sz val="8"/>
            <color indexed="81"/>
            <rFont val="Tahoma"/>
            <family val="2"/>
          </rPr>
          <t>Martin Shkreli:</t>
        </r>
        <r>
          <rPr>
            <sz val="8"/>
            <color indexed="81"/>
            <rFont val="Tahoma"/>
            <family val="2"/>
          </rPr>
          <t xml:space="preserve">
9315 bear</t>
        </r>
      </text>
    </comment>
    <comment ref="EF72" authorId="1" shapeId="0" xr:uid="{00000000-0006-0000-0700-000068020000}">
      <text>
        <r>
          <rPr>
            <b/>
            <sz val="8"/>
            <color indexed="81"/>
            <rFont val="Tahoma"/>
            <family val="2"/>
          </rPr>
          <t>Martin Shkreli:</t>
        </r>
        <r>
          <rPr>
            <sz val="8"/>
            <color indexed="81"/>
            <rFont val="Tahoma"/>
            <family val="2"/>
          </rPr>
          <t xml:space="preserve">
10547 bear</t>
        </r>
      </text>
    </comment>
    <comment ref="EI72" authorId="1" shapeId="0" xr:uid="{00000000-0006-0000-0700-000069020000}">
      <text>
        <r>
          <rPr>
            <b/>
            <sz val="8"/>
            <color indexed="81"/>
            <rFont val="Tahoma"/>
            <family val="2"/>
          </rPr>
          <t>Martin Shkreli:</t>
        </r>
        <r>
          <rPr>
            <sz val="8"/>
            <color indexed="81"/>
            <rFont val="Tahoma"/>
            <family val="2"/>
          </rPr>
          <t xml:space="preserve">
12.949bn official #</t>
        </r>
      </text>
    </comment>
    <comment ref="K73" authorId="1" shapeId="0" xr:uid="{00000000-0006-0000-0700-00006A020000}">
      <text>
        <r>
          <rPr>
            <b/>
            <sz val="8"/>
            <color indexed="81"/>
            <rFont val="Tahoma"/>
            <family val="2"/>
          </rPr>
          <t>Martin Shkreli:</t>
        </r>
        <r>
          <rPr>
            <sz val="8"/>
            <color indexed="81"/>
            <rFont val="Tahoma"/>
            <family val="2"/>
          </rPr>
          <t xml:space="preserve">
0.37 jpm</t>
        </r>
      </text>
    </comment>
    <comment ref="L73" authorId="1" shapeId="0" xr:uid="{00000000-0006-0000-0700-00006B020000}">
      <text>
        <r>
          <rPr>
            <b/>
            <sz val="8"/>
            <color indexed="81"/>
            <rFont val="Tahoma"/>
            <family val="2"/>
          </rPr>
          <t>Martin Shkreli:</t>
        </r>
        <r>
          <rPr>
            <sz val="8"/>
            <color indexed="81"/>
            <rFont val="Tahoma"/>
            <family val="2"/>
          </rPr>
          <t xml:space="preserve">
0.39 jpm</t>
        </r>
      </text>
    </comment>
    <comment ref="M73" authorId="1" shapeId="0" xr:uid="{00000000-0006-0000-0700-00006C020000}">
      <text>
        <r>
          <rPr>
            <b/>
            <sz val="8"/>
            <color indexed="81"/>
            <rFont val="Tahoma"/>
            <family val="2"/>
          </rPr>
          <t>Martin Shkreli:</t>
        </r>
        <r>
          <rPr>
            <sz val="8"/>
            <color indexed="81"/>
            <rFont val="Tahoma"/>
            <family val="2"/>
          </rPr>
          <t xml:space="preserve">
0.38 jpm</t>
        </r>
      </text>
    </comment>
    <comment ref="N73" authorId="1" shapeId="0" xr:uid="{00000000-0006-0000-0700-00006D020000}">
      <text>
        <r>
          <rPr>
            <b/>
            <sz val="8"/>
            <color indexed="81"/>
            <rFont val="Tahoma"/>
            <family val="2"/>
          </rPr>
          <t>Martin Shkreli:</t>
        </r>
        <r>
          <rPr>
            <sz val="8"/>
            <color indexed="81"/>
            <rFont val="Tahoma"/>
            <family val="2"/>
          </rPr>
          <t xml:space="preserve">
0.25 jpm</t>
        </r>
      </text>
    </comment>
    <comment ref="O73" authorId="1" shapeId="0" xr:uid="{00000000-0006-0000-0700-00006E020000}">
      <text>
        <r>
          <rPr>
            <b/>
            <sz val="8"/>
            <color indexed="81"/>
            <rFont val="Tahoma"/>
            <family val="2"/>
          </rPr>
          <t>Martin Shkreli:</t>
        </r>
        <r>
          <rPr>
            <sz val="8"/>
            <color indexed="81"/>
            <rFont val="Tahoma"/>
            <family val="2"/>
          </rPr>
          <t xml:space="preserve">
0.44 jpm
0.44 bear</t>
        </r>
      </text>
    </comment>
    <comment ref="P73" authorId="1" shapeId="0" xr:uid="{00000000-0006-0000-0700-00006F020000}">
      <text>
        <r>
          <rPr>
            <b/>
            <sz val="8"/>
            <color indexed="81"/>
            <rFont val="Tahoma"/>
            <family val="2"/>
          </rPr>
          <t>Martin Shkreli:</t>
        </r>
        <r>
          <rPr>
            <sz val="8"/>
            <color indexed="81"/>
            <rFont val="Tahoma"/>
            <family val="2"/>
          </rPr>
          <t xml:space="preserve">
0.44 jpm
0.44 bear</t>
        </r>
      </text>
    </comment>
    <comment ref="Q73" authorId="1" shapeId="0" xr:uid="{00000000-0006-0000-0700-000070020000}">
      <text>
        <r>
          <rPr>
            <b/>
            <sz val="8"/>
            <color indexed="81"/>
            <rFont val="Tahoma"/>
            <family val="2"/>
          </rPr>
          <t>Martin Shkreli:</t>
        </r>
        <r>
          <rPr>
            <sz val="8"/>
            <color indexed="81"/>
            <rFont val="Tahoma"/>
            <family val="2"/>
          </rPr>
          <t xml:space="preserve">
0.43 jpm
0.43 bear</t>
        </r>
      </text>
    </comment>
    <comment ref="R73" authorId="1" shapeId="0" xr:uid="{00000000-0006-0000-0700-000071020000}">
      <text>
        <r>
          <rPr>
            <b/>
            <sz val="8"/>
            <color indexed="81"/>
            <rFont val="Tahoma"/>
            <family val="2"/>
          </rPr>
          <t>Martin Shkreli:</t>
        </r>
        <r>
          <rPr>
            <sz val="8"/>
            <color indexed="81"/>
            <rFont val="Tahoma"/>
            <family val="2"/>
          </rPr>
          <t xml:space="preserve">
0.32 jpm
0.32 bear</t>
        </r>
      </text>
    </comment>
    <comment ref="S73" authorId="1" shapeId="0" xr:uid="{00000000-0006-0000-0700-000072020000}">
      <text>
        <r>
          <rPr>
            <b/>
            <sz val="8"/>
            <color indexed="81"/>
            <rFont val="Tahoma"/>
            <family val="2"/>
          </rPr>
          <t>Martin Shkreli:</t>
        </r>
        <r>
          <rPr>
            <sz val="8"/>
            <color indexed="81"/>
            <rFont val="Tahoma"/>
            <family val="2"/>
          </rPr>
          <t xml:space="preserve">
0.50 bear</t>
        </r>
      </text>
    </comment>
    <comment ref="T73" authorId="1" shapeId="0" xr:uid="{00000000-0006-0000-0700-000073020000}">
      <text>
        <r>
          <rPr>
            <b/>
            <sz val="8"/>
            <color indexed="81"/>
            <rFont val="Tahoma"/>
            <family val="2"/>
          </rPr>
          <t>Martin Shkreli:</t>
        </r>
        <r>
          <rPr>
            <sz val="8"/>
            <color indexed="81"/>
            <rFont val="Tahoma"/>
            <family val="2"/>
          </rPr>
          <t xml:space="preserve">
0.51 bear</t>
        </r>
      </text>
    </comment>
    <comment ref="U73" authorId="1" shapeId="0" xr:uid="{00000000-0006-0000-0700-000074020000}">
      <text>
        <r>
          <rPr>
            <b/>
            <sz val="8"/>
            <color indexed="81"/>
            <rFont val="Tahoma"/>
            <family val="2"/>
          </rPr>
          <t>Martin Shkreli:</t>
        </r>
        <r>
          <rPr>
            <sz val="8"/>
            <color indexed="81"/>
            <rFont val="Tahoma"/>
            <family val="2"/>
          </rPr>
          <t xml:space="preserve">
 0.50 bear</t>
        </r>
      </text>
    </comment>
    <comment ref="X73" authorId="1" shapeId="0" xr:uid="{00000000-0006-0000-0700-000075020000}">
      <text>
        <r>
          <rPr>
            <b/>
            <sz val="8"/>
            <color indexed="81"/>
            <rFont val="Tahoma"/>
            <family val="2"/>
          </rPr>
          <t>Martin Shkreli:</t>
        </r>
        <r>
          <rPr>
            <sz val="8"/>
            <color indexed="81"/>
            <rFont val="Tahoma"/>
            <family val="2"/>
          </rPr>
          <t xml:space="preserve">
0.60 bear</t>
        </r>
      </text>
    </comment>
    <comment ref="AD73" authorId="1" shapeId="0" xr:uid="{00000000-0006-0000-0700-000076020000}">
      <text>
        <r>
          <rPr>
            <b/>
            <sz val="8"/>
            <color indexed="81"/>
            <rFont val="Tahoma"/>
            <family val="2"/>
          </rPr>
          <t>Martin Shkreli:</t>
        </r>
        <r>
          <rPr>
            <sz val="8"/>
            <color indexed="81"/>
            <rFont val="Tahoma"/>
            <family val="2"/>
          </rPr>
          <t xml:space="preserve">
0.57 bear</t>
        </r>
      </text>
    </comment>
    <comment ref="AI73" authorId="1" shapeId="0" xr:uid="{00000000-0006-0000-0700-000077020000}">
      <text>
        <r>
          <rPr>
            <b/>
            <sz val="8"/>
            <color indexed="81"/>
            <rFont val="Tahoma"/>
            <family val="2"/>
          </rPr>
          <t>Martin Shkreli:</t>
        </r>
        <r>
          <rPr>
            <sz val="8"/>
            <color indexed="81"/>
            <rFont val="Tahoma"/>
            <family val="2"/>
          </rPr>
          <t xml:space="preserve">
0.97 bear</t>
        </r>
      </text>
    </comment>
    <comment ref="AJ73" authorId="1" shapeId="0" xr:uid="{00000000-0006-0000-0700-000078020000}">
      <text>
        <r>
          <rPr>
            <b/>
            <sz val="8"/>
            <color indexed="81"/>
            <rFont val="Tahoma"/>
            <family val="2"/>
          </rPr>
          <t>Martin Shkreli:</t>
        </r>
        <r>
          <rPr>
            <sz val="8"/>
            <color indexed="81"/>
            <rFont val="Tahoma"/>
            <family val="2"/>
          </rPr>
          <t xml:space="preserve">
0.93 bear</t>
        </r>
      </text>
    </comment>
    <comment ref="AK73" authorId="1" shapeId="0" xr:uid="{00000000-0006-0000-0700-000079020000}">
      <text>
        <r>
          <rPr>
            <b/>
            <sz val="8"/>
            <color indexed="81"/>
            <rFont val="Tahoma"/>
            <family val="2"/>
          </rPr>
          <t>Martin Shkreli:</t>
        </r>
        <r>
          <rPr>
            <sz val="8"/>
            <color indexed="81"/>
            <rFont val="Tahoma"/>
            <family val="2"/>
          </rPr>
          <t xml:space="preserve">
0.87 bear</t>
        </r>
      </text>
    </comment>
    <comment ref="AL73" authorId="1" shapeId="0" xr:uid="{00000000-0006-0000-0700-00007A020000}">
      <text>
        <r>
          <rPr>
            <b/>
            <sz val="8"/>
            <color indexed="81"/>
            <rFont val="Tahoma"/>
            <family val="2"/>
          </rPr>
          <t>Martin Shkreli:</t>
        </r>
        <r>
          <rPr>
            <sz val="8"/>
            <color indexed="81"/>
            <rFont val="Tahoma"/>
            <family val="2"/>
          </rPr>
          <t xml:space="preserve">
0.73 bear</t>
        </r>
      </text>
    </comment>
    <comment ref="AM73" authorId="1" shapeId="0" xr:uid="{00000000-0006-0000-0700-00007B020000}">
      <text>
        <r>
          <rPr>
            <b/>
            <sz val="8"/>
            <color indexed="81"/>
            <rFont val="Tahoma"/>
            <family val="2"/>
          </rPr>
          <t>Martin Shkreli:</t>
        </r>
        <r>
          <rPr>
            <sz val="8"/>
            <color indexed="81"/>
            <rFont val="Tahoma"/>
            <family val="2"/>
          </rPr>
          <t xml:space="preserve">
0.99 bear</t>
        </r>
      </text>
    </comment>
    <comment ref="AQ73"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3"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73" authorId="4" shapeId="0" xr:uid="{00000000-0006-0000-0700-00007E020000}">
      <text>
        <r>
          <rPr>
            <b/>
            <sz val="9"/>
            <color indexed="81"/>
            <rFont val="Tahoma"/>
            <family val="2"/>
          </rPr>
          <t>Martin:</t>
        </r>
        <r>
          <rPr>
            <sz val="9"/>
            <color indexed="81"/>
            <rFont val="Tahoma"/>
            <family val="2"/>
          </rPr>
          <t xml:space="preserve">
1.02 adjusted earnings</t>
        </r>
      </text>
    </comment>
    <comment ref="DQ73" authorId="1" shapeId="0" xr:uid="{00000000-0006-0000-0700-00007F020000}">
      <text>
        <r>
          <rPr>
            <b/>
            <sz val="8"/>
            <color indexed="81"/>
            <rFont val="Tahoma"/>
            <family val="2"/>
          </rPr>
          <t>Martin Shkreli:</t>
        </r>
        <r>
          <rPr>
            <sz val="8"/>
            <color indexed="81"/>
            <rFont val="Tahoma"/>
            <family val="2"/>
          </rPr>
          <t xml:space="preserve">
0.48 bear</t>
        </r>
      </text>
    </comment>
    <comment ref="DR73" authorId="1" shapeId="0" xr:uid="{00000000-0006-0000-0700-000080020000}">
      <text>
        <r>
          <rPr>
            <b/>
            <sz val="8"/>
            <color indexed="81"/>
            <rFont val="Tahoma"/>
            <family val="2"/>
          </rPr>
          <t>Martin Shkreli:</t>
        </r>
        <r>
          <rPr>
            <sz val="8"/>
            <color indexed="81"/>
            <rFont val="Tahoma"/>
            <family val="2"/>
          </rPr>
          <t xml:space="preserve">
0.55 bear</t>
        </r>
      </text>
    </comment>
    <comment ref="DS73" authorId="1" shapeId="0" xr:uid="{00000000-0006-0000-0700-000081020000}">
      <text>
        <r>
          <rPr>
            <b/>
            <sz val="8"/>
            <color indexed="81"/>
            <rFont val="Tahoma"/>
            <family val="2"/>
          </rPr>
          <t>Martin Shkreli:</t>
        </r>
        <r>
          <rPr>
            <sz val="8"/>
            <color indexed="81"/>
            <rFont val="Tahoma"/>
            <family val="2"/>
          </rPr>
          <t xml:space="preserve">
0.63 bear</t>
        </r>
      </text>
    </comment>
    <comment ref="DT73" authorId="1" shapeId="0" xr:uid="{00000000-0006-0000-0700-000082020000}">
      <text>
        <r>
          <rPr>
            <b/>
            <sz val="8"/>
            <color indexed="81"/>
            <rFont val="Tahoma"/>
            <family val="2"/>
          </rPr>
          <t>Martin Shkreli:</t>
        </r>
        <r>
          <rPr>
            <sz val="8"/>
            <color indexed="81"/>
            <rFont val="Tahoma"/>
            <family val="2"/>
          </rPr>
          <t xml:space="preserve">
0.69 bear</t>
        </r>
      </text>
    </comment>
    <comment ref="DU73" authorId="1" shapeId="0" xr:uid="{00000000-0006-0000-0700-000083020000}">
      <text>
        <r>
          <rPr>
            <b/>
            <sz val="8"/>
            <color indexed="81"/>
            <rFont val="Tahoma"/>
            <family val="2"/>
          </rPr>
          <t>Martin Shkreli:</t>
        </r>
        <r>
          <rPr>
            <sz val="8"/>
            <color indexed="81"/>
            <rFont val="Tahoma"/>
            <family val="2"/>
          </rPr>
          <t xml:space="preserve">
0.78 bear</t>
        </r>
      </text>
    </comment>
    <comment ref="DV73" authorId="1" shapeId="0" xr:uid="{00000000-0006-0000-0700-000084020000}">
      <text>
        <r>
          <rPr>
            <b/>
            <sz val="8"/>
            <color indexed="81"/>
            <rFont val="Tahoma"/>
            <family val="2"/>
          </rPr>
          <t>Martin Shkreli:</t>
        </r>
        <r>
          <rPr>
            <sz val="8"/>
            <color indexed="81"/>
            <rFont val="Tahoma"/>
            <family val="2"/>
          </rPr>
          <t xml:space="preserve">
0.93 bear</t>
        </r>
      </text>
    </comment>
    <comment ref="DW73" authorId="1" shapeId="0" xr:uid="{00000000-0006-0000-0700-000085020000}">
      <text>
        <r>
          <rPr>
            <b/>
            <sz val="8"/>
            <color indexed="81"/>
            <rFont val="Tahoma"/>
            <family val="2"/>
          </rPr>
          <t>Martin Shkreli:</t>
        </r>
        <r>
          <rPr>
            <sz val="8"/>
            <color indexed="81"/>
            <rFont val="Tahoma"/>
            <family val="2"/>
          </rPr>
          <t xml:space="preserve">
1.09 bear</t>
        </r>
      </text>
    </comment>
    <comment ref="DX73" authorId="1" shapeId="0" xr:uid="{00000000-0006-0000-0700-000086020000}">
      <text>
        <r>
          <rPr>
            <b/>
            <sz val="8"/>
            <color indexed="81"/>
            <rFont val="Tahoma"/>
            <family val="2"/>
          </rPr>
          <t>Martin Shkreli:</t>
        </r>
        <r>
          <rPr>
            <sz val="8"/>
            <color indexed="81"/>
            <rFont val="Tahoma"/>
            <family val="2"/>
          </rPr>
          <t xml:space="preserve">
1.17 bear</t>
        </r>
      </text>
    </comment>
    <comment ref="DY73" authorId="1" shapeId="0" xr:uid="{00000000-0006-0000-0700-000087020000}">
      <text>
        <r>
          <rPr>
            <b/>
            <sz val="8"/>
            <color indexed="81"/>
            <rFont val="Tahoma"/>
            <family val="2"/>
          </rPr>
          <t>Martin Shkreli:</t>
        </r>
        <r>
          <rPr>
            <sz val="8"/>
            <color indexed="81"/>
            <rFont val="Tahoma"/>
            <family val="2"/>
          </rPr>
          <t xml:space="preserve">
1.31 bear</t>
        </r>
      </text>
    </comment>
    <comment ref="DZ73" authorId="1" shapeId="0" xr:uid="{00000000-0006-0000-0700-000088020000}">
      <text>
        <r>
          <rPr>
            <b/>
            <sz val="8"/>
            <color indexed="81"/>
            <rFont val="Tahoma"/>
            <family val="2"/>
          </rPr>
          <t>Martin Shkreli:</t>
        </r>
        <r>
          <rPr>
            <sz val="8"/>
            <color indexed="81"/>
            <rFont val="Tahoma"/>
            <family val="2"/>
          </rPr>
          <t xml:space="preserve">
1.38 jpm
1.42 bear</t>
        </r>
      </text>
    </comment>
    <comment ref="EA73" authorId="1" shapeId="0" xr:uid="{00000000-0006-0000-0700-000089020000}">
      <text>
        <r>
          <rPr>
            <b/>
            <sz val="8"/>
            <color indexed="81"/>
            <rFont val="Tahoma"/>
            <family val="2"/>
          </rPr>
          <t>Martin Shkreli:</t>
        </r>
        <r>
          <rPr>
            <sz val="8"/>
            <color indexed="81"/>
            <rFont val="Tahoma"/>
            <family val="2"/>
          </rPr>
          <t xml:space="preserve">
1.63 jpm
1.63 bear</t>
        </r>
      </text>
    </comment>
    <comment ref="EB73" authorId="1" shapeId="0" xr:uid="{00000000-0006-0000-0700-00008A020000}">
      <text>
        <r>
          <rPr>
            <b/>
            <sz val="8"/>
            <color indexed="81"/>
            <rFont val="Tahoma"/>
            <family val="2"/>
          </rPr>
          <t>Martin Shkreli:</t>
        </r>
        <r>
          <rPr>
            <sz val="8"/>
            <color indexed="81"/>
            <rFont val="Tahoma"/>
            <family val="2"/>
          </rPr>
          <t xml:space="preserve">
1.91 bear</t>
        </r>
      </text>
    </comment>
    <comment ref="EC73" authorId="1" shapeId="0" xr:uid="{00000000-0006-0000-0700-00008B020000}">
      <text>
        <r>
          <rPr>
            <b/>
            <sz val="8"/>
            <color indexed="81"/>
            <rFont val="Tahoma"/>
            <family val="2"/>
          </rPr>
          <t>Martin Shkreli:</t>
        </r>
        <r>
          <rPr>
            <sz val="8"/>
            <color indexed="81"/>
            <rFont val="Tahoma"/>
            <family val="2"/>
          </rPr>
          <t xml:space="preserve">
2.23 bear</t>
        </r>
      </text>
    </comment>
    <comment ref="ED73" authorId="1" shapeId="0" xr:uid="{00000000-0006-0000-0700-00008C020000}">
      <text>
        <r>
          <rPr>
            <b/>
            <sz val="8"/>
            <color indexed="81"/>
            <rFont val="Tahoma"/>
            <family val="2"/>
          </rPr>
          <t>Martin Shkreli:</t>
        </r>
        <r>
          <rPr>
            <sz val="8"/>
            <color indexed="81"/>
            <rFont val="Tahoma"/>
            <family val="2"/>
          </rPr>
          <t xml:space="preserve">
2.65 bear</t>
        </r>
      </text>
    </comment>
    <comment ref="EE73" authorId="1" shapeId="0" xr:uid="{00000000-0006-0000-0700-00008D020000}">
      <text>
        <r>
          <rPr>
            <b/>
            <sz val="8"/>
            <color indexed="81"/>
            <rFont val="Tahoma"/>
            <family val="2"/>
          </rPr>
          <t>Martin Shkreli:</t>
        </r>
        <r>
          <rPr>
            <sz val="8"/>
            <color indexed="81"/>
            <rFont val="Tahoma"/>
            <family val="2"/>
          </rPr>
          <t xml:space="preserve">
3.10 bear</t>
        </r>
      </text>
    </comment>
    <comment ref="EF73" authorId="1" shapeId="0" xr:uid="{00000000-0006-0000-0700-00008E020000}">
      <text>
        <r>
          <rPr>
            <b/>
            <sz val="8"/>
            <color indexed="81"/>
            <rFont val="Tahoma"/>
            <family val="2"/>
          </rPr>
          <t>Martin Shkreli:</t>
        </r>
        <r>
          <rPr>
            <sz val="8"/>
            <color indexed="81"/>
            <rFont val="Tahoma"/>
            <family val="2"/>
          </rPr>
          <t xml:space="preserve">
3.49 bear</t>
        </r>
      </text>
    </comment>
    <comment ref="EH73"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I73"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3"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3"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3" authorId="4" shapeId="0" xr:uid="{00000000-0006-0000-0700-000093020000}">
      <text>
        <r>
          <rPr>
            <b/>
            <sz val="9"/>
            <color indexed="81"/>
            <rFont val="Tahoma"/>
            <family val="2"/>
          </rPr>
          <t>Martin:</t>
        </r>
        <r>
          <rPr>
            <sz val="9"/>
            <color indexed="81"/>
            <rFont val="Tahoma"/>
            <family val="2"/>
          </rPr>
          <t xml:space="preserve">
Q311: 4.95-5.00</t>
        </r>
      </text>
    </comment>
    <comment ref="EM73" authorId="4" shapeId="0" xr:uid="{00000000-0006-0000-0700-000094020000}">
      <text>
        <r>
          <rPr>
            <b/>
            <sz val="9"/>
            <color indexed="81"/>
            <rFont val="Tahoma"/>
            <family val="2"/>
          </rPr>
          <t>Martin:</t>
        </r>
        <r>
          <rPr>
            <sz val="9"/>
            <color indexed="81"/>
            <rFont val="Tahoma"/>
            <family val="2"/>
          </rPr>
          <t xml:space="preserve">
5.05-5.15 set in Q411</t>
        </r>
      </text>
    </comment>
    <comment ref="EO73" authorId="4" shapeId="0" xr:uid="{00000000-0006-0000-0700-000095020000}">
      <text>
        <r>
          <rPr>
            <b/>
            <sz val="9"/>
            <color indexed="81"/>
            <rFont val="Tahoma"/>
            <family val="2"/>
          </rPr>
          <t>Martin:</t>
        </r>
        <r>
          <rPr>
            <sz val="9"/>
            <color indexed="81"/>
            <rFont val="Tahoma"/>
            <family val="2"/>
          </rPr>
          <t xml:space="preserve">
Q214: 5.85-5.92</t>
        </r>
      </text>
    </comment>
    <comment ref="K74" authorId="1" shapeId="0" xr:uid="{00000000-0006-0000-0700-000096020000}">
      <text>
        <r>
          <rPr>
            <b/>
            <sz val="8"/>
            <color indexed="81"/>
            <rFont val="Tahoma"/>
            <family val="2"/>
          </rPr>
          <t>Martin Shkreli:</t>
        </r>
        <r>
          <rPr>
            <sz val="8"/>
            <color indexed="81"/>
            <rFont val="Tahoma"/>
            <family val="2"/>
          </rPr>
          <t xml:space="preserve">
3106 jpm</t>
        </r>
      </text>
    </comment>
    <comment ref="L74" authorId="1" shapeId="0" xr:uid="{00000000-0006-0000-0700-000097020000}">
      <text>
        <r>
          <rPr>
            <b/>
            <sz val="8"/>
            <color indexed="81"/>
            <rFont val="Tahoma"/>
            <family val="2"/>
          </rPr>
          <t>Martin Shkreli:</t>
        </r>
        <r>
          <rPr>
            <sz val="8"/>
            <color indexed="81"/>
            <rFont val="Tahoma"/>
            <family val="2"/>
          </rPr>
          <t xml:space="preserve">
3109 jpm</t>
        </r>
      </text>
    </comment>
    <comment ref="M74" authorId="1" shapeId="0" xr:uid="{00000000-0006-0000-0700-000098020000}">
      <text>
        <r>
          <rPr>
            <b/>
            <sz val="8"/>
            <color indexed="81"/>
            <rFont val="Tahoma"/>
            <family val="2"/>
          </rPr>
          <t>Martin Shkreli:</t>
        </r>
        <r>
          <rPr>
            <sz val="8"/>
            <color indexed="81"/>
            <rFont val="Tahoma"/>
            <family val="2"/>
          </rPr>
          <t xml:space="preserve">
3105 jpm</t>
        </r>
      </text>
    </comment>
    <comment ref="N74" authorId="1" shapeId="0" xr:uid="{00000000-0006-0000-0700-000099020000}">
      <text>
        <r>
          <rPr>
            <b/>
            <sz val="8"/>
            <color indexed="81"/>
            <rFont val="Tahoma"/>
            <family val="2"/>
          </rPr>
          <t>Martin Shkreli:</t>
        </r>
        <r>
          <rPr>
            <sz val="8"/>
            <color indexed="81"/>
            <rFont val="Tahoma"/>
            <family val="2"/>
          </rPr>
          <t xml:space="preserve">
3106 jpm</t>
        </r>
      </text>
    </comment>
    <comment ref="O74" authorId="1" shapeId="0" xr:uid="{00000000-0006-0000-0700-00009A020000}">
      <text>
        <r>
          <rPr>
            <b/>
            <sz val="8"/>
            <color indexed="81"/>
            <rFont val="Tahoma"/>
            <family val="2"/>
          </rPr>
          <t>Martin Shkreli:</t>
        </r>
        <r>
          <rPr>
            <sz val="8"/>
            <color indexed="81"/>
            <rFont val="Tahoma"/>
            <family val="2"/>
          </rPr>
          <t xml:space="preserve">
3087 jpm
3087 bear</t>
        </r>
      </text>
    </comment>
    <comment ref="P74" authorId="1" shapeId="0" xr:uid="{00000000-0006-0000-0700-00009B020000}">
      <text>
        <r>
          <rPr>
            <b/>
            <sz val="8"/>
            <color indexed="81"/>
            <rFont val="Tahoma"/>
            <family val="2"/>
          </rPr>
          <t>Martin Shkreli:</t>
        </r>
        <r>
          <rPr>
            <sz val="8"/>
            <color indexed="81"/>
            <rFont val="Tahoma"/>
            <family val="2"/>
          </rPr>
          <t xml:space="preserve">
3095 jpm
3095 bear</t>
        </r>
      </text>
    </comment>
    <comment ref="Q74" authorId="1" shapeId="0" xr:uid="{00000000-0006-0000-0700-00009C020000}">
      <text>
        <r>
          <rPr>
            <b/>
            <sz val="8"/>
            <color indexed="81"/>
            <rFont val="Tahoma"/>
            <family val="2"/>
          </rPr>
          <t>Martin Shkreli:</t>
        </r>
        <r>
          <rPr>
            <sz val="8"/>
            <color indexed="81"/>
            <rFont val="Tahoma"/>
            <family val="2"/>
          </rPr>
          <t xml:space="preserve">
3113 jpm
3113 bear</t>
        </r>
      </text>
    </comment>
    <comment ref="R74" authorId="1" shapeId="0" xr:uid="{00000000-0006-0000-0700-00009D020000}">
      <text>
        <r>
          <rPr>
            <b/>
            <sz val="8"/>
            <color indexed="81"/>
            <rFont val="Tahoma"/>
            <family val="2"/>
          </rPr>
          <t>Martin Shkreli:</t>
        </r>
        <r>
          <rPr>
            <sz val="8"/>
            <color indexed="81"/>
            <rFont val="Tahoma"/>
            <family val="2"/>
          </rPr>
          <t xml:space="preserve">
3118 jpm
3118 bear</t>
        </r>
      </text>
    </comment>
    <comment ref="S74" authorId="1" shapeId="0" xr:uid="{00000000-0006-0000-0700-00009E020000}">
      <text>
        <r>
          <rPr>
            <b/>
            <sz val="8"/>
            <color indexed="81"/>
            <rFont val="Tahoma"/>
            <family val="2"/>
          </rPr>
          <t>Martin Shkreli:</t>
        </r>
        <r>
          <rPr>
            <sz val="8"/>
            <color indexed="81"/>
            <rFont val="Tahoma"/>
            <family val="2"/>
          </rPr>
          <t xml:space="preserve">
3106 bear</t>
        </r>
      </text>
    </comment>
    <comment ref="X74" authorId="1" shapeId="0" xr:uid="{00000000-0006-0000-0700-00009F020000}">
      <text>
        <r>
          <rPr>
            <b/>
            <sz val="8"/>
            <color indexed="81"/>
            <rFont val="Tahoma"/>
            <family val="2"/>
          </rPr>
          <t>Martin Shkreli:</t>
        </r>
        <r>
          <rPr>
            <sz val="8"/>
            <color indexed="81"/>
            <rFont val="Tahoma"/>
            <family val="2"/>
          </rPr>
          <t xml:space="preserve">
3087 bear</t>
        </r>
      </text>
    </comment>
    <comment ref="AB74" authorId="1" shapeId="0" xr:uid="{00000000-0006-0000-0700-0000A0020000}">
      <text>
        <r>
          <rPr>
            <b/>
            <sz val="8"/>
            <color indexed="81"/>
            <rFont val="Tahoma"/>
            <family val="2"/>
          </rPr>
          <t>Martin Shkreli:</t>
        </r>
        <r>
          <rPr>
            <sz val="8"/>
            <color indexed="81"/>
            <rFont val="Tahoma"/>
            <family val="2"/>
          </rPr>
          <t xml:space="preserve">
3016 bear
3028 JPM</t>
        </r>
      </text>
    </comment>
    <comment ref="AK74" authorId="1" shapeId="0" xr:uid="{00000000-0006-0000-0700-0000A1020000}">
      <text>
        <r>
          <rPr>
            <b/>
            <sz val="8"/>
            <color indexed="81"/>
            <rFont val="Tahoma"/>
            <family val="2"/>
          </rPr>
          <t>Martin Shkreli:</t>
        </r>
        <r>
          <rPr>
            <sz val="8"/>
            <color indexed="81"/>
            <rFont val="Tahoma"/>
            <family val="2"/>
          </rPr>
          <t xml:space="preserve">
3017 bear</t>
        </r>
      </text>
    </comment>
    <comment ref="AL74" authorId="1" shapeId="0" xr:uid="{00000000-0006-0000-0700-0000A2020000}">
      <text>
        <r>
          <rPr>
            <b/>
            <sz val="8"/>
            <color indexed="81"/>
            <rFont val="Tahoma"/>
            <family val="2"/>
          </rPr>
          <t>Martin Shkreli:</t>
        </r>
        <r>
          <rPr>
            <sz val="8"/>
            <color indexed="81"/>
            <rFont val="Tahoma"/>
            <family val="2"/>
          </rPr>
          <t xml:space="preserve">
3009 bear</t>
        </r>
      </text>
    </comment>
    <comment ref="AM74" authorId="2" shapeId="0" xr:uid="{00000000-0006-0000-0700-0000A3020000}">
      <text>
        <r>
          <rPr>
            <sz val="8"/>
            <color indexed="8"/>
            <rFont val="Times New Roman"/>
            <family val="1"/>
          </rPr>
          <t>5B repurchase program</t>
        </r>
      </text>
    </comment>
    <comment ref="DQ74" authorId="1" shapeId="0" xr:uid="{00000000-0006-0000-0700-0000A4020000}">
      <text>
        <r>
          <rPr>
            <b/>
            <sz val="8"/>
            <color indexed="81"/>
            <rFont val="Tahoma"/>
            <family val="2"/>
          </rPr>
          <t>Martin Shkreli:</t>
        </r>
        <r>
          <rPr>
            <sz val="8"/>
            <color indexed="81"/>
            <rFont val="Tahoma"/>
            <family val="2"/>
          </rPr>
          <t xml:space="preserve">
2433 bear</t>
        </r>
      </text>
    </comment>
    <comment ref="DR74" authorId="1" shapeId="0" xr:uid="{00000000-0006-0000-0700-0000A5020000}">
      <text>
        <r>
          <rPr>
            <b/>
            <sz val="8"/>
            <color indexed="81"/>
            <rFont val="Tahoma"/>
            <family val="2"/>
          </rPr>
          <t>Martin Shkreli:</t>
        </r>
        <r>
          <rPr>
            <sz val="8"/>
            <color indexed="81"/>
            <rFont val="Tahoma"/>
            <family val="2"/>
          </rPr>
          <t xml:space="preserve">
2620 bear</t>
        </r>
      </text>
    </comment>
    <comment ref="DS74" authorId="1" shapeId="0" xr:uid="{00000000-0006-0000-0700-0000A6020000}">
      <text>
        <r>
          <rPr>
            <b/>
            <sz val="8"/>
            <color indexed="81"/>
            <rFont val="Tahoma"/>
            <family val="2"/>
          </rPr>
          <t>Martin Shkreli:</t>
        </r>
        <r>
          <rPr>
            <sz val="8"/>
            <color indexed="81"/>
            <rFont val="Tahoma"/>
            <family val="2"/>
          </rPr>
          <t xml:space="preserve">
2495 bear</t>
        </r>
      </text>
    </comment>
    <comment ref="DT74" authorId="1" shapeId="0" xr:uid="{00000000-0006-0000-0700-0000A7020000}">
      <text>
        <r>
          <rPr>
            <b/>
            <sz val="8"/>
            <color indexed="81"/>
            <rFont val="Tahoma"/>
            <family val="2"/>
          </rPr>
          <t>Martin Shkreli:</t>
        </r>
        <r>
          <rPr>
            <sz val="8"/>
            <color indexed="81"/>
            <rFont val="Tahoma"/>
            <family val="2"/>
          </rPr>
          <t xml:space="preserve">
2588 bear</t>
        </r>
      </text>
    </comment>
    <comment ref="DU74" authorId="1" shapeId="0" xr:uid="{00000000-0006-0000-0700-0000A8020000}">
      <text>
        <r>
          <rPr>
            <b/>
            <sz val="8"/>
            <color indexed="81"/>
            <rFont val="Tahoma"/>
            <family val="2"/>
          </rPr>
          <t>Martin Shkreli:</t>
        </r>
        <r>
          <rPr>
            <sz val="8"/>
            <color indexed="81"/>
            <rFont val="Tahoma"/>
            <family val="2"/>
          </rPr>
          <t xml:space="preserve">
2562 bear</t>
        </r>
      </text>
    </comment>
    <comment ref="DV74" authorId="1" shapeId="0" xr:uid="{00000000-0006-0000-0700-0000A9020000}">
      <text>
        <r>
          <rPr>
            <b/>
            <sz val="8"/>
            <color indexed="81"/>
            <rFont val="Tahoma"/>
            <family val="2"/>
          </rPr>
          <t>Martin Shkreli:</t>
        </r>
        <r>
          <rPr>
            <sz val="8"/>
            <color indexed="81"/>
            <rFont val="Tahoma"/>
            <family val="2"/>
          </rPr>
          <t xml:space="preserve">
2600 bear</t>
        </r>
      </text>
    </comment>
    <comment ref="DW74" authorId="1" shapeId="0" xr:uid="{00000000-0006-0000-0700-0000AA020000}">
      <text>
        <r>
          <rPr>
            <b/>
            <sz val="8"/>
            <color indexed="81"/>
            <rFont val="Tahoma"/>
            <family val="2"/>
          </rPr>
          <t>Martin Shkreli:</t>
        </r>
        <r>
          <rPr>
            <sz val="8"/>
            <color indexed="81"/>
            <rFont val="Tahoma"/>
            <family val="2"/>
          </rPr>
          <t xml:space="preserve">
2714 bear</t>
        </r>
      </text>
    </comment>
    <comment ref="DX74" authorId="1" shapeId="0" xr:uid="{00000000-0006-0000-0700-0000AB020000}">
      <text>
        <r>
          <rPr>
            <b/>
            <sz val="8"/>
            <color indexed="81"/>
            <rFont val="Tahoma"/>
            <family val="2"/>
          </rPr>
          <t>Martin Shkreli:</t>
        </r>
        <r>
          <rPr>
            <sz val="8"/>
            <color indexed="81"/>
            <rFont val="Tahoma"/>
            <family val="2"/>
          </rPr>
          <t xml:space="preserve">
2967 bear</t>
        </r>
      </text>
    </comment>
    <comment ref="DY74" authorId="1" shapeId="0" xr:uid="{00000000-0006-0000-0700-0000AC020000}">
      <text>
        <r>
          <rPr>
            <b/>
            <sz val="8"/>
            <color indexed="81"/>
            <rFont val="Tahoma"/>
            <family val="2"/>
          </rPr>
          <t>Martin Shkreli:</t>
        </r>
        <r>
          <rPr>
            <sz val="8"/>
            <color indexed="81"/>
            <rFont val="Tahoma"/>
            <family val="2"/>
          </rPr>
          <t xml:space="preserve">
3017 bear</t>
        </r>
      </text>
    </comment>
    <comment ref="DZ74" authorId="1" shapeId="0" xr:uid="{00000000-0006-0000-0700-0000AD020000}">
      <text>
        <r>
          <rPr>
            <b/>
            <sz val="8"/>
            <color indexed="81"/>
            <rFont val="Tahoma"/>
            <family val="2"/>
          </rPr>
          <t>Martin Shkreli:</t>
        </r>
        <r>
          <rPr>
            <sz val="8"/>
            <color indexed="81"/>
            <rFont val="Tahoma"/>
            <family val="2"/>
          </rPr>
          <t xml:space="preserve">
3103 jpm
3009 bear</t>
        </r>
      </text>
    </comment>
    <comment ref="EA74" authorId="1" shapeId="0" xr:uid="{00000000-0006-0000-0700-0000AE020000}">
      <text>
        <r>
          <rPr>
            <b/>
            <sz val="8"/>
            <color indexed="81"/>
            <rFont val="Tahoma"/>
            <family val="2"/>
          </rPr>
          <t>Martin Shkreli:</t>
        </r>
        <r>
          <rPr>
            <sz val="8"/>
            <color indexed="81"/>
            <rFont val="Tahoma"/>
            <family val="2"/>
          </rPr>
          <t xml:space="preserve">
3099 jpm
3103 bear</t>
        </r>
      </text>
    </comment>
    <comment ref="EB74" authorId="1" shapeId="0" xr:uid="{00000000-0006-0000-0700-0000AF020000}">
      <text>
        <r>
          <rPr>
            <b/>
            <sz val="8"/>
            <color indexed="81"/>
            <rFont val="Tahoma"/>
            <family val="2"/>
          </rPr>
          <t>Martin Shkreli:</t>
        </r>
        <r>
          <rPr>
            <sz val="8"/>
            <color indexed="81"/>
            <rFont val="Tahoma"/>
            <family val="2"/>
          </rPr>
          <t xml:space="preserve">
3112 bear</t>
        </r>
      </text>
    </comment>
    <comment ref="EC74" authorId="1" shapeId="0" xr:uid="{00000000-0006-0000-0700-0000B0020000}">
      <text>
        <r>
          <rPr>
            <b/>
            <sz val="8"/>
            <color indexed="81"/>
            <rFont val="Tahoma"/>
            <family val="2"/>
          </rPr>
          <t>Martin Shkreli:</t>
        </r>
        <r>
          <rPr>
            <sz val="8"/>
            <color indexed="81"/>
            <rFont val="Tahoma"/>
            <family val="2"/>
          </rPr>
          <t xml:space="preserve">
3063 bear</t>
        </r>
      </text>
    </comment>
    <comment ref="ED74" authorId="1" shapeId="0" xr:uid="{00000000-0006-0000-0700-0000B1020000}">
      <text>
        <r>
          <rPr>
            <b/>
            <sz val="8"/>
            <color indexed="81"/>
            <rFont val="Tahoma"/>
            <family val="2"/>
          </rPr>
          <t>Martin Shkreli:</t>
        </r>
        <r>
          <rPr>
            <sz val="8"/>
            <color indexed="81"/>
            <rFont val="Tahoma"/>
            <family val="2"/>
          </rPr>
          <t xml:space="preserve">
3012 bear</t>
        </r>
      </text>
    </comment>
    <comment ref="EE74" authorId="1" shapeId="0" xr:uid="{00000000-0006-0000-0700-0000B2020000}">
      <text>
        <r>
          <rPr>
            <b/>
            <sz val="8"/>
            <color indexed="81"/>
            <rFont val="Tahoma"/>
            <family val="2"/>
          </rPr>
          <t>Martin Shkreli:</t>
        </r>
        <r>
          <rPr>
            <sz val="8"/>
            <color indexed="81"/>
            <rFont val="Tahoma"/>
            <family val="2"/>
          </rPr>
          <t xml:space="preserve">
3008 bear</t>
        </r>
      </text>
    </comment>
    <comment ref="EF74" authorId="1" shapeId="0" xr:uid="{00000000-0006-0000-0700-0000B3020000}">
      <text>
        <r>
          <rPr>
            <b/>
            <sz val="8"/>
            <color indexed="81"/>
            <rFont val="Tahoma"/>
            <family val="2"/>
          </rPr>
          <t>Martin Shkreli:</t>
        </r>
        <r>
          <rPr>
            <sz val="8"/>
            <color indexed="81"/>
            <rFont val="Tahoma"/>
            <family val="2"/>
          </rPr>
          <t xml:space="preserve">
3019 bear</t>
        </r>
      </text>
    </comment>
    <comment ref="BD75" authorId="3" shapeId="0" xr:uid="{00000000-0006-0000-0700-0000B4020000}">
      <text>
        <r>
          <rPr>
            <b/>
            <sz val="9"/>
            <color indexed="81"/>
            <rFont val="Tahoma"/>
            <family val="2"/>
          </rPr>
          <t>MSMB:</t>
        </r>
        <r>
          <rPr>
            <sz val="9"/>
            <color indexed="81"/>
            <rFont val="Tahoma"/>
            <family val="2"/>
          </rPr>
          <t xml:space="preserve">
was 1.24</t>
        </r>
      </text>
    </comment>
    <comment ref="EG75"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5"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5" authorId="2" shapeId="0" xr:uid="{00000000-0006-0000-0700-0000B7020000}">
      <text>
        <r>
          <rPr>
            <sz val="8"/>
            <color indexed="8"/>
            <rFont val="Times New Roman"/>
            <family val="1"/>
          </rPr>
          <t>was 4.35
was 4.30
was 4.24
"CONR deal neutral"</t>
        </r>
      </text>
    </comment>
    <comment ref="EJ75" authorId="2" shapeId="0" xr:uid="{00000000-0006-0000-0700-0000B8020000}">
      <text>
        <r>
          <rPr>
            <sz val="8"/>
            <color indexed="8"/>
            <rFont val="Times New Roman"/>
            <family val="1"/>
          </rPr>
          <t>Q109: 4.49
was 4.71
was 4.70
was 4.64
was 4.47</t>
        </r>
      </text>
    </comment>
    <comment ref="EK75" authorId="2" shapeId="0" xr:uid="{00000000-0006-0000-0700-0000B9020000}">
      <text>
        <r>
          <rPr>
            <sz val="8"/>
            <color indexed="8"/>
            <rFont val="Times New Roman"/>
            <family val="1"/>
          </rPr>
          <t>was 5.20
was 5.10
was 4.96
was 4.90
was 4.87
was 4.92
was 4.71</t>
        </r>
      </text>
    </comment>
    <comment ref="EL75" authorId="2" shapeId="0" xr:uid="{00000000-0006-0000-0700-0000BA020000}">
      <text>
        <r>
          <rPr>
            <sz val="8"/>
            <color indexed="8"/>
            <rFont val="Times New Roman"/>
            <family val="1"/>
          </rPr>
          <t>was 5.80
was 5.57
was 5.26
was 5.21
was 5.10
was 5.37</t>
        </r>
      </text>
    </comment>
    <comment ref="EM75" authorId="1" shapeId="0" xr:uid="{00000000-0006-0000-0700-0000BB020000}">
      <text>
        <r>
          <rPr>
            <b/>
            <sz val="8"/>
            <color indexed="81"/>
            <rFont val="Tahoma"/>
            <family val="2"/>
          </rPr>
          <t>Martin Shkreli:</t>
        </r>
        <r>
          <rPr>
            <sz val="8"/>
            <color indexed="81"/>
            <rFont val="Tahoma"/>
            <family val="2"/>
          </rPr>
          <t xml:space="preserve">
was 6.39
was 6.22
was 5.83</t>
        </r>
      </text>
    </comment>
    <comment ref="EN75" authorId="0" shapeId="0" xr:uid="{00000000-0006-0000-0700-0000BC020000}">
      <text>
        <r>
          <rPr>
            <b/>
            <sz val="9"/>
            <color indexed="81"/>
            <rFont val="Tahoma"/>
            <family val="2"/>
          </rPr>
          <t>MSMB - Andre:</t>
        </r>
        <r>
          <rPr>
            <sz val="9"/>
            <color indexed="81"/>
            <rFont val="Tahoma"/>
            <family val="2"/>
          </rPr>
          <t xml:space="preserve">
was 6.28</t>
        </r>
      </text>
    </comment>
    <comment ref="EO75" authorId="0" shapeId="0" xr:uid="{00000000-0006-0000-0700-0000BD020000}">
      <text>
        <r>
          <rPr>
            <b/>
            <sz val="9"/>
            <color indexed="81"/>
            <rFont val="Tahoma"/>
            <family val="2"/>
          </rPr>
          <t>MSMB - Andre:</t>
        </r>
        <r>
          <rPr>
            <sz val="9"/>
            <color indexed="81"/>
            <rFont val="Tahoma"/>
            <family val="2"/>
          </rPr>
          <t xml:space="preserve">
was 6.59</t>
        </r>
      </text>
    </comment>
    <comment ref="BM77"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77" authorId="48"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77"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77" authorId="2" shapeId="0" xr:uid="{00000000-0006-0000-0700-0000C0020000}">
      <text>
        <r>
          <rPr>
            <sz val="8"/>
            <color indexed="8"/>
            <rFont val="Times New Roman"/>
            <family val="1"/>
          </rPr>
          <t>Guidance on Q208 call: 
1-2% op growth. 4.5% favorable currency impact if exchange rates don't change. 4-5% growth</t>
        </r>
      </text>
    </comment>
    <comment ref="EJ80" authorId="0" shapeId="0" xr:uid="{00000000-0006-0000-0700-0000C1020000}">
      <text>
        <r>
          <rPr>
            <sz val="9"/>
            <color indexed="81"/>
            <rFont val="Tahoma"/>
            <family val="2"/>
          </rPr>
          <t>1.8% claimed by JNJ</t>
        </r>
      </text>
    </comment>
    <comment ref="BM89" authorId="4" shapeId="0" xr:uid="{00000000-0006-0000-0700-0000C2020000}">
      <text>
        <r>
          <rPr>
            <b/>
            <sz val="9"/>
            <color indexed="81"/>
            <rFont val="Tahoma"/>
            <family val="2"/>
          </rPr>
          <t>Martin:</t>
        </r>
        <r>
          <rPr>
            <sz val="9"/>
            <color indexed="81"/>
            <rFont val="Tahoma"/>
            <family val="2"/>
          </rPr>
          <t xml:space="preserve">
Synthes
</t>
        </r>
      </text>
    </comment>
    <comment ref="EJ89" authorId="0" shapeId="0" xr:uid="{00000000-0006-0000-0700-0000C3020000}">
      <text>
        <r>
          <rPr>
            <sz val="9"/>
            <color indexed="81"/>
            <rFont val="Tahoma"/>
            <family val="2"/>
          </rPr>
          <t>8% operational growth</t>
        </r>
      </text>
    </comment>
    <comment ref="EJ90" authorId="0" shapeId="0" xr:uid="{00000000-0006-0000-0700-0000C4020000}">
      <text>
        <r>
          <rPr>
            <sz val="9"/>
            <color indexed="81"/>
            <rFont val="Tahoma"/>
            <family val="2"/>
          </rPr>
          <t>11% operational</t>
        </r>
      </text>
    </comment>
    <comment ref="EJ91" authorId="0" shapeId="0" xr:uid="{00000000-0006-0000-0700-0000C5020000}">
      <text>
        <r>
          <rPr>
            <sz val="9"/>
            <color indexed="81"/>
            <rFont val="Tahoma"/>
            <family val="2"/>
          </rPr>
          <t>8% operational</t>
        </r>
      </text>
    </comment>
    <comment ref="AM94"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4"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4"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EH99"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T102"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2" authorId="1" shapeId="0" xr:uid="{00000000-0006-0000-0700-0000CB020000}">
      <text>
        <r>
          <rPr>
            <b/>
            <sz val="8"/>
            <color indexed="81"/>
            <rFont val="Tahoma"/>
            <family val="2"/>
          </rPr>
          <t>Martin Shkreli:</t>
        </r>
        <r>
          <rPr>
            <sz val="8"/>
            <color indexed="81"/>
            <rFont val="Tahoma"/>
            <family val="2"/>
          </rPr>
          <t xml:space="preserve">
11230 JPM</t>
        </r>
      </text>
    </comment>
    <comment ref="EA102" authorId="1" shapeId="0" xr:uid="{00000000-0006-0000-0700-0000CC020000}">
      <text>
        <r>
          <rPr>
            <b/>
            <sz val="8"/>
            <color indexed="81"/>
            <rFont val="Tahoma"/>
            <family val="2"/>
          </rPr>
          <t>Martin Shkreli:</t>
        </r>
        <r>
          <rPr>
            <sz val="8"/>
            <color indexed="81"/>
            <rFont val="Tahoma"/>
            <family val="2"/>
          </rPr>
          <t xml:space="preserve">
12661 bear</t>
        </r>
      </text>
    </comment>
    <comment ref="EJ102" authorId="1" shapeId="0" xr:uid="{00000000-0006-0000-0700-0000CD020000}">
      <text>
        <r>
          <rPr>
            <b/>
            <sz val="8"/>
            <color indexed="81"/>
            <rFont val="Tahoma"/>
            <family val="2"/>
          </rPr>
          <t>Martin Shkreli:</t>
        </r>
        <r>
          <rPr>
            <sz val="8"/>
            <color indexed="81"/>
            <rFont val="Tahoma"/>
            <family val="2"/>
          </rPr>
          <t xml:space="preserve">
was 26 many years ago</t>
        </r>
      </text>
    </comment>
    <comment ref="EK102" authorId="1" shapeId="0" xr:uid="{00000000-0006-0000-0700-0000CE020000}">
      <text>
        <r>
          <rPr>
            <b/>
            <sz val="8"/>
            <color indexed="81"/>
            <rFont val="Tahoma"/>
            <family val="2"/>
          </rPr>
          <t>Martin Shkreli:</t>
        </r>
        <r>
          <rPr>
            <sz val="8"/>
            <color indexed="81"/>
            <rFont val="Tahoma"/>
            <family val="2"/>
          </rPr>
          <t xml:space="preserve">
was 26 many years ago</t>
        </r>
      </text>
    </comment>
    <comment ref="AI103" authorId="1" shapeId="0" xr:uid="{00000000-0006-0000-0700-0000CF020000}">
      <text>
        <r>
          <rPr>
            <b/>
            <sz val="8"/>
            <color indexed="81"/>
            <rFont val="Tahoma"/>
            <family val="2"/>
          </rPr>
          <t>Martin Shkreli:</t>
        </r>
        <r>
          <rPr>
            <sz val="8"/>
            <color indexed="81"/>
            <rFont val="Tahoma"/>
            <family val="2"/>
          </rPr>
          <t xml:space="preserve">
bear 2137</t>
        </r>
      </text>
    </comment>
    <comment ref="EA103" authorId="1" shapeId="0" xr:uid="{00000000-0006-0000-0700-0000D0020000}">
      <text>
        <r>
          <rPr>
            <b/>
            <sz val="8"/>
            <color indexed="81"/>
            <rFont val="Tahoma"/>
            <family val="2"/>
          </rPr>
          <t>Martin Shkreli:</t>
        </r>
        <r>
          <rPr>
            <sz val="8"/>
            <color indexed="81"/>
            <rFont val="Tahoma"/>
            <family val="2"/>
          </rPr>
          <t xml:space="preserve">
4394 bear</t>
        </r>
      </text>
    </comment>
    <comment ref="EF103" authorId="1" shapeId="0" xr:uid="{00000000-0006-0000-0700-0000D1020000}">
      <text>
        <r>
          <rPr>
            <b/>
            <sz val="8"/>
            <color indexed="81"/>
            <rFont val="Tahoma"/>
            <family val="2"/>
          </rPr>
          <t>Martin Shkreli:</t>
        </r>
        <r>
          <rPr>
            <sz val="8"/>
            <color indexed="81"/>
            <rFont val="Tahoma"/>
            <family val="2"/>
          </rPr>
          <t xml:space="preserve">
6610 bear</t>
        </r>
      </text>
    </comment>
    <comment ref="AM104"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9" authorId="1" shapeId="0" xr:uid="{00000000-0006-0000-0700-0000D3020000}">
      <text>
        <r>
          <rPr>
            <b/>
            <sz val="8"/>
            <color indexed="81"/>
            <rFont val="Tahoma"/>
            <family val="2"/>
          </rPr>
          <t>Martin Shkreli:</t>
        </r>
        <r>
          <rPr>
            <sz val="8"/>
            <color indexed="81"/>
            <rFont val="Tahoma"/>
            <family val="2"/>
          </rPr>
          <t xml:space="preserve">
Bear 2515 actual</t>
        </r>
      </text>
    </comment>
    <comment ref="P109" authorId="1" shapeId="0" xr:uid="{00000000-0006-0000-0700-0000D4020000}">
      <text>
        <r>
          <rPr>
            <b/>
            <sz val="8"/>
            <color indexed="81"/>
            <rFont val="Tahoma"/>
            <family val="2"/>
          </rPr>
          <t>Martin Shkreli:</t>
        </r>
        <r>
          <rPr>
            <sz val="8"/>
            <color indexed="81"/>
            <rFont val="Tahoma"/>
            <family val="2"/>
          </rPr>
          <t xml:space="preserve">
Bear 2570 actual</t>
        </r>
      </text>
    </comment>
    <comment ref="Q109" authorId="1" shapeId="0" xr:uid="{00000000-0006-0000-0700-0000D5020000}">
      <text>
        <r>
          <rPr>
            <b/>
            <sz val="8"/>
            <color indexed="81"/>
            <rFont val="Tahoma"/>
            <family val="2"/>
          </rPr>
          <t>Martin Shkreli:</t>
        </r>
        <r>
          <rPr>
            <sz val="8"/>
            <color indexed="81"/>
            <rFont val="Tahoma"/>
            <family val="2"/>
          </rPr>
          <t xml:space="preserve">
Bear 2538 actual</t>
        </r>
      </text>
    </comment>
    <comment ref="R109" authorId="1" shapeId="0" xr:uid="{00000000-0006-0000-0700-0000D6020000}">
      <text>
        <r>
          <rPr>
            <b/>
            <sz val="8"/>
            <color indexed="81"/>
            <rFont val="Tahoma"/>
            <family val="2"/>
          </rPr>
          <t>Martin Shkreli:</t>
        </r>
        <r>
          <rPr>
            <sz val="8"/>
            <color indexed="81"/>
            <rFont val="Tahoma"/>
            <family val="2"/>
          </rPr>
          <t xml:space="preserve">
2618 bear actual</t>
        </r>
      </text>
    </comment>
    <comment ref="DZ109" authorId="1" shapeId="0" xr:uid="{00000000-0006-0000-0700-0000D7020000}">
      <text>
        <r>
          <rPr>
            <b/>
            <sz val="8"/>
            <color indexed="81"/>
            <rFont val="Tahoma"/>
            <family val="2"/>
          </rPr>
          <t>Martin Shkreli:</t>
        </r>
        <r>
          <rPr>
            <sz val="8"/>
            <color indexed="81"/>
            <rFont val="Tahoma"/>
            <family val="2"/>
          </rPr>
          <t xml:space="preserve">
9914 Bear actual</t>
        </r>
      </text>
    </comment>
    <comment ref="EA109" authorId="1" shapeId="0" xr:uid="{00000000-0006-0000-0700-0000D8020000}">
      <text>
        <r>
          <rPr>
            <b/>
            <sz val="8"/>
            <color indexed="81"/>
            <rFont val="Tahoma"/>
            <family val="2"/>
          </rPr>
          <t>Martin Shkreli:</t>
        </r>
        <r>
          <rPr>
            <sz val="8"/>
            <color indexed="81"/>
            <rFont val="Tahoma"/>
            <family val="2"/>
          </rPr>
          <t xml:space="preserve">
10240 bear</t>
        </r>
      </text>
    </comment>
    <comment ref="EB109" authorId="1" shapeId="0" xr:uid="{00000000-0006-0000-0700-0000D9020000}">
      <text>
        <r>
          <rPr>
            <b/>
            <sz val="8"/>
            <color indexed="81"/>
            <rFont val="Tahoma"/>
            <family val="2"/>
          </rPr>
          <t>Martin Shkreli:</t>
        </r>
        <r>
          <rPr>
            <sz val="8"/>
            <color indexed="81"/>
            <rFont val="Tahoma"/>
            <family val="2"/>
          </rPr>
          <t xml:space="preserve">
11146 bear
</t>
        </r>
      </text>
    </comment>
    <comment ref="EC109" authorId="1" shapeId="0" xr:uid="{00000000-0006-0000-0700-0000DA020000}">
      <text>
        <r>
          <rPr>
            <b/>
            <sz val="8"/>
            <color indexed="81"/>
            <rFont val="Tahoma"/>
            <family val="2"/>
          </rPr>
          <t>Martin Shkreli:</t>
        </r>
        <r>
          <rPr>
            <sz val="8"/>
            <color indexed="81"/>
            <rFont val="Tahoma"/>
            <family val="2"/>
          </rPr>
          <t xml:space="preserve">
12583 Bear actual</t>
        </r>
      </text>
    </comment>
    <comment ref="EJ109" authorId="1" shapeId="0" xr:uid="{00000000-0006-0000-0700-0000DB020000}">
      <text>
        <r>
          <rPr>
            <b/>
            <sz val="8"/>
            <color indexed="81"/>
            <rFont val="Tahoma"/>
            <family val="2"/>
          </rPr>
          <t>Martin Shkreli:</t>
        </r>
        <r>
          <rPr>
            <sz val="8"/>
            <color indexed="81"/>
            <rFont val="Tahoma"/>
            <family val="2"/>
          </rPr>
          <t xml:space="preserve">
was 23 many years ago</t>
        </r>
      </text>
    </comment>
    <comment ref="EK109" authorId="1" shapeId="0" xr:uid="{00000000-0006-0000-0700-0000DC020000}">
      <text>
        <r>
          <rPr>
            <b/>
            <sz val="8"/>
            <color indexed="81"/>
            <rFont val="Tahoma"/>
            <family val="2"/>
          </rPr>
          <t>Martin Shkreli:</t>
        </r>
        <r>
          <rPr>
            <sz val="8"/>
            <color indexed="81"/>
            <rFont val="Tahoma"/>
            <family val="2"/>
          </rPr>
          <t xml:space="preserve">
was 25 many years ago</t>
        </r>
      </text>
    </comment>
    <comment ref="AI110" authorId="1" shapeId="0" xr:uid="{00000000-0006-0000-0700-0000DD020000}">
      <text>
        <r>
          <rPr>
            <b/>
            <sz val="8"/>
            <color indexed="81"/>
            <rFont val="Tahoma"/>
            <family val="2"/>
          </rPr>
          <t>Martin Shkreli:</t>
        </r>
        <r>
          <rPr>
            <sz val="8"/>
            <color indexed="81"/>
            <rFont val="Tahoma"/>
            <family val="2"/>
          </rPr>
          <t xml:space="preserve">
1493 bear</t>
        </r>
      </text>
    </comment>
    <comment ref="EA116" authorId="1" shapeId="0" xr:uid="{00000000-0006-0000-0700-0000DE020000}">
      <text>
        <r>
          <rPr>
            <b/>
            <sz val="8"/>
            <color indexed="81"/>
            <rFont val="Tahoma"/>
            <family val="2"/>
          </rPr>
          <t>Martin Shkreli:</t>
        </r>
        <r>
          <rPr>
            <sz val="8"/>
            <color indexed="81"/>
            <rFont val="Tahoma"/>
            <family val="2"/>
          </rPr>
          <t xml:space="preserve">
6271 bear</t>
        </r>
      </text>
    </comment>
    <comment ref="EB116" authorId="1" shapeId="0" xr:uid="{00000000-0006-0000-0700-0000DF020000}">
      <text>
        <r>
          <rPr>
            <b/>
            <sz val="8"/>
            <color indexed="81"/>
            <rFont val="Tahoma"/>
            <family val="2"/>
          </rPr>
          <t>Martin Shkreli:</t>
        </r>
        <r>
          <rPr>
            <sz val="8"/>
            <color indexed="81"/>
            <rFont val="Tahoma"/>
            <family val="2"/>
          </rPr>
          <t xml:space="preserve">
6321 bear</t>
        </r>
      </text>
    </comment>
    <comment ref="EJ116"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16"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7" authorId="1" shapeId="0" xr:uid="{00000000-0006-0000-0700-0000E2020000}">
      <text>
        <r>
          <rPr>
            <b/>
            <sz val="8"/>
            <color indexed="81"/>
            <rFont val="Tahoma"/>
            <family val="2"/>
          </rPr>
          <t>Martin Shkreli:</t>
        </r>
        <r>
          <rPr>
            <sz val="8"/>
            <color indexed="81"/>
            <rFont val="Tahoma"/>
            <family val="2"/>
          </rPr>
          <t xml:space="preserve">
bear 457</t>
        </r>
      </text>
    </comment>
    <comment ref="AM118"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1" authorId="1" shapeId="0" xr:uid="{00000000-0006-0000-0700-0000E4020000}">
      <text>
        <r>
          <rPr>
            <b/>
            <sz val="8"/>
            <color indexed="81"/>
            <rFont val="Tahoma"/>
            <family val="2"/>
          </rPr>
          <t>Martin Shkreli:</t>
        </r>
        <r>
          <rPr>
            <sz val="8"/>
            <color indexed="81"/>
            <rFont val="Tahoma"/>
            <family val="2"/>
          </rPr>
          <t xml:space="preserve">
+1.0% excluding Zyrtec</t>
        </r>
      </text>
    </comment>
    <comment ref="AR124"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24"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24" authorId="0" shapeId="0" xr:uid="{00000000-0006-0000-0700-0000E7020000}">
      <text>
        <r>
          <rPr>
            <sz val="9"/>
            <color indexed="81"/>
            <rFont val="Tahoma"/>
            <family val="2"/>
          </rPr>
          <t>Extra selling days accounted for half of operational growth.</t>
        </r>
      </text>
    </comment>
    <comment ref="AL127"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29" authorId="1" shapeId="0" xr:uid="{00000000-0006-0000-0700-0000E9020000}">
      <text>
        <r>
          <rPr>
            <b/>
            <sz val="8"/>
            <color indexed="81"/>
            <rFont val="Tahoma"/>
            <family val="2"/>
          </rPr>
          <t>Martin Shkreli:</t>
        </r>
        <r>
          <rPr>
            <sz val="8"/>
            <color indexed="81"/>
            <rFont val="Tahoma"/>
            <family val="2"/>
          </rPr>
          <t xml:space="preserve">
15532 bear</t>
        </r>
      </text>
    </comment>
    <comment ref="EA129" authorId="1" shapeId="0" xr:uid="{00000000-0006-0000-0700-0000EA020000}">
      <text>
        <r>
          <rPr>
            <b/>
            <sz val="8"/>
            <color indexed="81"/>
            <rFont val="Tahoma"/>
            <family val="2"/>
          </rPr>
          <t>Martin Shkreli:</t>
        </r>
        <r>
          <rPr>
            <sz val="8"/>
            <color indexed="81"/>
            <rFont val="Tahoma"/>
            <family val="2"/>
          </rPr>
          <t xml:space="preserve">
17316 bear</t>
        </r>
      </text>
    </comment>
    <comment ref="AA133"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33"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33"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33"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Z133" authorId="1" shapeId="0" xr:uid="{00000000-0006-0000-0700-0000EF020000}">
      <text>
        <r>
          <rPr>
            <b/>
            <sz val="8"/>
            <color indexed="81"/>
            <rFont val="Tahoma"/>
            <family val="2"/>
          </rPr>
          <t>Martin Shkreli:</t>
        </r>
        <r>
          <rPr>
            <sz val="8"/>
            <color indexed="81"/>
            <rFont val="Tahoma"/>
            <family val="2"/>
          </rPr>
          <t xml:space="preserve">
11825 bear</t>
        </r>
      </text>
    </comment>
    <comment ref="EA133" authorId="1" shapeId="0" xr:uid="{00000000-0006-0000-0700-0000F0020000}">
      <text>
        <r>
          <rPr>
            <b/>
            <sz val="8"/>
            <color indexed="81"/>
            <rFont val="Tahoma"/>
            <family val="2"/>
          </rPr>
          <t>Martin Shkreli:</t>
        </r>
        <r>
          <rPr>
            <sz val="8"/>
            <color indexed="81"/>
            <rFont val="Tahoma"/>
            <family val="2"/>
          </rPr>
          <t xml:space="preserve">
11856 bear</t>
        </r>
      </text>
    </comment>
    <comment ref="EA140" authorId="1" shapeId="0" xr:uid="{00000000-0006-0000-0700-0000F1020000}">
      <text>
        <r>
          <rPr>
            <b/>
            <sz val="8"/>
            <color indexed="81"/>
            <rFont val="Tahoma"/>
            <family val="2"/>
          </rPr>
          <t>Martin Shkreli:</t>
        </r>
        <r>
          <rPr>
            <sz val="8"/>
            <color indexed="81"/>
            <rFont val="Tahoma"/>
            <family val="2"/>
          </rPr>
          <t xml:space="preserve">
1.50 share Bear</t>
        </r>
      </text>
    </comment>
    <comment ref="EB140" authorId="1" shapeId="0" xr:uid="{00000000-0006-0000-0700-0000F2020000}">
      <text>
        <r>
          <rPr>
            <b/>
            <sz val="8"/>
            <color indexed="81"/>
            <rFont val="Tahoma"/>
            <family val="2"/>
          </rPr>
          <t>Martin Shkreli:</t>
        </r>
        <r>
          <rPr>
            <sz val="8"/>
            <color indexed="81"/>
            <rFont val="Tahoma"/>
            <family val="2"/>
          </rPr>
          <t xml:space="preserve">
1.78 share Bear</t>
        </r>
      </text>
    </comment>
    <comment ref="EC140" authorId="1" shapeId="0" xr:uid="{00000000-0006-0000-0700-0000F3020000}">
      <text>
        <r>
          <rPr>
            <b/>
            <sz val="8"/>
            <color indexed="81"/>
            <rFont val="Tahoma"/>
            <family val="2"/>
          </rPr>
          <t>Martin Shkreli:</t>
        </r>
        <r>
          <rPr>
            <sz val="8"/>
            <color indexed="81"/>
            <rFont val="Tahoma"/>
            <family val="2"/>
          </rPr>
          <t xml:space="preserve">
2.13/share Bear</t>
        </r>
      </text>
    </comment>
    <comment ref="ED140" authorId="1" shapeId="0" xr:uid="{00000000-0006-0000-0700-0000F4020000}">
      <text>
        <r>
          <rPr>
            <b/>
            <sz val="8"/>
            <color indexed="81"/>
            <rFont val="Tahoma"/>
            <family val="2"/>
          </rPr>
          <t>Martin Shkreli:</t>
        </r>
        <r>
          <rPr>
            <sz val="8"/>
            <color indexed="81"/>
            <rFont val="Tahoma"/>
            <family val="2"/>
          </rPr>
          <t xml:space="preserve">
2.42/share Bear</t>
        </r>
      </text>
    </comment>
    <comment ref="EE140" authorId="1" shapeId="0" xr:uid="{00000000-0006-0000-0700-0000F5020000}">
      <text>
        <r>
          <rPr>
            <b/>
            <sz val="8"/>
            <color indexed="81"/>
            <rFont val="Tahoma"/>
            <family val="2"/>
          </rPr>
          <t>Martin Shkreli:</t>
        </r>
        <r>
          <rPr>
            <sz val="8"/>
            <color indexed="81"/>
            <rFont val="Tahoma"/>
            <family val="2"/>
          </rPr>
          <t xml:space="preserve">
3.06/share Bear</t>
        </r>
      </text>
    </comment>
    <comment ref="EF140" authorId="1" shapeId="0" xr:uid="{00000000-0006-0000-0700-0000F6020000}">
      <text>
        <r>
          <rPr>
            <b/>
            <sz val="8"/>
            <color indexed="81"/>
            <rFont val="Tahoma"/>
            <family val="2"/>
          </rPr>
          <t>Martin Shkreli:</t>
        </r>
        <r>
          <rPr>
            <sz val="8"/>
            <color indexed="81"/>
            <rFont val="Tahoma"/>
            <family val="2"/>
          </rPr>
          <t xml:space="preserve">
3.01/share Bear</t>
        </r>
      </text>
    </comment>
    <comment ref="BO191" authorId="4" shapeId="0" xr:uid="{00000000-0006-0000-0700-0000F7020000}">
      <text>
        <r>
          <rPr>
            <b/>
            <sz val="9"/>
            <color indexed="81"/>
            <rFont val="Tahoma"/>
            <family val="2"/>
          </rPr>
          <t>Martin:</t>
        </r>
        <r>
          <rPr>
            <sz val="9"/>
            <color indexed="81"/>
            <rFont val="Tahoma"/>
            <family val="2"/>
          </rPr>
          <t xml:space="preserve">
Venezuela</t>
        </r>
      </text>
    </comment>
    <comment ref="BP191" authorId="4" shapeId="0" xr:uid="{00000000-0006-0000-0700-0000F8020000}">
      <text>
        <r>
          <rPr>
            <b/>
            <sz val="9"/>
            <color indexed="81"/>
            <rFont val="Tahoma"/>
            <family val="2"/>
          </rPr>
          <t>Martin:</t>
        </r>
        <r>
          <rPr>
            <sz val="9"/>
            <color indexed="81"/>
            <rFont val="Tahoma"/>
            <family val="2"/>
          </rPr>
          <t xml:space="preserve">
Venezuela, net gain on equity</t>
        </r>
      </text>
    </comment>
    <comment ref="BQ191" authorId="4" shapeId="0" xr:uid="{00000000-0006-0000-0700-0000F9020000}">
      <text>
        <r>
          <rPr>
            <b/>
            <sz val="9"/>
            <color indexed="81"/>
            <rFont val="Tahoma"/>
            <family val="2"/>
          </rPr>
          <t>Martin:</t>
        </r>
        <r>
          <rPr>
            <sz val="9"/>
            <color indexed="81"/>
            <rFont val="Tahoma"/>
            <family val="2"/>
          </rPr>
          <t xml:space="preserve">
Venezuela, net gain on equity</t>
        </r>
      </text>
    </comment>
    <comment ref="BO204"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204" authorId="4" shapeId="0" xr:uid="{00000000-0006-0000-0700-0000FB020000}">
      <text>
        <r>
          <rPr>
            <b/>
            <sz val="9"/>
            <color indexed="81"/>
            <rFont val="Tahoma"/>
            <family val="2"/>
          </rPr>
          <t>Martin:</t>
        </r>
        <r>
          <rPr>
            <sz val="9"/>
            <color indexed="81"/>
            <rFont val="Tahoma"/>
            <family val="2"/>
          </rPr>
          <t xml:space="preserve">
Aragon</t>
        </r>
      </text>
    </comment>
    <comment ref="EJ234" authorId="3" shapeId="0" xr:uid="{00000000-0006-0000-0700-0000FC020000}">
      <text>
        <r>
          <rPr>
            <b/>
            <sz val="9"/>
            <color indexed="81"/>
            <rFont val="Tahoma"/>
            <family val="2"/>
          </rPr>
          <t>MSMB:</t>
        </r>
        <r>
          <rPr>
            <sz val="9"/>
            <color indexed="81"/>
            <rFont val="Tahoma"/>
            <family val="2"/>
          </rPr>
          <t xml:space="preserve">
3/9/09</t>
        </r>
      </text>
    </comment>
    <comment ref="Q244" authorId="1" shapeId="0" xr:uid="{00000000-0006-0000-0700-0000FD020000}">
      <text>
        <r>
          <rPr>
            <b/>
            <sz val="8"/>
            <color indexed="81"/>
            <rFont val="Tahoma"/>
            <family val="2"/>
          </rPr>
          <t>Martin Shkreli:</t>
        </r>
        <r>
          <rPr>
            <sz val="8"/>
            <color indexed="81"/>
            <rFont val="Tahoma"/>
            <family val="2"/>
          </rPr>
          <t xml:space="preserve">
100m destocking hit</t>
        </r>
      </text>
    </comment>
    <comment ref="T244" authorId="1" shapeId="0" xr:uid="{00000000-0006-0000-0700-0000FE020000}">
      <text>
        <r>
          <rPr>
            <b/>
            <sz val="8"/>
            <color indexed="81"/>
            <rFont val="Tahoma"/>
            <family val="2"/>
          </rPr>
          <t>Martin Shkreli:</t>
        </r>
        <r>
          <rPr>
            <sz val="8"/>
            <color indexed="81"/>
            <rFont val="Tahoma"/>
            <family val="2"/>
          </rPr>
          <t xml:space="preserve">
AZA?</t>
        </r>
      </text>
    </comment>
    <comment ref="EA244" authorId="1" shapeId="0" xr:uid="{00000000-0006-0000-0700-0000FF020000}">
      <text>
        <r>
          <rPr>
            <b/>
            <sz val="8"/>
            <color indexed="81"/>
            <rFont val="Tahoma"/>
            <family val="2"/>
          </rPr>
          <t>Martin Shkreli:</t>
        </r>
        <r>
          <rPr>
            <sz val="8"/>
            <color indexed="81"/>
            <rFont val="Tahoma"/>
            <family val="2"/>
          </rPr>
          <t xml:space="preserve">
8441 bear</t>
        </r>
      </text>
    </comment>
    <comment ref="Q245" authorId="1" shapeId="0" xr:uid="{00000000-0006-0000-0700-000000030000}">
      <text>
        <r>
          <rPr>
            <b/>
            <sz val="8"/>
            <color indexed="81"/>
            <rFont val="Tahoma"/>
            <family val="2"/>
          </rPr>
          <t>Martin Shkreli:</t>
        </r>
        <r>
          <rPr>
            <sz val="8"/>
            <color indexed="81"/>
            <rFont val="Tahoma"/>
            <family val="2"/>
          </rPr>
          <t xml:space="preserve">
8% constant FX growth</t>
        </r>
      </text>
    </comment>
    <comment ref="EA245" authorId="1" shapeId="0" xr:uid="{00000000-0006-0000-0700-000001030000}">
      <text>
        <r>
          <rPr>
            <b/>
            <sz val="8"/>
            <color indexed="81"/>
            <rFont val="Tahoma"/>
            <family val="2"/>
          </rPr>
          <t>Martin Shkreli:</t>
        </r>
        <r>
          <rPr>
            <sz val="8"/>
            <color indexed="81"/>
            <rFont val="Tahoma"/>
            <family val="2"/>
          </rPr>
          <t xml:space="preserve">
4220 bear</t>
        </r>
      </text>
    </comment>
    <comment ref="Q246" authorId="1" shapeId="0" xr:uid="{00000000-0006-0000-0700-000002030000}">
      <text>
        <r>
          <rPr>
            <b/>
            <sz val="8"/>
            <color indexed="81"/>
            <rFont val="Tahoma"/>
            <family val="2"/>
          </rPr>
          <t>Martin Shkreli:</t>
        </r>
        <r>
          <rPr>
            <sz val="8"/>
            <color indexed="81"/>
            <rFont val="Tahoma"/>
            <family val="2"/>
          </rPr>
          <t xml:space="preserve">
11% constant FX growth</t>
        </r>
      </text>
    </comment>
    <comment ref="AA246" authorId="1" shapeId="0" xr:uid="{00000000-0006-0000-0700-000003030000}">
      <text>
        <r>
          <rPr>
            <b/>
            <sz val="8"/>
            <color indexed="81"/>
            <rFont val="Tahoma"/>
            <family val="2"/>
          </rPr>
          <t>Martin Shkreli:</t>
        </r>
        <r>
          <rPr>
            <sz val="8"/>
            <color indexed="81"/>
            <rFont val="Tahoma"/>
            <family val="2"/>
          </rPr>
          <t xml:space="preserve">
7.8% CC</t>
        </r>
      </text>
    </comment>
    <comment ref="AC246" authorId="1" shapeId="0" xr:uid="{00000000-0006-0000-0700-000004030000}">
      <text>
        <r>
          <rPr>
            <b/>
            <sz val="8"/>
            <color indexed="81"/>
            <rFont val="Tahoma"/>
            <family val="2"/>
          </rPr>
          <t>Martin Shkreli:</t>
        </r>
        <r>
          <rPr>
            <sz val="8"/>
            <color indexed="81"/>
            <rFont val="Tahoma"/>
            <family val="2"/>
          </rPr>
          <t xml:space="preserve">
9.7% CC growth</t>
        </r>
      </text>
    </comment>
    <comment ref="DZ246" authorId="1" shapeId="0" xr:uid="{00000000-0006-0000-0700-000005030000}">
      <text>
        <r>
          <rPr>
            <b/>
            <sz val="8"/>
            <color indexed="81"/>
            <rFont val="Tahoma"/>
            <family val="2"/>
          </rPr>
          <t>Martin Shkreli:</t>
        </r>
        <r>
          <rPr>
            <sz val="8"/>
            <color indexed="81"/>
            <rFont val="Tahoma"/>
            <family val="2"/>
          </rPr>
          <t xml:space="preserve">
jpm may incl alza</t>
        </r>
      </text>
    </comment>
    <comment ref="EA246" authorId="1" shapeId="0" xr:uid="{00000000-0006-0000-0700-000006030000}">
      <text>
        <r>
          <rPr>
            <b/>
            <sz val="8"/>
            <color indexed="81"/>
            <rFont val="Tahoma"/>
            <family val="2"/>
          </rPr>
          <t>Martin Shkreli:</t>
        </r>
        <r>
          <rPr>
            <sz val="8"/>
            <color indexed="81"/>
            <rFont val="Tahoma"/>
            <family val="2"/>
          </rPr>
          <t xml:space="preserve">
jpm may incl alza</t>
        </r>
      </text>
    </comment>
    <comment ref="DZ247" authorId="1" shapeId="0" xr:uid="{00000000-0006-0000-0700-000007030000}">
      <text>
        <r>
          <rPr>
            <b/>
            <sz val="8"/>
            <color indexed="81"/>
            <rFont val="Tahoma"/>
            <family val="2"/>
          </rPr>
          <t>Martin Shkreli:</t>
        </r>
        <r>
          <rPr>
            <sz val="8"/>
            <color indexed="81"/>
            <rFont val="Tahoma"/>
            <family val="2"/>
          </rPr>
          <t xml:space="preserve">
5266 bear</t>
        </r>
      </text>
    </comment>
    <comment ref="EA247" authorId="1" shapeId="0" xr:uid="{00000000-0006-0000-0700-000008030000}">
      <text>
        <r>
          <rPr>
            <b/>
            <sz val="8"/>
            <color indexed="81"/>
            <rFont val="Tahoma"/>
            <family val="2"/>
          </rPr>
          <t>Martin Shkreli:</t>
        </r>
        <r>
          <rPr>
            <sz val="8"/>
            <color indexed="81"/>
            <rFont val="Tahoma"/>
            <family val="2"/>
          </rPr>
          <t xml:space="preserve">
5472 bear</t>
        </r>
      </text>
    </comment>
    <comment ref="Q248" authorId="1" shapeId="0" xr:uid="{00000000-0006-0000-0700-000009030000}">
      <text>
        <r>
          <rPr>
            <b/>
            <sz val="8"/>
            <color indexed="81"/>
            <rFont val="Tahoma"/>
            <family val="2"/>
          </rPr>
          <t>Martin Shkreli:</t>
        </r>
        <r>
          <rPr>
            <sz val="8"/>
            <color indexed="81"/>
            <rFont val="Tahoma"/>
            <family val="2"/>
          </rPr>
          <t xml:space="preserve">
12% constant FX growth</t>
        </r>
      </text>
    </comment>
    <comment ref="DZ248" authorId="1" shapeId="0" xr:uid="{00000000-0006-0000-0700-00000A030000}">
      <text>
        <r>
          <rPr>
            <b/>
            <sz val="8"/>
            <color indexed="81"/>
            <rFont val="Tahoma"/>
            <family val="2"/>
          </rPr>
          <t>Martin Shkreli:</t>
        </r>
        <r>
          <rPr>
            <sz val="8"/>
            <color indexed="81"/>
            <rFont val="Tahoma"/>
            <family val="2"/>
          </rPr>
          <t xml:space="preserve">
4613 bear</t>
        </r>
      </text>
    </comment>
    <comment ref="EA248" authorId="1" shapeId="0" xr:uid="{00000000-0006-0000-0700-00000B030000}">
      <text>
        <r>
          <rPr>
            <b/>
            <sz val="8"/>
            <color indexed="81"/>
            <rFont val="Tahoma"/>
            <family val="2"/>
          </rPr>
          <t>Martin Shkreli:</t>
        </r>
        <r>
          <rPr>
            <sz val="8"/>
            <color indexed="81"/>
            <rFont val="Tahoma"/>
            <family val="2"/>
          </rPr>
          <t xml:space="preserve">
4768 bear</t>
        </r>
      </text>
    </comment>
    <comment ref="Q249" authorId="1" shapeId="0" xr:uid="{00000000-0006-0000-0700-00000C030000}">
      <text>
        <r>
          <rPr>
            <b/>
            <sz val="8"/>
            <color indexed="81"/>
            <rFont val="Tahoma"/>
            <family val="2"/>
          </rPr>
          <t>Martin Shkreli:</t>
        </r>
        <r>
          <rPr>
            <sz val="8"/>
            <color indexed="81"/>
            <rFont val="Tahoma"/>
            <family val="2"/>
          </rPr>
          <t xml:space="preserve">
8% constant FX growth</t>
        </r>
      </text>
    </comment>
    <comment ref="DZ249" authorId="1" shapeId="0" xr:uid="{00000000-0006-0000-0700-00000D030000}">
      <text>
        <r>
          <rPr>
            <b/>
            <sz val="8"/>
            <color indexed="81"/>
            <rFont val="Tahoma"/>
            <family val="2"/>
          </rPr>
          <t>Martin Shkreli:</t>
        </r>
        <r>
          <rPr>
            <sz val="8"/>
            <color indexed="81"/>
            <rFont val="Tahoma"/>
            <family val="2"/>
          </rPr>
          <t xml:space="preserve">
9879 bear</t>
        </r>
      </text>
    </comment>
    <comment ref="EA249" authorId="1" shapeId="0" xr:uid="{00000000-0006-0000-0700-00000E030000}">
      <text>
        <r>
          <rPr>
            <b/>
            <sz val="8"/>
            <color indexed="81"/>
            <rFont val="Tahoma"/>
            <family val="2"/>
          </rPr>
          <t>Martin Shkreli:</t>
        </r>
        <r>
          <rPr>
            <sz val="8"/>
            <color indexed="81"/>
            <rFont val="Tahoma"/>
            <family val="2"/>
          </rPr>
          <t xml:space="preserve">
10240 bear</t>
        </r>
      </text>
    </comment>
    <comment ref="DZ250" authorId="1" shapeId="0" xr:uid="{00000000-0006-0000-0700-00000F030000}">
      <text>
        <r>
          <rPr>
            <b/>
            <sz val="8"/>
            <color indexed="81"/>
            <rFont val="Tahoma"/>
            <family val="2"/>
          </rPr>
          <t>Martin Shkreli:</t>
        </r>
        <r>
          <rPr>
            <sz val="8"/>
            <color indexed="81"/>
            <rFont val="Tahoma"/>
            <family val="2"/>
          </rPr>
          <t xml:space="preserve">
3311 bear</t>
        </r>
      </text>
    </comment>
    <comment ref="EA250" authorId="1" shapeId="0" xr:uid="{00000000-0006-0000-0700-000010030000}">
      <text>
        <r>
          <rPr>
            <b/>
            <sz val="8"/>
            <color indexed="81"/>
            <rFont val="Tahoma"/>
            <family val="2"/>
          </rPr>
          <t>Martin Shkreli:</t>
        </r>
        <r>
          <rPr>
            <sz val="8"/>
            <color indexed="81"/>
            <rFont val="Tahoma"/>
            <family val="2"/>
          </rPr>
          <t xml:space="preserve">
3403 bear</t>
        </r>
      </text>
    </comment>
    <comment ref="Q251" authorId="1" shapeId="0" xr:uid="{00000000-0006-0000-0700-000011030000}">
      <text>
        <r>
          <rPr>
            <b/>
            <sz val="8"/>
            <color indexed="81"/>
            <rFont val="Tahoma"/>
            <family val="2"/>
          </rPr>
          <t>Martin Shkreli:</t>
        </r>
        <r>
          <rPr>
            <sz val="8"/>
            <color indexed="81"/>
            <rFont val="Tahoma"/>
            <family val="2"/>
          </rPr>
          <t xml:space="preserve">
7% constant FX growth</t>
        </r>
      </text>
    </comment>
    <comment ref="DZ251" authorId="1" shapeId="0" xr:uid="{00000000-0006-0000-0700-000012030000}">
      <text>
        <r>
          <rPr>
            <b/>
            <sz val="8"/>
            <color indexed="81"/>
            <rFont val="Tahoma"/>
            <family val="2"/>
          </rPr>
          <t>Martin Shkreli:</t>
        </r>
        <r>
          <rPr>
            <sz val="8"/>
            <color indexed="81"/>
            <rFont val="Tahoma"/>
            <family val="2"/>
          </rPr>
          <t xml:space="preserve">
2937 bear</t>
        </r>
      </text>
    </comment>
    <comment ref="EA251" authorId="1" shapeId="0" xr:uid="{00000000-0006-0000-0700-000013030000}">
      <text>
        <r>
          <rPr>
            <b/>
            <sz val="8"/>
            <color indexed="81"/>
            <rFont val="Tahoma"/>
            <family val="2"/>
          </rPr>
          <t>Martin Shkreli:</t>
        </r>
        <r>
          <rPr>
            <sz val="8"/>
            <color indexed="81"/>
            <rFont val="Tahoma"/>
            <family val="2"/>
          </rPr>
          <t xml:space="preserve">
2868 bear</t>
        </r>
      </text>
    </comment>
    <comment ref="Q252" authorId="1" shapeId="0" xr:uid="{00000000-0006-0000-0700-000014030000}">
      <text>
        <r>
          <rPr>
            <b/>
            <sz val="8"/>
            <color indexed="81"/>
            <rFont val="Tahoma"/>
            <family val="2"/>
          </rPr>
          <t>Martin Shkreli:</t>
        </r>
        <r>
          <rPr>
            <sz val="8"/>
            <color indexed="81"/>
            <rFont val="Tahoma"/>
            <family val="2"/>
          </rPr>
          <t xml:space="preserve">
4% constant FX growth</t>
        </r>
      </text>
    </comment>
    <comment ref="DZ252" authorId="1" shapeId="0" xr:uid="{00000000-0006-0000-0700-000015030000}">
      <text>
        <r>
          <rPr>
            <b/>
            <sz val="8"/>
            <color indexed="81"/>
            <rFont val="Tahoma"/>
            <family val="2"/>
          </rPr>
          <t>Martin Shkreli:</t>
        </r>
        <r>
          <rPr>
            <sz val="8"/>
            <color indexed="81"/>
            <rFont val="Tahoma"/>
            <family val="2"/>
          </rPr>
          <t xml:space="preserve">
6248 bear</t>
        </r>
      </text>
    </comment>
    <comment ref="EA252" authorId="1"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<sst xmlns="http://schemas.openxmlformats.org/spreadsheetml/2006/main" count="3006" uniqueCount="1966">
  <si>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</si>
  <si>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</si>
  <si>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</si>
  <si>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</si>
  <si>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</si>
  <si>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</si>
  <si>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</si>
  <si>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</si>
  <si>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</si>
  <si>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</si>
  <si>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</si>
  <si>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</si>
  <si>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</si>
  <si>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</si>
  <si>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</si>
  <si>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</si>
  <si>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</si>
  <si>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</si>
  <si>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</si>
  <si>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</si>
  <si>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</si>
  <si>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</si>
  <si>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</si>
  <si>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</si>
  <si>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</si>
  <si>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</si>
  <si>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</si>
  <si>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</si>
  <si>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</si>
  <si>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</si>
  <si>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</si>
  <si>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</si>
  <si>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</si>
  <si>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</si>
  <si>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</si>
  <si>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</si>
  <si>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</si>
  <si>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</si>
  <si>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</si>
  <si>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</si>
  <si>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</si>
  <si>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</si>
  <si>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</si>
  <si>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</si>
  <si>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</si>
  <si>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</si>
  <si>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</si>
  <si>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</si>
  <si>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</si>
  <si>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</si>
  <si>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</si>
  <si>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</si>
  <si>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</si>
  <si>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</si>
  <si>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</si>
  <si>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</si>
  <si>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</si>
  <si>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</si>
  <si>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</si>
  <si>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</si>
  <si>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</si>
  <si>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</si>
  <si>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</si>
  <si>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</si>
  <si>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</si>
  <si>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</si>
  <si>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</si>
  <si>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</si>
  <si>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</si>
  <si>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</si>
  <si>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</si>
  <si>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</si>
  <si>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</si>
  <si>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</si>
  <si>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</si>
  <si>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</si>
  <si>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</si>
  <si>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</si>
  <si>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</si>
  <si>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</si>
  <si>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</si>
  <si>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</si>
  <si>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</si>
  <si>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</si>
  <si>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</si>
  <si>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</si>
  <si>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</si>
  <si>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</si>
  <si>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</si>
  <si>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</si>
  <si>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</si>
  <si>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</si>
  <si>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</si>
  <si>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</si>
  <si>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</si>
  <si>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</si>
  <si>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</si>
  <si>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</si>
  <si>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</si>
  <si>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</si>
  <si>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</si>
  <si>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</si>
  <si>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</si>
  <si>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</si>
  <si>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</si>
  <si>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</si>
  <si>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</si>
  <si>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</si>
  <si>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</si>
  <si>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</si>
  <si>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</si>
  <si>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</si>
  <si>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</si>
  <si>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</si>
  <si>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</si>
  <si>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</si>
  <si>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</si>
  <si>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</si>
  <si>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</si>
  <si>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</si>
  <si>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</si>
  <si>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</si>
  <si>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</si>
  <si>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</si>
  <si>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</si>
  <si>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</si>
  <si>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</si>
  <si>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</si>
  <si>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</si>
  <si>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</si>
  <si>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</si>
  <si>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</si>
  <si>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</si>
  <si>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</si>
  <si>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</si>
  <si>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</si>
  <si>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</si>
  <si>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</si>
  <si>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</si>
  <si>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</si>
  <si>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</si>
  <si>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</si>
  <si>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</si>
  <si>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</si>
  <si>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</si>
  <si>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</si>
  <si>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</si>
  <si>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</si>
  <si>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</si>
  <si>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</si>
  <si>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</si>
  <si>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</si>
  <si>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</si>
  <si>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</si>
  <si>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</si>
  <si>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</si>
  <si>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</si>
  <si>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</si>
  <si>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</si>
  <si>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</si>
  <si>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</si>
  <si>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</si>
  <si>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</si>
  <si>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</si>
  <si>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</si>
  <si>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</si>
  <si>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</si>
  <si>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</si>
  <si>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</si>
  <si>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</si>
  <si>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</si>
  <si>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</si>
  <si>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</si>
  <si>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</si>
  <si>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</si>
  <si>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</si>
  <si>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</si>
  <si>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</si>
  <si>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</si>
  <si>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</si>
  <si>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</si>
  <si>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</si>
  <si>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</si>
  <si>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</si>
  <si>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</si>
  <si>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</si>
  <si>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</si>
  <si>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</si>
  <si>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</si>
  <si>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</si>
  <si>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</si>
  <si>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</si>
  <si>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</si>
  <si>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</si>
  <si>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</si>
  <si>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</si>
  <si>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</si>
  <si>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</si>
  <si>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</si>
  <si>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</si>
  <si>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</si>
  <si>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</si>
  <si>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</si>
  <si>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</si>
  <si>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</si>
  <si>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</si>
  <si>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</si>
  <si>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</si>
  <si>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</si>
  <si>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</si>
  <si>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</si>
  <si>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</si>
  <si>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</si>
  <si>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</si>
  <si>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</si>
  <si>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</si>
  <si>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</si>
  <si>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</si>
  <si>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</si>
  <si>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</si>
  <si>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</si>
  <si>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</si>
  <si>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</si>
  <si>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</si>
  <si>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</si>
  <si>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</si>
  <si>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</si>
  <si>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</si>
  <si>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</si>
  <si>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</si>
  <si>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</si>
  <si>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</si>
  <si>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</si>
  <si>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</si>
  <si>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</si>
  <si>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</si>
  <si>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</si>
  <si>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</si>
  <si>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</si>
  <si>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</si>
  <si>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</si>
  <si>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</si>
  <si>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</si>
  <si>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</si>
  <si>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</si>
  <si>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</si>
  <si>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</si>
  <si>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</si>
  <si>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</si>
  <si>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</si>
  <si>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</si>
  <si>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</si>
  <si>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</si>
  <si>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</si>
  <si>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</si>
  <si>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</si>
  <si>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</si>
  <si>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</si>
  <si>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</si>
  <si>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</si>
  <si>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</si>
  <si>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</si>
  <si>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</si>
  <si>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</si>
  <si>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</si>
  <si>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</si>
  <si>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</si>
  <si>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</si>
  <si>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</si>
  <si>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</si>
  <si>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</si>
  <si>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</si>
  <si>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</si>
  <si>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</si>
  <si>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</si>
  <si>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</si>
  <si>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</si>
  <si>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</si>
  <si>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</si>
  <si>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</si>
  <si>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</si>
  <si>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</si>
  <si>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</si>
  <si>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</si>
  <si>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</si>
  <si>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</si>
  <si>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</si>
  <si>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</si>
  <si>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</si>
  <si>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</si>
  <si>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</si>
  <si>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</si>
  <si>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</si>
  <si>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</si>
  <si>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</si>
  <si>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</si>
  <si>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</si>
  <si>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</si>
  <si>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</si>
  <si>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</si>
  <si>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</si>
  <si>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</si>
  <si>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</si>
  <si>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</si>
  <si>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</si>
  <si>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</si>
  <si>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</si>
  <si>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</si>
  <si>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</si>
  <si>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</si>
  <si>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</si>
  <si>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</si>
  <si>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</si>
  <si>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</si>
  <si>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</si>
  <si>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</si>
  <si>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</si>
  <si>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</si>
  <si>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</si>
  <si>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</si>
  <si>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</si>
  <si>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</si>
  <si>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</si>
  <si>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</si>
  <si>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</si>
  <si>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</si>
  <si>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</si>
  <si>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</si>
  <si>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</si>
  <si>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</si>
  <si>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</si>
  <si>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</si>
  <si>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</si>
  <si>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</si>
  <si>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</si>
  <si>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</si>
  <si>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</si>
  <si>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</si>
  <si>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</si>
  <si>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</si>
  <si>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</si>
  <si>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</si>
  <si>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</si>
  <si>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</si>
  <si>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</si>
  <si>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</si>
  <si>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</si>
  <si>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</si>
  <si>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</si>
  <si>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</si>
  <si>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</si>
  <si>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</si>
  <si>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</si>
  <si>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</si>
  <si>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</si>
  <si>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</si>
  <si>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</si>
  <si>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</si>
  <si>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</si>
  <si>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</si>
  <si>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</si>
  <si>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</si>
  <si>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</si>
  <si>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</si>
  <si>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</si>
  <si>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</si>
  <si>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</si>
  <si>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</si>
  <si>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</si>
  <si>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</si>
  <si>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</si>
  <si>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</si>
  <si>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</si>
  <si>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</si>
  <si>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</si>
  <si>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</si>
  <si>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</si>
  <si>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</si>
  <si>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</si>
  <si>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</si>
  <si>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</si>
  <si>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</si>
  <si>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</si>
  <si>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</si>
  <si>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</si>
  <si>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</si>
  <si>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</si>
  <si>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</si>
  <si>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</si>
  <si>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</si>
  <si>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</si>
  <si>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</si>
  <si>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</si>
  <si>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</si>
  <si>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</si>
  <si>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</si>
  <si>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</si>
  <si>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</si>
  <si>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</si>
  <si>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</si>
  <si>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</si>
  <si>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</si>
  <si>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</si>
  <si>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</si>
  <si>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</si>
  <si>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</si>
  <si>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</si>
  <si>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</si>
  <si>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</si>
  <si>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</si>
  <si>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</si>
  <si>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</si>
  <si>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</si>
  <si>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</si>
  <si>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</si>
  <si>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</si>
  <si>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</si>
  <si>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</si>
  <si>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</si>
  <si>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</si>
  <si>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</si>
  <si>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</si>
  <si>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</si>
  <si>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</si>
  <si>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</si>
  <si>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</si>
  <si>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</si>
  <si>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</si>
  <si>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</si>
  <si>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</si>
  <si>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</si>
  <si>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</si>
  <si>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</si>
  <si>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</si>
  <si>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</si>
  <si>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</si>
  <si>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</si>
  <si>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</si>
  <si>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</si>
  <si>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</si>
  <si>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</si>
  <si>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</si>
  <si>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</si>
  <si>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</si>
  <si>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</si>
  <si>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</si>
  <si>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</si>
  <si>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</si>
  <si>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</si>
  <si>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</si>
  <si>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</si>
  <si>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</si>
  <si>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</si>
  <si>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</si>
  <si>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</si>
  <si>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</si>
  <si>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</si>
  <si>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</si>
  <si>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</si>
  <si>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</si>
  <si>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</si>
  <si>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</si>
  <si>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</si>
  <si>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</si>
  <si>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</si>
  <si>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</si>
  <si>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</si>
  <si>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</si>
  <si>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</si>
  <si>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</si>
  <si>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</si>
  <si>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</si>
  <si>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</si>
  <si>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</si>
  <si>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</si>
  <si>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</si>
  <si>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</si>
  <si>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</si>
  <si>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</si>
  <si>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</si>
  <si>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</si>
  <si>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</si>
  <si>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</si>
  <si>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</si>
  <si>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</si>
  <si>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</si>
  <si>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</si>
  <si>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</si>
  <si>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</si>
  <si>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</si>
  <si>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</si>
  <si>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</si>
  <si>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</si>
  <si>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</si>
  <si>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</si>
  <si>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</si>
  <si>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</si>
  <si>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</si>
  <si>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</si>
  <si>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</si>
  <si>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</si>
  <si>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</si>
  <si>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</si>
  <si>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</si>
  <si>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</si>
  <si>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</si>
  <si>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</si>
  <si>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</si>
  <si>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</si>
  <si>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</si>
  <si>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</si>
  <si>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</si>
  <si>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</si>
  <si>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</si>
  <si>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</si>
  <si>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</si>
  <si>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</si>
  <si>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</si>
  <si>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</si>
  <si>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</si>
  <si>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</si>
  <si>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</si>
  <si>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</si>
  <si>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</si>
  <si>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</si>
  <si>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</si>
  <si>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</si>
  <si>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</si>
  <si>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</si>
  <si>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</si>
  <si>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</si>
  <si>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</si>
  <si>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</si>
  <si>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</si>
  <si>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</si>
  <si>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</si>
  <si>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</si>
  <si>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</si>
  <si>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</si>
  <si>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</si>
  <si>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</si>
  <si>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</si>
  <si>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</si>
  <si>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</si>
  <si>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</si>
  <si>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</si>
  <si>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</si>
  <si>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</si>
  <si>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</si>
  <si>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</si>
  <si>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</si>
  <si>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</si>
  <si>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</si>
  <si>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</si>
  <si>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</si>
  <si>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</si>
  <si>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</si>
  <si>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</si>
  <si>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</si>
  <si>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</si>
  <si>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</si>
  <si>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</si>
  <si>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</si>
  <si>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</si>
  <si>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</si>
  <si>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</si>
  <si>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</si>
  <si>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</si>
  <si>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</si>
  <si>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</si>
  <si>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</si>
  <si>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</si>
  <si>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</si>
  <si>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</si>
  <si>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</si>
  <si>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</si>
  <si>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</si>
  <si>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</si>
  <si>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</si>
  <si>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</si>
  <si>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</si>
  <si>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</si>
  <si>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</si>
  <si>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</si>
  <si>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</si>
  <si>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</si>
  <si>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</si>
  <si>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</si>
  <si>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</si>
  <si>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</si>
  <si>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</si>
  <si>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</si>
  <si>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</si>
  <si>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</si>
  <si>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</si>
  <si>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</si>
  <si>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</si>
  <si>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</si>
  <si>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</si>
  <si>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</si>
  <si>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</si>
  <si>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</si>
  <si>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</si>
  <si>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</si>
  <si>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</si>
  <si>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</si>
  <si>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</si>
  <si>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</si>
  <si>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</si>
  <si>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</si>
  <si>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</si>
  <si>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</si>
  <si>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</si>
  <si>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</si>
  <si>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</si>
  <si>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</si>
  <si>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</si>
  <si>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</si>
  <si>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</si>
  <si>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</si>
  <si>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</si>
  <si>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</si>
  <si>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</si>
  <si>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</si>
  <si>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</si>
  <si>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</si>
  <si>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</si>
  <si>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</si>
  <si>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</si>
  <si>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</si>
  <si>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</si>
  <si>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</si>
  <si>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</si>
  <si>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</si>
  <si>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</si>
  <si>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</si>
  <si>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</si>
  <si>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</si>
  <si>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</si>
  <si>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</si>
  <si>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</si>
  <si>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</si>
  <si>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</si>
  <si>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</si>
  <si>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</si>
  <si>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</si>
  <si>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</si>
  <si>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</si>
  <si>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</si>
  <si>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</si>
  <si>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</si>
  <si>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</si>
  <si>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</si>
  <si>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</si>
  <si>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</si>
  <si>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</si>
  <si>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</si>
  <si>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</si>
  <si>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</si>
  <si>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</si>
  <si>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</si>
  <si>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</si>
  <si>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</si>
  <si>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</si>
  <si>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</si>
  <si>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</si>
  <si>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</si>
  <si>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</si>
  <si>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</si>
  <si>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</si>
  <si>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</si>
  <si>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</si>
  <si>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</si>
  <si>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</si>
  <si>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</si>
  <si>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</si>
  <si>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</si>
  <si>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</si>
  <si>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</si>
  <si>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</si>
  <si>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</si>
  <si>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</si>
  <si>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</si>
  <si>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</si>
  <si>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</si>
  <si>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</si>
  <si>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</si>
  <si>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</si>
  <si>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</si>
  <si>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</si>
  <si>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</si>
  <si>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</si>
  <si>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</si>
  <si>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</si>
  <si>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</si>
  <si>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</si>
  <si>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</si>
  <si>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</si>
  <si>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</si>
  <si>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</si>
  <si>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</si>
  <si>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</si>
  <si>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</si>
  <si>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</si>
  <si>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</si>
  <si>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</si>
  <si>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</si>
  <si>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</si>
  <si>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</si>
  <si>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</si>
  <si>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</si>
  <si>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</si>
  <si>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</si>
  <si>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</si>
  <si>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</si>
  <si>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</si>
  <si>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</si>
  <si>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</si>
  <si>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</si>
  <si>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</si>
  <si>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</si>
  <si>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</si>
  <si>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</si>
  <si>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</si>
  <si>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</si>
  <si>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</si>
  <si>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</si>
  <si>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</si>
  <si>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</si>
  <si>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</si>
  <si>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</si>
  <si>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</si>
  <si>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</si>
  <si>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</si>
  <si>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</si>
  <si>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</si>
  <si>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</si>
  <si>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</si>
  <si>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</si>
  <si>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</si>
  <si>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</si>
  <si>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</si>
  <si>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</si>
  <si>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</si>
  <si>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</si>
  <si>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</si>
  <si>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</si>
  <si>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</si>
  <si>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</si>
  <si>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</si>
  <si>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</si>
  <si>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</si>
  <si>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</si>
  <si>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</si>
  <si>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</si>
  <si>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</si>
  <si>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</si>
  <si>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</si>
  <si>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</si>
  <si>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</si>
  <si>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</si>
  <si>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</si>
  <si>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</si>
  <si>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</si>
  <si>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</si>
  <si>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</si>
  <si>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</si>
  <si>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</si>
  <si>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</si>
  <si>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</si>
  <si>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</si>
  <si>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</si>
  <si>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</si>
  <si>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</si>
  <si>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</si>
  <si>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</si>
  <si>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</si>
  <si>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</si>
  <si>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</si>
  <si>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</si>
  <si>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</si>
  <si>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</si>
  <si>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</si>
  <si>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</si>
  <si>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</si>
  <si>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</si>
  <si>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</si>
  <si>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</si>
  <si>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</si>
  <si>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</si>
  <si>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</si>
  <si>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</si>
  <si>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</si>
  <si>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</si>
  <si>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</si>
  <si>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</si>
  <si>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</si>
  <si>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</si>
  <si>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</si>
  <si>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</si>
  <si>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</si>
  <si>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</si>
  <si>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</si>
  <si>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</si>
  <si>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</si>
  <si>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</si>
  <si>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</si>
  <si>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</si>
  <si>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</si>
  <si>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</si>
  <si>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</si>
  <si>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</si>
  <si>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</si>
  <si>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</si>
  <si>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</si>
  <si>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</si>
  <si>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</si>
  <si>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</si>
  <si>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</si>
  <si>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</si>
  <si>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</si>
  <si>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</si>
  <si>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</si>
  <si>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</si>
  <si>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</si>
  <si>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</si>
  <si>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</si>
  <si>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</si>
  <si>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</si>
  <si>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</si>
  <si>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</si>
  <si>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</si>
  <si>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</si>
  <si>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</si>
  <si>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</si>
  <si>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</si>
  <si>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</si>
  <si>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</si>
  <si>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</si>
  <si>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</si>
  <si>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</si>
  <si>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</si>
  <si>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</si>
  <si>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</si>
  <si>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</si>
  <si>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</si>
  <si>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</si>
  <si>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</si>
  <si>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</si>
  <si>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</si>
  <si>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</si>
  <si>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</si>
  <si>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</si>
  <si>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</si>
  <si>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</si>
  <si>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</si>
  <si>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</si>
  <si>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</si>
  <si>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</si>
  <si>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</si>
  <si>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</si>
  <si>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</si>
  <si>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</si>
  <si>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</si>
  <si>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</si>
  <si>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</si>
  <si>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</si>
  <si>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</si>
  <si>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</si>
  <si>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</si>
  <si>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</si>
  <si>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</si>
  <si>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</si>
  <si>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</si>
  <si>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</si>
  <si>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</si>
  <si>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</si>
  <si>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</si>
  <si>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</si>
  <si>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</si>
  <si>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</si>
  <si>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</si>
  <si>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</si>
  <si>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</si>
  <si>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</si>
  <si>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</si>
  <si>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</si>
  <si>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</si>
  <si>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</si>
  <si>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</si>
  <si>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</si>
  <si>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</si>
  <si>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</si>
  <si>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</si>
  <si>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</si>
  <si>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</si>
  <si>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</si>
  <si>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</si>
  <si>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</si>
  <si>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</si>
  <si>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</si>
  <si>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</si>
  <si>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</si>
  <si>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</si>
  <si>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</si>
  <si>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</si>
  <si>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</si>
  <si>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</si>
  <si>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</si>
  <si>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</si>
  <si>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</si>
  <si>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</si>
  <si>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</si>
  <si>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</si>
  <si>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</si>
  <si>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</si>
  <si>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</si>
  <si>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</si>
  <si>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</si>
  <si>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</si>
  <si>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</si>
  <si>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</si>
  <si>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</si>
  <si>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</si>
  <si>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</si>
  <si>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</si>
  <si>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</si>
  <si>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</si>
  <si>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</si>
  <si>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</si>
  <si>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</si>
  <si>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</si>
  <si>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</si>
  <si>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</si>
  <si>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</si>
  <si>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</si>
  <si>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</si>
  <si>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</si>
  <si>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</si>
  <si>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</si>
  <si>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</si>
  <si>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</si>
  <si>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</si>
  <si>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</si>
  <si>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</si>
  <si>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</si>
  <si>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</si>
  <si>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</si>
  <si>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</si>
  <si>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</si>
  <si>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</si>
  <si>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</si>
  <si>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</si>
  <si>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</si>
  <si>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</si>
  <si>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</si>
  <si>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</si>
  <si>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</si>
  <si>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</si>
  <si>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</si>
  <si>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</si>
  <si>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</si>
  <si>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</si>
  <si>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</si>
  <si>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</si>
  <si>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</si>
  <si>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</si>
  <si>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</si>
  <si>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</si>
  <si>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</si>
  <si>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</si>
  <si>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</si>
  <si>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</si>
  <si>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</si>
  <si>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</si>
  <si>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</si>
  <si>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</si>
  <si>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</si>
  <si>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</si>
  <si>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</si>
  <si>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</si>
  <si>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</si>
  <si>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</si>
  <si>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</si>
  <si>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</si>
  <si>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</si>
  <si>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</si>
  <si>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</si>
  <si>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</si>
  <si>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</si>
  <si>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</si>
  <si>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</si>
  <si>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</si>
  <si>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</si>
  <si>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</si>
  <si>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</si>
  <si>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</si>
  <si>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</si>
  <si>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</si>
  <si>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</si>
  <si>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</si>
  <si>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</si>
  <si>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</si>
  <si>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</si>
  <si>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</si>
  <si>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</si>
  <si>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</si>
  <si>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</si>
  <si>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</si>
  <si>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</si>
  <si>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</si>
  <si>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</si>
  <si>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</si>
  <si>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</si>
  <si>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</si>
  <si>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</si>
  <si>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</si>
  <si>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</si>
  <si>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</si>
  <si>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</si>
  <si>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</si>
  <si>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</si>
  <si>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</si>
  <si>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</si>
  <si>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</si>
  <si>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</si>
  <si>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</si>
  <si>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</si>
  <si>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</si>
  <si>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</si>
  <si>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</si>
  <si>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</si>
  <si>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</si>
  <si>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</si>
  <si>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</si>
  <si>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</si>
  <si>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</si>
  <si>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</si>
  <si>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</si>
  <si>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</si>
  <si>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</si>
  <si>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</si>
  <si>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</si>
  <si>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</si>
  <si>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</si>
  <si>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</si>
  <si>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</si>
  <si>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</si>
  <si>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</si>
  <si>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</si>
  <si>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</si>
  <si>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</si>
  <si>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</si>
  <si>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</si>
  <si>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</si>
  <si>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</si>
  <si>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</si>
  <si>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</si>
  <si>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</si>
  <si>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</si>
  <si>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</si>
  <si>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</si>
  <si>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</si>
  <si>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</si>
  <si>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</si>
  <si>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</si>
  <si>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</si>
  <si>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</si>
  <si>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</si>
  <si>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</si>
  <si>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</si>
  <si>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</si>
  <si>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</si>
  <si>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</si>
  <si>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</si>
  <si>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</si>
  <si>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</si>
  <si>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</si>
  <si>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</si>
  <si>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</si>
  <si>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</si>
  <si>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</si>
  <si>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</si>
  <si>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</si>
  <si>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</si>
  <si>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</si>
  <si>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</si>
  <si>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</si>
  <si>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</si>
  <si>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</si>
  <si>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</si>
  <si>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</si>
  <si>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</si>
  <si>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</si>
  <si>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</si>
  <si>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</si>
  <si>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</si>
  <si>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</si>
  <si>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</si>
  <si>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</si>
  <si>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</si>
  <si>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</si>
  <si>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</si>
  <si>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</si>
  <si>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</si>
  <si>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</si>
  <si>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</si>
  <si>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</si>
  <si>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</si>
  <si>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</si>
  <si>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</si>
  <si>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</si>
  <si>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</si>
  <si>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</si>
  <si>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</si>
  <si>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</si>
  <si>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</si>
  <si>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</si>
  <si>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</si>
  <si>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</si>
  <si>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</si>
  <si>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</si>
  <si>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</si>
  <si>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</si>
  <si>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</si>
  <si>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</si>
  <si>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</si>
  <si>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</si>
  <si>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</si>
  <si>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</si>
  <si>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</si>
  <si>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</si>
  <si>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</si>
  <si>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</si>
  <si>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</si>
  <si>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</si>
  <si>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</si>
  <si>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</si>
  <si>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</si>
  <si>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</si>
  <si>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</si>
  <si>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</si>
  <si>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</si>
  <si>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</si>
  <si>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</si>
  <si>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</si>
  <si>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</si>
  <si>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</si>
  <si>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</si>
  <si>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</si>
  <si>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</si>
  <si>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</si>
  <si>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</si>
  <si>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</si>
  <si>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</si>
  <si>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</si>
  <si>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</si>
  <si>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</si>
  <si>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</si>
  <si>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</si>
  <si>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</si>
  <si>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</si>
  <si>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</si>
  <si>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</si>
  <si>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</si>
  <si>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</si>
  <si>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</si>
  <si>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</si>
  <si>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</si>
  <si>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</si>
  <si>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</si>
  <si>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</si>
  <si>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</si>
  <si>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</si>
  <si>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</si>
  <si>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</si>
  <si>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</si>
  <si>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</si>
  <si>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</si>
  <si>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</si>
  <si>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</si>
  <si>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</si>
  <si>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</si>
  <si>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</si>
  <si>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</si>
  <si>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</si>
  <si>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</si>
  <si>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</si>
  <si>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</si>
  <si>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</si>
  <si>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</si>
  <si>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</si>
  <si>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</si>
  <si>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</si>
  <si>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</si>
  <si>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</si>
  <si>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</si>
  <si>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</si>
  <si>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</si>
  <si>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</si>
  <si>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</si>
  <si>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</si>
  <si>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</si>
  <si>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</si>
  <si>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</si>
  <si>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</si>
  <si>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</si>
  <si>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</si>
  <si>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</si>
  <si>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</si>
  <si>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</si>
  <si>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</si>
  <si>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</si>
  <si>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</si>
  <si>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</si>
  <si>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</si>
  <si>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</si>
  <si>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</si>
  <si>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</si>
  <si>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</si>
  <si>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</si>
  <si>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</si>
  <si>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</si>
  <si>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</si>
  <si>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</si>
  <si>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</si>
  <si>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</si>
  <si>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</si>
  <si>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</si>
  <si>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</si>
  <si>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</si>
  <si>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</si>
  <si>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</si>
  <si>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</si>
  <si>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</si>
  <si>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</si>
  <si>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</si>
  <si>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</si>
  <si>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</si>
  <si>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</si>
  <si>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</si>
  <si>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</si>
  <si>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</si>
  <si>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</si>
  <si>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</si>
  <si>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</si>
  <si>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</si>
  <si>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</si>
  <si>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</si>
  <si>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</si>
  <si>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</si>
  <si>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</si>
  <si>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</si>
  <si>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</si>
  <si>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</si>
  <si>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</si>
  <si>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</si>
  <si>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</si>
  <si>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</si>
  <si>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</si>
  <si>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</si>
  <si>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</si>
  <si>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</si>
  <si>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</si>
  <si>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</si>
  <si>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</si>
  <si>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</si>
  <si>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</si>
  <si>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</si>
  <si>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</si>
  <si>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</si>
  <si>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</si>
  <si>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</si>
  <si>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</si>
  <si>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</si>
  <si>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</si>
  <si>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</si>
  <si>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</si>
  <si>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</si>
  <si>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</si>
  <si>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</si>
  <si>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</si>
  <si>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</si>
  <si>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</si>
  <si>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</si>
  <si>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</si>
  <si>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</si>
  <si>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</si>
  <si>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</si>
  <si>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</si>
  <si>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</si>
  <si>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</si>
  <si>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</si>
  <si>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</si>
  <si>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</si>
  <si>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</si>
  <si>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</si>
  <si>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</si>
  <si>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</si>
  <si>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</si>
  <si>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</si>
  <si>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</si>
  <si>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</si>
  <si>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</si>
  <si>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</si>
  <si>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</si>
  <si>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</si>
  <si>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</si>
  <si>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</si>
  <si>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</si>
  <si>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</si>
  <si>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</si>
  <si>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</si>
  <si>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</si>
  <si>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</si>
  <si>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</si>
  <si>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</si>
  <si>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</si>
  <si>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</si>
  <si>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</si>
  <si>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</si>
  <si>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</si>
  <si>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</si>
  <si>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</si>
  <si>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</si>
  <si>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</si>
  <si>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</si>
  <si>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</si>
  <si>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</si>
  <si>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</si>
  <si>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</si>
  <si>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</si>
  <si>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</si>
  <si>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</si>
  <si>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</si>
  <si>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</si>
  <si>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</si>
  <si>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</si>
  <si>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</si>
  <si>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</si>
  <si>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</si>
  <si>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</si>
  <si>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</si>
  <si>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</si>
  <si>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</si>
  <si>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</si>
  <si>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</si>
  <si>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</si>
  <si>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</si>
  <si>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</si>
  <si>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</si>
  <si>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</si>
  <si>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</si>
  <si>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</si>
  <si>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</si>
  <si>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</si>
  <si>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</si>
  <si>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</si>
  <si>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</si>
  <si>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</si>
  <si>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</si>
  <si>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</si>
  <si>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</si>
  <si>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</si>
  <si>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</si>
  <si>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</si>
  <si>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</si>
  <si>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</si>
  <si>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</si>
  <si>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</si>
  <si>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</si>
  <si>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</si>
  <si>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</si>
  <si>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</si>
  <si>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</si>
  <si>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</si>
  <si>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</si>
  <si>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</si>
  <si>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</si>
  <si>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</si>
  <si>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</si>
  <si>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</si>
  <si>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</si>
  <si>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</si>
  <si>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</si>
  <si>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</si>
  <si>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</si>
  <si>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</si>
  <si>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</si>
  <si>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</si>
  <si>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</si>
  <si>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</si>
  <si>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</si>
  <si>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</si>
  <si>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</si>
  <si>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</si>
  <si>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</si>
  <si>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</si>
  <si>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</si>
  <si>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</si>
  <si>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</si>
  <si>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</si>
  <si>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</si>
  <si>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</si>
  <si>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</si>
  <si>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</si>
  <si>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</si>
  <si>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</si>
  <si>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</si>
  <si>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</si>
  <si>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</si>
  <si>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</si>
  <si>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</si>
  <si>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</si>
  <si>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</si>
  <si>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</si>
  <si>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</si>
  <si>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</si>
  <si>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</si>
  <si>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</si>
  <si>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</si>
  <si>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</si>
  <si>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</si>
  <si>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</si>
  <si>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</si>
  <si>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</si>
  <si>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</si>
  <si>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</si>
  <si>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</si>
  <si>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</si>
  <si>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</si>
  <si>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</si>
  <si>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</si>
  <si>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</si>
  <si>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</si>
  <si>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</si>
  <si>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</si>
  <si>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</si>
  <si>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</si>
  <si>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</si>
  <si>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</si>
  <si>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</si>
  <si>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</si>
  <si>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</si>
  <si>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</si>
  <si>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</si>
  <si>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</si>
  <si>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</si>
  <si>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</si>
  <si>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</si>
  <si>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</si>
  <si>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</si>
  <si>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</si>
  <si>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</si>
  <si>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</si>
  <si>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</si>
  <si>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</si>
  <si>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</si>
  <si>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</si>
  <si>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</si>
  <si>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</si>
  <si>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</si>
  <si>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</si>
  <si>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</si>
  <si>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</si>
  <si>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</si>
  <si>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</si>
  <si>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</si>
  <si>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</si>
  <si>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</si>
  <si>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</si>
  <si>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</si>
  <si>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</si>
  <si>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</si>
  <si>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</si>
  <si>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</si>
  <si>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</si>
  <si>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</si>
  <si>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</si>
  <si>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</si>
  <si>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</si>
  <si>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</si>
  <si>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</si>
  <si>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</si>
  <si>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</si>
  <si>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</si>
  <si>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</si>
  <si>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</si>
  <si>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</si>
  <si>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</si>
  <si>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</si>
  <si>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</si>
  <si>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</si>
  <si>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</si>
  <si>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</si>
  <si>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</si>
  <si>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</si>
  <si>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</si>
  <si>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</si>
  <si>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</si>
  <si>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</si>
  <si>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</si>
  <si>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</si>
  <si>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</si>
  <si>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</si>
  <si>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</si>
  <si>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</si>
  <si>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</si>
  <si>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</si>
  <si>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</si>
  <si>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</si>
  <si>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</si>
  <si>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</si>
  <si>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</si>
  <si>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</si>
  <si>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</si>
  <si>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</si>
  <si>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</si>
  <si>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</si>
  <si>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</si>
  <si>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</si>
  <si>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</si>
  <si>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</si>
  <si>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</si>
  <si>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</si>
  <si>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</si>
  <si>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</si>
  <si>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</si>
  <si>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</si>
  <si>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</si>
  <si>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</si>
  <si>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</si>
  <si>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</si>
  <si>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</si>
  <si>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</si>
  <si>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</si>
  <si>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</si>
  <si>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</si>
  <si>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</si>
  <si>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</si>
  <si>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</si>
  <si>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</si>
  <si>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</si>
  <si>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</si>
  <si>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</si>
  <si>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</si>
  <si>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</si>
  <si>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</si>
  <si>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</si>
  <si>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</si>
  <si>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</si>
  <si>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</si>
  <si>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</si>
  <si>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</si>
  <si>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</si>
  <si>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</si>
  <si>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</si>
  <si>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</si>
  <si>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</si>
  <si>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</si>
  <si>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</si>
  <si>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</si>
  <si>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</si>
  <si>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</si>
  <si>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</si>
  <si>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</si>
  <si>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</si>
  <si>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</si>
  <si>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</si>
  <si>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</si>
  <si>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</si>
  <si>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</si>
  <si>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</si>
  <si>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</si>
  <si>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</si>
  <si>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</si>
  <si>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</si>
  <si>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</si>
  <si>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</si>
  <si>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</si>
  <si>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</si>
  <si>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</si>
  <si>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</si>
  <si>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</si>
  <si>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</si>
  <si>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</si>
  <si>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</si>
  <si>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</si>
  <si>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</si>
  <si>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</si>
  <si>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</si>
  <si>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</si>
  <si>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</si>
  <si>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</si>
  <si>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</si>
  <si>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</si>
  <si>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</si>
  <si>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</si>
  <si>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</si>
  <si>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</si>
  <si>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</si>
  <si>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</si>
  <si>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</si>
  <si>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</si>
  <si>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</si>
  <si>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</si>
  <si>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</si>
  <si>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</si>
  <si>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</si>
  <si>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</si>
  <si>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</si>
  <si>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</si>
  <si>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</si>
  <si>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</si>
  <si>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</si>
  <si>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</si>
  <si>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</si>
  <si>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</si>
  <si>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</si>
  <si>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</si>
  <si>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</si>
  <si>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</si>
  <si>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</si>
  <si>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</si>
  <si>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</si>
  <si>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</si>
  <si>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</si>
  <si>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</si>
  <si>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</si>
  <si>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</si>
  <si>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</si>
  <si>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</si>
  <si>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</si>
  <si>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</si>
  <si>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</si>
  <si>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</si>
  <si>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</si>
  <si>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</si>
  <si>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</si>
  <si>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</si>
  <si>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</si>
  <si>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</si>
  <si>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</si>
  <si>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</si>
  <si>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</si>
  <si>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</si>
  <si>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</si>
  <si>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</si>
  <si>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</si>
  <si>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</si>
  <si>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</si>
  <si>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</si>
  <si>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</si>
  <si>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</si>
  <si>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</si>
  <si>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</si>
  <si>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</si>
  <si>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</si>
  <si>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</si>
  <si>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</si>
  <si>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</si>
  <si>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</si>
  <si>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</si>
  <si>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</si>
  <si>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</si>
  <si>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</si>
  <si>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</si>
  <si>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</si>
  <si>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</si>
  <si>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</si>
  <si>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</si>
  <si>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</si>
  <si>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</si>
  <si>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</si>
  <si>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</si>
  <si>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</si>
  <si>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</si>
  <si>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</si>
  <si>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</si>
  <si>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</si>
  <si>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</si>
  <si>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</si>
  <si>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</si>
  <si>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</si>
  <si>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</si>
  <si>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</si>
  <si>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</si>
  <si>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</si>
  <si>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</si>
  <si>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</si>
  <si>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</si>
  <si>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</si>
  <si>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</si>
  <si>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</si>
  <si>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</si>
  <si>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</si>
  <si>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</si>
  <si>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</si>
  <si>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</si>
  <si>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</si>
  <si>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</si>
  <si>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</si>
  <si>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</si>
  <si>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</si>
  <si>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</si>
  <si>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</si>
  <si>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</si>
  <si>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</si>
  <si>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</si>
  <si>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</si>
  <si>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</si>
  <si>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</si>
  <si>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</si>
  <si>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</si>
  <si>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</si>
  <si>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</si>
  <si>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</si>
  <si>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</si>
  <si>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</si>
  <si>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</si>
  <si>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</si>
  <si>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</si>
  <si>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</si>
  <si>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</si>
  <si>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</si>
  <si>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</si>
  <si>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</si>
  <si>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</si>
  <si>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</si>
  <si>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</si>
  <si>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</si>
  <si>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</si>
  <si>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</si>
  <si>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</si>
  <si>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</si>
  <si>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</si>
  <si>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</si>
  <si>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</si>
  <si>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</si>
  <si>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</si>
  <si>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</si>
  <si>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</si>
  <si>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</si>
  <si>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</si>
  <si>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</si>
  <si>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</si>
  <si>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</si>
  <si>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</si>
  <si>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</si>
  <si>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</si>
  <si>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</si>
  <si>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</si>
  <si>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</si>
  <si>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</si>
  <si>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</si>
  <si>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</si>
  <si>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</si>
  <si>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</si>
  <si>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</si>
  <si>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</si>
  <si>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</si>
  <si>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</si>
  <si>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</si>
  <si>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</si>
  <si>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</si>
  <si>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</si>
  <si>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</si>
  <si>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</si>
  <si>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</si>
  <si>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</si>
  <si>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</si>
  <si>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</si>
  <si>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</si>
  <si>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</si>
  <si>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</si>
  <si>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</si>
  <si>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</si>
  <si>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</si>
  <si>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</si>
  <si>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</si>
  <si>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</si>
  <si>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</si>
  <si>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</si>
  <si>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</si>
  <si>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</si>
  <si>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</si>
  <si>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</si>
  <si>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</si>
  <si>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</si>
  <si>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</si>
  <si>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</si>
  <si>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</si>
  <si>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</si>
  <si>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</si>
  <si>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</si>
  <si>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</si>
  <si>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</si>
  <si>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</si>
  <si>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</si>
  <si>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</si>
  <si>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</si>
  <si>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</si>
  <si>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</si>
  <si>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</si>
  <si>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</si>
  <si>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</si>
  <si>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</si>
  <si>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</si>
  <si>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</si>
  <si>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</si>
  <si>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</si>
  <si>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</si>
  <si>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</si>
  <si>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</si>
  <si>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</si>
  <si>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</si>
  <si>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</si>
  <si>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</si>
  <si>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</si>
  <si>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</si>
  <si>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</si>
  <si>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</si>
  <si>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</si>
  <si>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</si>
  <si>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</si>
  <si>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</si>
  <si>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</si>
  <si>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</si>
  <si>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</si>
  <si>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</si>
  <si>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</si>
  <si>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</si>
  <si>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</si>
  <si>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</si>
  <si>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</si>
  <si>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</si>
  <si>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</si>
  <si>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</si>
  <si>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</si>
  <si>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</si>
  <si>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</si>
  <si>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</si>
  <si>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</si>
  <si>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</si>
  <si>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</si>
  <si>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</si>
  <si>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</si>
  <si>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</si>
  <si>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</si>
  <si>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</si>
  <si>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</si>
  <si>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</si>
  <si>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</si>
  <si>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</si>
  <si>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</si>
  <si>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</si>
  <si>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</si>
  <si>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</si>
  <si>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</si>
  <si>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</si>
  <si>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</si>
  <si>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</si>
  <si>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</si>
  <si>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</si>
  <si>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</si>
  <si>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</si>
  <si>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</si>
  <si>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</si>
  <si>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</si>
  <si>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</si>
  <si>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</si>
  <si>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</si>
  <si>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</si>
  <si>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</si>
  <si>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</si>
  <si>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</si>
  <si>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</si>
  <si>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</si>
  <si>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</si>
  <si>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</si>
  <si>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</si>
  <si>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</si>
  <si>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</si>
  <si>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</si>
  <si>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</si>
  <si>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</si>
  <si>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</si>
  <si>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</si>
  <si>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</si>
  <si>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</si>
  <si>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</si>
  <si>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</si>
  <si>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</si>
  <si>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</si>
  <si>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</si>
  <si>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</si>
  <si>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</si>
  <si>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</si>
  <si>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</si>
  <si>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</si>
  <si>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</si>
  <si>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</si>
  <si>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</si>
  <si>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Spravato</t>
  </si>
  <si>
    <t>Carvykti</t>
  </si>
  <si>
    <t>nipocalimab</t>
  </si>
  <si>
    <t>Rybrevant (amivantamab)</t>
  </si>
  <si>
    <t>FcRn mab</t>
  </si>
  <si>
    <t>Spravato (ketamine)</t>
  </si>
  <si>
    <t>Treatment-Resistant Depression</t>
  </si>
  <si>
    <t>LGND</t>
  </si>
  <si>
    <t>BCMA CART</t>
  </si>
  <si>
    <t>NMDA</t>
  </si>
  <si>
    <t>Carvykti (cilta-cel)</t>
  </si>
  <si>
    <t>talquetamab</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</si>
  <si>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</si>
  <si>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</si>
  <si>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</si>
  <si>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</si>
  <si>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</si>
  <si>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</si>
  <si>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</si>
  <si>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</si>
  <si>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</si>
  <si>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</si>
  <si>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</si>
  <si>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</si>
  <si>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</si>
  <si>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JNJ-77242113/PN-235</t>
  </si>
  <si>
    <t>MRK/PTGX</t>
  </si>
  <si>
    <t>JNJ-88260237</t>
  </si>
  <si>
    <t>JNJ-75276617</t>
  </si>
  <si>
    <t>Leukemia</t>
  </si>
  <si>
    <t>VAC85135</t>
  </si>
  <si>
    <t>MPNs</t>
  </si>
  <si>
    <t>JNJ-80038114</t>
  </si>
  <si>
    <t>JNJ-80948543</t>
  </si>
  <si>
    <t>CD79b/CD20/CD3</t>
  </si>
  <si>
    <t>NHL</t>
  </si>
  <si>
    <t>EGFR</t>
  </si>
  <si>
    <t>NSCLC</t>
  </si>
  <si>
    <t>HDFN, Myopathies, CIDP</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</si>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</sst>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11" xfId="0" applyFont="1" applyBorder="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23" fillId="3" borderId="7" xfId="0" applyFont="1" applyFill="1" applyBorder="1" applyAlignment="1">
      <alignment horizontal="center"/>
    </xf>
    <xf numFmtId="0" fontId="0" fillId="3" borderId="0" xfId="0" applyFill="1" applyAlignment="1">
      <alignment horizontal="right"/>
    </xf>
    <xf numFmtId="3" fontId="0" fillId="0" borderId="0" xfId="0" applyNumberFormat="1" applyFont="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153</xdr:col>
      <xdr:colOff>6921</xdr:colOff>
      <xdr:row>0</xdr:row>
      <xdr:rowOff>0</xdr:rowOff>
    </xdr:from>
    <xdr:to>
      <xdr:col>153</xdr:col>
      <xdr:colOff>7716</xdr:colOff>
      <xdr:row>256</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91890" y="19267317"/>
          <a:ext cx="38535429"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111</xdr:col>
      <xdr:colOff>27213</xdr:colOff>
      <xdr:row>0</xdr:row>
      <xdr:rowOff>0</xdr:rowOff>
    </xdr:from>
    <xdr:to>
      <xdr:col>111</xdr:col>
      <xdr:colOff>27213</xdr:colOff>
      <xdr:row>266</xdr:row>
      <xdr:rowOff>144236</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5021842" y="0"/>
          <a:ext cx="0" cy="43088379"/>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8"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X3" dT="2022-07-30T15:51:29.16" personId="{B1B0F6F1-FCBF-4ADA-B0C2-E6331D9AF452}" id="{87F7743F-B7B2-484F-9ABD-F302B651F898}">
    <text>Filed</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5" dT="2022-06-17T01:11:02.48" personId="{B1B0F6F1-FCBF-4ADA-B0C2-E6331D9AF452}" id="{E7F0D7A6-EE22-43A1-B4A6-C9D75BE5A1EB}">
    <text>Q121: 117m</text>
  </threadedComment>
  <threadedComment ref="EG45" dT="2022-07-30T15:52:21.07" personId="{B1B0F6F1-FCBF-4ADA-B0C2-E6331D9AF452}" id="{A3206388-7B58-4567-90FD-49B826FAE6FB}">
    <text>Phase III</text>
  </threadedComment>
  <threadedComment ref="EH45" dT="2022-07-30T15:52:25.24" personId="{B1B0F6F1-FCBF-4ADA-B0C2-E6331D9AF452}" id="{C96DF80E-DB02-49F1-A10F-FA660591CCDB}">
    <text>Phase III</text>
  </threadedComment>
  <threadedComment ref="EI45" dT="2022-07-30T15:52:28.51" personId="{B1B0F6F1-FCBF-4ADA-B0C2-E6331D9AF452}" id="{D4E15153-68A6-45BA-A7A9-B7478B48B6DE}">
    <text>Filed</text>
  </threadedComment>
  <threadedComment ref="CV47" dT="2022-07-22T14:56:33.21" personId="{B1B0F6F1-FCBF-4ADA-B0C2-E6331D9AF452}" id="{4DB783BB-D4CA-476A-8111-7E0E945FB149}">
    <text>had 271?</text>
  </threadedComment>
  <threadedComment ref="CJ60" dT="2022-07-30T15:43:25.26" personId="{B1B0F6F1-FCBF-4ADA-B0C2-E6331D9AF452}" id="{8DFE66A4-8ABE-4D82-9EB1-696F5E7D611D}">
    <text>3504 actual</text>
  </threadedComment>
  <threadedComment ref="CN60" dT="2022-07-30T15:37:35.18" personId="{B1B0F6F1-FCBF-4ADA-B0C2-E6331D9AF452}" id="{3494F573-46D4-4E53-A253-04C304315026}">
    <text>actual: 3544</text>
  </threadedComment>
  <threadedComment ref="CU60" dT="2022-06-17T01:08:52.72" personId="{B1B0F6F1-FCBF-4ADA-B0C2-E6331D9AF452}" id="{D4AB6CA5-1D56-4651-98CE-4220E7D81D4C}">
    <text>Q121 report: 3543m</text>
  </threadedComment>
  <threadedComment ref="CV60" dT="2022-07-22T14:43:04.87" personId="{B1B0F6F1-FCBF-4ADA-B0C2-E6331D9AF452}" id="{D8FE38F6-D7D6-460E-9D87-73CEBFFA1B4E}">
    <text>was 3735, now 3854?</text>
  </threadedComment>
  <threadedComment ref="CX60" dT="2023-01-24T18:45:55.75" personId="{B1B0F6F1-FCBF-4ADA-B0C2-E6331D9AF452}" id="{B0274F3D-4C01-427B-BAEB-F305023327D6}">
    <text>Was 3657</text>
  </threadedComment>
  <threadedComment ref="CN61" dT="2022-07-30T15:43:00.35" personId="{B1B0F6F1-FCBF-4ADA-B0C2-E6331D9AF452}" id="{4074C536-E10D-4126-A24D-0AAC46FA4222}">
    <text>20562 actual</text>
  </threadedComment>
  <threadedComment ref="CV61" dT="2022-07-22T14:57:45.74" personId="{B1B0F6F1-FCBF-4ADA-B0C2-E6331D9AF452}" id="{3B857DD8-37A9-4E26-BCDD-046757882E93}">
    <text>23312 offcial in Q222 release</text>
  </threadedComment>
  <threadedComment ref="EU61" dT="2023-04-23T22:11:55.89" personId="{B1B0F6F1-FCBF-4ADA-B0C2-E6331D9AF452}" id="{81B591DD-1FF9-411C-BAA6-4375EF42A02A}">
    <text>2022 10-K 82584</text>
  </threadedComment>
  <threadedComment ref="EV61" dT="2023-04-23T22:12:02.84" personId="{B1B0F6F1-FCBF-4ADA-B0C2-E6331D9AF452}" id="{17B6C408-6627-42FF-9ADC-D78B6E22BBFE}">
    <text>2022 10-K: 93775</text>
  </threadedComment>
  <threadedComment ref="EW61" dT="2023-04-23T22:12:08.95" personId="{B1B0F6F1-FCBF-4ADA-B0C2-E6331D9AF452}" id="{2B6993CA-2FE9-424C-A2AB-7F7A198D76A3}">
    <text>2022 10-K 94943</text>
  </threadedComment>
  <threadedComment ref="DC62" dT="2024-07-03T02:26:47.10" personId="{B1B0F6F1-FCBF-4ADA-B0C2-E6331D9AF452}" id="{97C52B0D-8BC9-4BBC-9350-037D6E02FA16}">
    <text xml:space="preserve">8,395 with consumer </text>
  </threadedComment>
  <threadedComment ref="DC64" dT="2024-07-03T02:31:32.16" personId="{B1B0F6F1-FCBF-4ADA-B0C2-E6331D9AF452}" id="{A6B1AE65-7C0C-4941-91EE-ACEB2687BFB0}">
    <text>6,138 with consumer</text>
  </threadedComment>
  <threadedComment ref="DC65" dT="2024-07-03T02:31:57.67" personId="{B1B0F6F1-FCBF-4ADA-B0C2-E6331D9AF452}" id="{6D6FCDAD-D5A2-4FD0-B2FF-F3F42C14E7F2}">
    <text>3,563 with consumer</text>
  </threadedComment>
  <threadedComment ref="CI70" dT="2022-07-30T15:47:37.74" personId="{B1B0F6F1-FCBF-4ADA-B0C2-E6331D9AF452}" id="{F70AD04F-B9D4-4CB9-B097-57425D52099B}">
    <text>6858 actual adjusted</text>
  </threadedComment>
  <threadedComment ref="CJ70" dT="2022-07-30T15:45:11.81" personId="{B1B0F6F1-FCBF-4ADA-B0C2-E6331D9AF452}" id="{20726B22-689A-4361-A90E-379BEBA561A2}">
    <text>7014 actual adjusted</text>
  </threadedComment>
  <threadedComment ref="CL70" dT="2022-07-28T04:41:08.94" personId="{B1B0F6F1-FCBF-4ADA-B0C2-E6331D9AF452}" id="{BC3D4B04-C7B0-4F80-80CD-57FBE3F8501B}">
    <text>6046 actual adj</text>
  </threadedComment>
  <threadedComment ref="CM70" dT="2022-07-30T15:46:39.66" personId="{B1B0F6F1-FCBF-4ADA-B0C2-E6331D9AF452}" id="{E6348EFC-440C-4293-AB93-3C9CF0C1D22D}">
    <text>actual adjusted 6867</text>
  </threadedComment>
  <threadedComment ref="CN70" dT="2022-07-30T15:44:23.55" personId="{B1B0F6F1-FCBF-4ADA-B0C2-E6331D9AF452}" id="{E2E41AA0-40DB-4996-B9AC-68C5F5B416A4}">
    <text>8614 actual adjusted</text>
  </threadedComment>
  <threadedComment ref="CP70" dT="2022-07-28T04:41:01.40" personId="{B1B0F6F1-FCBF-4ADA-B0C2-E6331D9AF452}" id="{3914D8D0-C1CC-4713-8C4B-D6B4902A1DB5}">
    <text>5628 actual adj</text>
  </threadedComment>
  <threadedComment ref="DB70" dT="2023-01-24T18:48:45.18" personId="{B1B0F6F1-FCBF-4ADA-B0C2-E6331D9AF452}" id="{57A98D57-1151-4549-BB71-45A70090615A}">
    <text>7418 nongaap</text>
  </threadedComment>
  <threadedComment ref="CI72" dT="2022-07-30T15:47:43.76" personId="{B1B0F6F1-FCBF-4ADA-B0C2-E6331D9AF452}" id="{D7D0FEAC-BD98-4AF1-AF71-FD17A1AD0FC2}">
    <text>5635 actual adjusted</text>
  </threadedComment>
  <threadedComment ref="CJ72" dT="2022-07-30T15:45:18.54" personId="{B1B0F6F1-FCBF-4ADA-B0C2-E6331D9AF452}" id="{1EB83523-8F14-4259-A556-7AEDAE7F7981}">
    <text>5718 actual adjusted</text>
  </threadedComment>
  <threadedComment ref="CK72" dT="2022-07-28T02:46:40.56" personId="{B1B0F6F1-FCBF-4ADA-B0C2-E6331D9AF452}" id="{D6788F96-B571-4606-A723-15B6B28134D7}">
    <text>5590 actual</text>
  </threadedComment>
  <threadedComment ref="CL72" dT="2022-07-28T04:41:33.24" personId="{B1B0F6F1-FCBF-4ADA-B0C2-E6331D9AF452}" id="{D831ACBC-24BA-48CB-B852-D2FD856C1AA9}">
    <text>5372 actual adj</text>
  </threadedComment>
  <threadedComment ref="CM72" dT="2022-07-30T15:46:59.28" personId="{B1B0F6F1-FCBF-4ADA-B0C2-E6331D9AF452}" id="{FB29B332-ABE4-40F3-9424-4509BB9707B1}">
    <text>5661 actual adjusted</text>
  </threadedComment>
  <threadedComment ref="CN72" dT="2022-07-30T15:44:29.70" personId="{B1B0F6F1-FCBF-4ADA-B0C2-E6331D9AF452}" id="{AB2FD171-4878-4785-9CC6-E5E6981B40E8}">
    <text>6950 actual adjusted</text>
  </threadedComment>
  <threadedComment ref="CO72" dT="2022-07-28T02:46:49.33" personId="{B1B0F6F1-FCBF-4ADA-B0C2-E6331D9AF452}" id="{DF9141A9-C917-4FCC-ACAB-81BC3B8FBDC3}">
    <text>5672 actual adjusted</text>
  </threadedComment>
  <threadedComment ref="CP72" dT="2022-07-28T04:41:25.40" personId="{B1B0F6F1-FCBF-4ADA-B0C2-E6331D9AF452}" id="{38B02D27-96B4-4C61-A1A4-2D8D3DA05C55}">
    <text>5027 actual adj</text>
  </threadedComment>
  <threadedComment ref="DB72" dT="2023-01-24T18:48:50.87" personId="{B1B0F6F1-FCBF-4ADA-B0C2-E6331D9AF452}" id="{14B8FD79-CE1E-46F9-9F8A-B2BFC85FF655}">
    <text>6218 nongaap</text>
  </threadedComment>
  <threadedComment ref="DB77"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RowHeight="12.75" x14ac:dyDescent="0.2"/>
  <cols>
    <col min="1" max="1" width="5" bestFit="1" customWidth="1"/>
    <col min="2" max="2" width="14.5703125" customWidth="1"/>
  </cols>
  <sheetData>
    <row r="1" spans="1:15" x14ac:dyDescent="0.2">
      <c r="A1" s="116" t="s">
        <v>155</v>
      </c>
    </row>
    <row r="2" spans="1:15" x14ac:dyDescent="0.2">
      <c r="A2" s="116"/>
      <c r="B2" t="s">
        <v>1854</v>
      </c>
    </row>
    <row r="3" spans="1:15" x14ac:dyDescent="0.2">
      <c r="A3" s="116"/>
      <c r="B3" t="s">
        <v>1858</v>
      </c>
    </row>
    <row r="4" spans="1:15" x14ac:dyDescent="0.2">
      <c r="A4" s="116"/>
    </row>
    <row r="5" spans="1:15" x14ac:dyDescent="0.2">
      <c r="B5" t="s">
        <v>1851</v>
      </c>
      <c r="O5" s="3"/>
    </row>
    <row r="6" spans="1:15" x14ac:dyDescent="0.2">
      <c r="B6" t="s">
        <v>1857</v>
      </c>
      <c r="O6" s="3"/>
    </row>
    <row r="7" spans="1:15" x14ac:dyDescent="0.2">
      <c r="B7" t="s">
        <v>1852</v>
      </c>
      <c r="O7" s="3"/>
    </row>
    <row r="8" spans="1:15" x14ac:dyDescent="0.2">
      <c r="B8" t="s">
        <v>1805</v>
      </c>
      <c r="O8" s="3"/>
    </row>
    <row r="9" spans="1:15" x14ac:dyDescent="0.2">
      <c r="B9" t="s">
        <v>1806</v>
      </c>
      <c r="O9" s="3"/>
    </row>
    <row r="10" spans="1:15" x14ac:dyDescent="0.2">
      <c r="B10" t="s">
        <v>1850</v>
      </c>
      <c r="O10" s="3"/>
    </row>
    <row r="11" spans="1:15" x14ac:dyDescent="0.2">
      <c r="B11" t="s">
        <v>1869</v>
      </c>
      <c r="O11" s="3"/>
    </row>
    <row r="12" spans="1:15" x14ac:dyDescent="0.2">
      <c r="O12" s="3"/>
    </row>
    <row r="13" spans="1:15" x14ac:dyDescent="0.2">
      <c r="B13" t="s">
        <v>1855</v>
      </c>
      <c r="O13" s="3"/>
    </row>
    <row r="14" spans="1:15" x14ac:dyDescent="0.2">
      <c r="B14" t="s">
        <v>1407</v>
      </c>
      <c r="O14" s="3"/>
    </row>
    <row r="15" spans="1:15" x14ac:dyDescent="0.2">
      <c r="B15" t="s">
        <v>1285</v>
      </c>
    </row>
    <row r="16" spans="1:15" x14ac:dyDescent="0.2">
      <c r="B16" t="s">
        <v>134</v>
      </c>
    </row>
    <row r="17" spans="2:15" x14ac:dyDescent="0.2">
      <c r="B17" t="s">
        <v>1415</v>
      </c>
    </row>
    <row r="18" spans="2:15" x14ac:dyDescent="0.2">
      <c r="B18" t="s">
        <v>1419</v>
      </c>
    </row>
    <row r="19" spans="2:15" x14ac:dyDescent="0.2">
      <c r="B19" t="s">
        <v>1423</v>
      </c>
    </row>
    <row r="20" spans="2:15" x14ac:dyDescent="0.2">
      <c r="B20" t="s">
        <v>1856</v>
      </c>
      <c r="O20" s="3"/>
    </row>
    <row r="21" spans="2:15" x14ac:dyDescent="0.2">
      <c r="B21" t="s">
        <v>1013</v>
      </c>
    </row>
    <row r="22" spans="2:15" x14ac:dyDescent="0.2">
      <c r="B22" t="s">
        <v>1196</v>
      </c>
    </row>
    <row r="24" spans="2:15" x14ac:dyDescent="0.2">
      <c r="B24" t="s">
        <v>1416</v>
      </c>
    </row>
    <row r="25" spans="2:15" x14ac:dyDescent="0.2">
      <c r="B25" t="s">
        <v>1853</v>
      </c>
    </row>
    <row r="27" spans="2:15" x14ac:dyDescent="0.2">
      <c r="B27" t="s">
        <v>1746</v>
      </c>
    </row>
    <row r="28" spans="2:15" x14ac:dyDescent="0.2">
      <c r="B28" s="248" t="s">
        <v>630</v>
      </c>
    </row>
    <row r="29" spans="2:15" x14ac:dyDescent="0.2">
      <c r="B29" s="248" t="s">
        <v>437</v>
      </c>
    </row>
    <row r="30" spans="2:15" x14ac:dyDescent="0.2">
      <c r="B30" t="s">
        <v>1316</v>
      </c>
    </row>
    <row r="31" spans="2:15" x14ac:dyDescent="0.2">
      <c r="B31" t="s">
        <v>1402</v>
      </c>
    </row>
    <row r="32" spans="2:15" x14ac:dyDescent="0.2">
      <c r="B32" t="s">
        <v>1403</v>
      </c>
    </row>
    <row r="33" spans="2:16" x14ac:dyDescent="0.2">
      <c r="B33" t="s">
        <v>1406</v>
      </c>
    </row>
    <row r="34" spans="2:16" x14ac:dyDescent="0.2">
      <c r="B34" t="s">
        <v>1412</v>
      </c>
    </row>
    <row r="36" spans="2:16" x14ac:dyDescent="0.2">
      <c r="B36" s="184" t="s">
        <v>1509</v>
      </c>
      <c r="J36" s="184" t="s">
        <v>1519</v>
      </c>
      <c r="P36" s="184" t="s">
        <v>1520</v>
      </c>
    </row>
    <row r="37" spans="2:16" x14ac:dyDescent="0.2">
      <c r="B37" t="s">
        <v>1510</v>
      </c>
      <c r="J37" t="s">
        <v>1745</v>
      </c>
      <c r="P37" t="s">
        <v>1521</v>
      </c>
    </row>
    <row r="38" spans="2:16" x14ac:dyDescent="0.2">
      <c r="B38" t="s">
        <v>1744</v>
      </c>
      <c r="P38" t="s">
        <v>1522</v>
      </c>
    </row>
    <row r="39" spans="2:16" x14ac:dyDescent="0.2">
      <c r="B39" t="s">
        <v>1514</v>
      </c>
      <c r="P39" t="s">
        <v>1523</v>
      </c>
    </row>
    <row r="40" spans="2:16" x14ac:dyDescent="0.2">
      <c r="B40" t="s">
        <v>1513</v>
      </c>
      <c r="P40" t="s">
        <v>1524</v>
      </c>
    </row>
    <row r="41" spans="2:16" x14ac:dyDescent="0.2">
      <c r="B41" t="s">
        <v>1511</v>
      </c>
      <c r="P41" t="s">
        <v>1525</v>
      </c>
    </row>
    <row r="42" spans="2:16" x14ac:dyDescent="0.2">
      <c r="B42" t="s">
        <v>1512</v>
      </c>
      <c r="P42" t="s">
        <v>1526</v>
      </c>
    </row>
    <row r="43" spans="2:16" x14ac:dyDescent="0.2">
      <c r="B43" t="s">
        <v>1515</v>
      </c>
      <c r="P43" t="s">
        <v>1527</v>
      </c>
    </row>
    <row r="44" spans="2:16" x14ac:dyDescent="0.2">
      <c r="B44" t="s">
        <v>1516</v>
      </c>
      <c r="P44" t="s">
        <v>1528</v>
      </c>
    </row>
    <row r="45" spans="2:16" x14ac:dyDescent="0.2">
      <c r="B45" t="s">
        <v>1517</v>
      </c>
      <c r="P45" t="s">
        <v>1529</v>
      </c>
    </row>
    <row r="46" spans="2:16" x14ac:dyDescent="0.2">
      <c r="B46" t="s">
        <v>1518</v>
      </c>
      <c r="P46" t="s">
        <v>1530</v>
      </c>
    </row>
    <row r="47" spans="2:16" x14ac:dyDescent="0.2">
      <c r="P47" t="s">
        <v>1531</v>
      </c>
    </row>
    <row r="48" spans="2:16" x14ac:dyDescent="0.2">
      <c r="P48" t="s">
        <v>1532</v>
      </c>
    </row>
    <row r="51" spans="2:3" x14ac:dyDescent="0.2">
      <c r="B51" s="184" t="s">
        <v>1799</v>
      </c>
    </row>
    <row r="52" spans="2:3" x14ac:dyDescent="0.2">
      <c r="B52" t="s">
        <v>1800</v>
      </c>
      <c r="C52" t="s">
        <v>1801</v>
      </c>
    </row>
    <row r="53" spans="2:3" x14ac:dyDescent="0.2">
      <c r="B53" t="s">
        <v>1802</v>
      </c>
      <c r="C53" t="s">
        <v>1801</v>
      </c>
    </row>
    <row r="54" spans="2:3" x14ac:dyDescent="0.2">
      <c r="B54" t="s">
        <v>1803</v>
      </c>
      <c r="C54" t="s">
        <v>1804</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5703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155</v>
      </c>
    </row>
    <row r="2" spans="1:6" x14ac:dyDescent="0.2">
      <c r="B2" s="93" t="s">
        <v>486</v>
      </c>
      <c r="C2" s="93" t="s">
        <v>624</v>
      </c>
      <c r="D2" s="93"/>
      <c r="E2" s="93"/>
      <c r="F2" s="93"/>
    </row>
    <row r="3" spans="1:6" x14ac:dyDescent="0.2">
      <c r="B3" s="93" t="s">
        <v>487</v>
      </c>
      <c r="C3" s="93" t="s">
        <v>735</v>
      </c>
      <c r="D3" s="93"/>
      <c r="E3" s="93"/>
      <c r="F3" s="93"/>
    </row>
    <row r="4" spans="1:6" x14ac:dyDescent="0.2">
      <c r="B4" s="93" t="s">
        <v>496</v>
      </c>
      <c r="C4" s="4" t="s">
        <v>1192</v>
      </c>
      <c r="D4" s="93"/>
      <c r="E4" s="93"/>
      <c r="F4" s="93"/>
    </row>
    <row r="5" spans="1:6" x14ac:dyDescent="0.2">
      <c r="B5" s="93" t="s">
        <v>489</v>
      </c>
      <c r="C5" s="93" t="s">
        <v>27</v>
      </c>
      <c r="D5" s="93"/>
      <c r="E5" s="93"/>
      <c r="F5" s="93"/>
    </row>
    <row r="6" spans="1:6" x14ac:dyDescent="0.2">
      <c r="B6" s="93" t="s">
        <v>164</v>
      </c>
      <c r="C6" s="93" t="s">
        <v>11</v>
      </c>
      <c r="D6" s="93"/>
      <c r="E6" s="93"/>
      <c r="F6" s="93"/>
    </row>
    <row r="7" spans="1:6" x14ac:dyDescent="0.2">
      <c r="B7" s="93"/>
      <c r="C7" s="4" t="s">
        <v>18</v>
      </c>
      <c r="D7" s="93"/>
      <c r="E7" s="93"/>
      <c r="F7" s="93"/>
    </row>
    <row r="8" spans="1:6" x14ac:dyDescent="0.2">
      <c r="B8" s="93"/>
      <c r="C8" s="4" t="s">
        <v>1138</v>
      </c>
      <c r="D8" s="93"/>
      <c r="E8" s="93"/>
      <c r="F8" s="93"/>
    </row>
    <row r="9" spans="1:6" x14ac:dyDescent="0.2">
      <c r="B9" s="93" t="s">
        <v>537</v>
      </c>
      <c r="C9" s="93" t="s">
        <v>28</v>
      </c>
      <c r="D9" s="93"/>
      <c r="E9" s="93"/>
      <c r="F9" s="93"/>
    </row>
    <row r="10" spans="1:6" x14ac:dyDescent="0.2">
      <c r="B10" s="93" t="s">
        <v>490</v>
      </c>
      <c r="C10" s="93" t="s">
        <v>737</v>
      </c>
      <c r="D10" s="93"/>
      <c r="E10" s="93"/>
      <c r="F10" s="93"/>
    </row>
    <row r="11" spans="1:6" x14ac:dyDescent="0.2">
      <c r="B11" s="93"/>
      <c r="C11" s="93" t="s">
        <v>642</v>
      </c>
      <c r="D11" s="93"/>
      <c r="E11" s="93"/>
      <c r="F11" s="93"/>
    </row>
    <row r="12" spans="1:6" x14ac:dyDescent="0.2">
      <c r="B12" s="93"/>
      <c r="C12" s="93" t="s">
        <v>643</v>
      </c>
      <c r="D12" s="93"/>
      <c r="E12" s="93"/>
      <c r="F12" s="93"/>
    </row>
    <row r="13" spans="1:6" x14ac:dyDescent="0.2">
      <c r="B13" s="93"/>
      <c r="C13" s="93" t="s">
        <v>460</v>
      </c>
      <c r="D13" s="93"/>
      <c r="E13" s="93"/>
      <c r="F13" s="93"/>
    </row>
    <row r="14" spans="1:6" x14ac:dyDescent="0.2">
      <c r="B14" s="93" t="s">
        <v>736</v>
      </c>
      <c r="C14" s="93" t="s">
        <v>459</v>
      </c>
      <c r="D14" s="93"/>
      <c r="E14" s="93"/>
      <c r="F14" s="93"/>
    </row>
    <row r="15" spans="1:6" x14ac:dyDescent="0.2">
      <c r="B15" s="93" t="s">
        <v>644</v>
      </c>
      <c r="C15" s="93" t="s">
        <v>645</v>
      </c>
      <c r="D15" s="93"/>
      <c r="E15" s="93"/>
      <c r="F15" s="93"/>
    </row>
    <row r="16" spans="1:6" x14ac:dyDescent="0.2">
      <c r="B16" s="93" t="s">
        <v>772</v>
      </c>
      <c r="C16" s="4" t="s">
        <v>1474</v>
      </c>
      <c r="D16" s="93"/>
      <c r="E16" s="93"/>
      <c r="F16" s="93"/>
    </row>
    <row r="17" spans="2:43" x14ac:dyDescent="0.2">
      <c r="B17" s="93"/>
      <c r="C17" s="4" t="s">
        <v>1475</v>
      </c>
      <c r="D17" s="93"/>
      <c r="E17" s="93"/>
      <c r="F17" s="93"/>
    </row>
    <row r="18" spans="2:43" x14ac:dyDescent="0.2">
      <c r="B18" s="93" t="s">
        <v>166</v>
      </c>
      <c r="C18" s="4" t="s">
        <v>1128</v>
      </c>
      <c r="D18" s="93"/>
      <c r="E18" s="93"/>
      <c r="F18" s="93"/>
    </row>
    <row r="19" spans="2:43" x14ac:dyDescent="0.2">
      <c r="B19" s="93" t="s">
        <v>461</v>
      </c>
      <c r="C19" s="93" t="s">
        <v>462</v>
      </c>
      <c r="D19" s="93"/>
      <c r="E19" s="93"/>
      <c r="F19" s="93"/>
    </row>
    <row r="20" spans="2:43" x14ac:dyDescent="0.2">
      <c r="B20" s="93" t="s">
        <v>125</v>
      </c>
      <c r="C20" s="93" t="s">
        <v>126</v>
      </c>
      <c r="D20" s="93"/>
      <c r="E20" s="93"/>
      <c r="F20" s="93"/>
    </row>
    <row r="21" spans="2:43" x14ac:dyDescent="0.2">
      <c r="B21" s="93" t="s">
        <v>707</v>
      </c>
      <c r="C21" s="93" t="s">
        <v>985</v>
      </c>
      <c r="D21" s="93"/>
      <c r="E21" s="93"/>
      <c r="F21" s="93"/>
    </row>
    <row r="22" spans="2:43" x14ac:dyDescent="0.2">
      <c r="B22" s="93" t="s">
        <v>156</v>
      </c>
      <c r="C22" s="93" t="s">
        <v>463</v>
      </c>
      <c r="D22" s="93"/>
      <c r="E22" s="93"/>
      <c r="F22" s="93"/>
    </row>
    <row r="23" spans="2:43" x14ac:dyDescent="0.2">
      <c r="B23" s="93" t="s">
        <v>532</v>
      </c>
      <c r="C23" s="93"/>
      <c r="D23" s="93"/>
      <c r="E23" s="93"/>
      <c r="F23" s="93"/>
    </row>
    <row r="24" spans="2:43" x14ac:dyDescent="0.2">
      <c r="C24" s="30" t="s">
        <v>738</v>
      </c>
      <c r="E24" s="93"/>
      <c r="F24" s="93"/>
    </row>
    <row r="25" spans="2:43" x14ac:dyDescent="0.2">
      <c r="C25" s="93" t="s">
        <v>740</v>
      </c>
      <c r="D25" s="93"/>
      <c r="F25" s="93"/>
    </row>
    <row r="26" spans="2:43" x14ac:dyDescent="0.2">
      <c r="C26" s="93"/>
      <c r="D26" s="93"/>
      <c r="F26" s="93"/>
    </row>
    <row r="27" spans="2:43" x14ac:dyDescent="0.2">
      <c r="C27" s="30" t="s">
        <v>739</v>
      </c>
      <c r="F27" s="93"/>
    </row>
    <row r="28" spans="2:43" x14ac:dyDescent="0.2">
      <c r="C28" s="93" t="s">
        <v>741</v>
      </c>
      <c r="F28" s="93"/>
    </row>
    <row r="29" spans="2:43" x14ac:dyDescent="0.2">
      <c r="E29" s="93"/>
      <c r="J29" s="93"/>
      <c r="K29" s="95"/>
      <c r="AQ29" s="93"/>
    </row>
    <row r="30" spans="2:43" x14ac:dyDescent="0.2">
      <c r="C30" s="93"/>
      <c r="D30" s="93"/>
      <c r="F30" s="340" t="s">
        <v>742</v>
      </c>
      <c r="G30" s="340"/>
      <c r="H30" s="340"/>
      <c r="I30" s="340"/>
      <c r="J30" s="340"/>
      <c r="K30" s="340"/>
      <c r="L30" s="340"/>
      <c r="M30" s="340"/>
      <c r="N30" s="340"/>
      <c r="P30" s="340" t="s">
        <v>646</v>
      </c>
      <c r="Q30" s="340"/>
      <c r="R30" s="340"/>
      <c r="S30" s="340"/>
      <c r="T30" s="340"/>
      <c r="AP30" s="93"/>
      <c r="AQ30" s="93"/>
    </row>
    <row r="31" spans="2:43" x14ac:dyDescent="0.2">
      <c r="C31" s="93"/>
      <c r="D31" s="93"/>
      <c r="F31" s="95" t="s">
        <v>647</v>
      </c>
      <c r="H31" s="95" t="s">
        <v>648</v>
      </c>
      <c r="I31" s="93"/>
      <c r="J31" s="95" t="s">
        <v>648</v>
      </c>
      <c r="K31" s="95"/>
      <c r="L31" s="95" t="s">
        <v>649</v>
      </c>
      <c r="N31" s="95" t="s">
        <v>649</v>
      </c>
      <c r="P31" s="95" t="s">
        <v>647</v>
      </c>
      <c r="R31" s="95" t="s">
        <v>648</v>
      </c>
      <c r="T31" s="95" t="s">
        <v>650</v>
      </c>
      <c r="AP31" s="93"/>
      <c r="AQ31" s="93"/>
    </row>
    <row r="32" spans="2:43" x14ac:dyDescent="0.2">
      <c r="C32" s="93"/>
      <c r="D32" s="93" t="s">
        <v>651</v>
      </c>
      <c r="H32" s="95" t="s">
        <v>652</v>
      </c>
      <c r="I32" s="93"/>
      <c r="J32" s="95" t="s">
        <v>653</v>
      </c>
      <c r="K32" s="95"/>
      <c r="L32" s="95" t="s">
        <v>652</v>
      </c>
      <c r="N32" s="95" t="s">
        <v>653</v>
      </c>
      <c r="R32" s="95" t="s">
        <v>652</v>
      </c>
      <c r="T32" s="95" t="s">
        <v>652</v>
      </c>
      <c r="AP32" s="93"/>
      <c r="AQ32" s="93"/>
    </row>
    <row r="33" spans="3:43" x14ac:dyDescent="0.2">
      <c r="C33" s="93"/>
      <c r="D33" s="93" t="s">
        <v>654</v>
      </c>
      <c r="F33" s="152">
        <v>0.2</v>
      </c>
      <c r="H33" s="152">
        <v>0.5</v>
      </c>
      <c r="I33" s="93"/>
      <c r="J33" s="152">
        <v>0.5</v>
      </c>
      <c r="K33" s="95"/>
      <c r="L33" s="152">
        <v>0.52</v>
      </c>
      <c r="N33" s="152">
        <v>0.57999999999999996</v>
      </c>
      <c r="AP33" s="93"/>
      <c r="AQ33" s="93"/>
    </row>
    <row r="34" spans="3:43" x14ac:dyDescent="0.2">
      <c r="C34" s="93"/>
      <c r="D34" s="93" t="s">
        <v>655</v>
      </c>
      <c r="F34" s="152">
        <v>0.05</v>
      </c>
      <c r="H34" s="152">
        <v>0.27</v>
      </c>
      <c r="I34" s="93"/>
      <c r="J34" s="152">
        <v>0.28999999999999998</v>
      </c>
      <c r="K34" s="95"/>
      <c r="L34" s="152">
        <v>0.31</v>
      </c>
      <c r="N34" s="152">
        <v>0.26</v>
      </c>
      <c r="AP34" s="93"/>
      <c r="AQ34" s="93"/>
    </row>
    <row r="35" spans="3:43" x14ac:dyDescent="0.2">
      <c r="C35" s="93"/>
      <c r="D35" s="93" t="s">
        <v>656</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657</v>
      </c>
      <c r="F37" s="152"/>
      <c r="H37" s="152"/>
      <c r="I37" s="93"/>
      <c r="J37" s="152"/>
      <c r="K37" s="95"/>
      <c r="L37" s="152"/>
      <c r="N37" s="152"/>
      <c r="AP37" s="93"/>
      <c r="AQ37" s="93"/>
    </row>
    <row r="38" spans="3:43" x14ac:dyDescent="0.2">
      <c r="C38" s="93"/>
      <c r="D38" s="93" t="s">
        <v>654</v>
      </c>
      <c r="F38" s="152">
        <v>0.17</v>
      </c>
      <c r="H38" s="152">
        <v>0.42</v>
      </c>
      <c r="I38" s="93"/>
      <c r="J38" s="153">
        <v>0.48</v>
      </c>
      <c r="K38" s="95"/>
      <c r="L38" s="152">
        <v>0.59</v>
      </c>
      <c r="N38" s="152">
        <v>0.59</v>
      </c>
      <c r="P38" s="152">
        <v>0.54</v>
      </c>
      <c r="R38" s="152">
        <v>0.62</v>
      </c>
      <c r="T38" s="152">
        <v>0.66</v>
      </c>
      <c r="AP38" s="93"/>
      <c r="AQ38" s="93"/>
    </row>
    <row r="39" spans="3:43" x14ac:dyDescent="0.2">
      <c r="C39" s="93"/>
      <c r="D39" s="93" t="s">
        <v>655</v>
      </c>
      <c r="F39" s="152">
        <v>0.09</v>
      </c>
      <c r="H39" s="152">
        <v>0.21</v>
      </c>
      <c r="I39" s="93"/>
      <c r="J39" s="152">
        <v>0.34</v>
      </c>
      <c r="K39" s="95"/>
      <c r="L39" s="152">
        <v>0.4</v>
      </c>
      <c r="N39" s="152">
        <v>0.38</v>
      </c>
      <c r="P39" s="152">
        <v>0.32</v>
      </c>
      <c r="R39" s="152">
        <v>0.46</v>
      </c>
      <c r="T39" s="152">
        <v>0.5</v>
      </c>
      <c r="AP39" s="93"/>
      <c r="AQ39" s="93"/>
    </row>
    <row r="40" spans="3:43" x14ac:dyDescent="0.2">
      <c r="C40" s="93"/>
      <c r="D40" s="93" t="s">
        <v>656</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658</v>
      </c>
      <c r="F42" s="152">
        <v>0</v>
      </c>
      <c r="H42" s="152">
        <v>7.0000000000000007E-2</v>
      </c>
      <c r="I42" s="93"/>
      <c r="J42" s="152">
        <v>0.08</v>
      </c>
      <c r="K42" s="95"/>
      <c r="L42" s="152">
        <v>0.15</v>
      </c>
      <c r="N42" s="152">
        <v>0.06</v>
      </c>
      <c r="P42" s="152">
        <v>0.08</v>
      </c>
      <c r="R42" s="152">
        <v>0.12</v>
      </c>
      <c r="T42" s="152">
        <v>0.17</v>
      </c>
      <c r="AP42" s="93"/>
      <c r="AQ42" s="93"/>
    </row>
    <row r="43" spans="3:43" x14ac:dyDescent="0.2">
      <c r="D43" s="93" t="s">
        <v>659</v>
      </c>
      <c r="I43" s="93"/>
      <c r="K43" s="95"/>
      <c r="AP43" s="93"/>
      <c r="AQ43" s="93"/>
    </row>
    <row r="44" spans="3:43" x14ac:dyDescent="0.2">
      <c r="I44" s="93"/>
      <c r="K44" s="95"/>
      <c r="AP44" s="93"/>
      <c r="AQ44" s="93"/>
    </row>
    <row r="45" spans="3:43" x14ac:dyDescent="0.2">
      <c r="C45" s="30" t="s">
        <v>29</v>
      </c>
    </row>
    <row r="47" spans="3:43" x14ac:dyDescent="0.2">
      <c r="C47" s="30" t="s">
        <v>30</v>
      </c>
    </row>
    <row r="49" spans="2:64" x14ac:dyDescent="0.2">
      <c r="C49" s="30" t="s">
        <v>31</v>
      </c>
    </row>
    <row r="51" spans="2:64" x14ac:dyDescent="0.2">
      <c r="C51" s="30" t="s">
        <v>32</v>
      </c>
    </row>
    <row r="53" spans="2:64" x14ac:dyDescent="0.2">
      <c r="C53" s="30" t="s">
        <v>1042</v>
      </c>
    </row>
    <row r="58" spans="2:64" x14ac:dyDescent="0.2">
      <c r="B58" s="93"/>
      <c r="C58" s="154" t="s">
        <v>222</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586</v>
      </c>
      <c r="R58" s="258" t="s">
        <v>587</v>
      </c>
      <c r="S58" s="258" t="s">
        <v>588</v>
      </c>
      <c r="T58" s="258" t="s">
        <v>589</v>
      </c>
      <c r="U58" s="258" t="s">
        <v>590</v>
      </c>
      <c r="V58" s="258" t="s">
        <v>591</v>
      </c>
      <c r="W58" s="258" t="s">
        <v>592</v>
      </c>
      <c r="X58" s="258" t="s">
        <v>593</v>
      </c>
      <c r="Y58" s="258" t="s">
        <v>594</v>
      </c>
      <c r="Z58" s="258" t="s">
        <v>595</v>
      </c>
      <c r="AA58" s="258" t="s">
        <v>596</v>
      </c>
      <c r="AB58" s="258" t="s">
        <v>597</v>
      </c>
      <c r="AC58" s="258" t="s">
        <v>598</v>
      </c>
      <c r="AD58" s="258" t="s">
        <v>599</v>
      </c>
      <c r="AE58" s="258" t="s">
        <v>600</v>
      </c>
      <c r="AF58" s="258" t="s">
        <v>601</v>
      </c>
      <c r="AG58" s="258" t="s">
        <v>602</v>
      </c>
      <c r="AH58" s="258" t="s">
        <v>603</v>
      </c>
      <c r="AI58" s="258" t="s">
        <v>604</v>
      </c>
      <c r="AJ58" s="258" t="s">
        <v>605</v>
      </c>
      <c r="AK58" s="258" t="s">
        <v>606</v>
      </c>
      <c r="AL58" s="258" t="s">
        <v>607</v>
      </c>
      <c r="AM58" s="258" t="s">
        <v>608</v>
      </c>
      <c r="AN58" s="258" t="s">
        <v>609</v>
      </c>
      <c r="AO58" s="258" t="s">
        <v>610</v>
      </c>
      <c r="AP58" s="258" t="s">
        <v>611</v>
      </c>
      <c r="AQ58" s="258" t="s">
        <v>612</v>
      </c>
      <c r="AR58" s="258" t="s">
        <v>613</v>
      </c>
      <c r="AS58" s="258" t="s">
        <v>614</v>
      </c>
      <c r="AT58" s="258" t="s">
        <v>615</v>
      </c>
      <c r="AU58" s="258" t="s">
        <v>616</v>
      </c>
      <c r="AV58" s="258" t="s">
        <v>617</v>
      </c>
      <c r="AW58" s="258" t="s">
        <v>920</v>
      </c>
      <c r="AX58" s="258" t="s">
        <v>921</v>
      </c>
      <c r="AY58" s="258" t="s">
        <v>962</v>
      </c>
      <c r="AZ58" s="258" t="s">
        <v>963</v>
      </c>
      <c r="BA58" s="258" t="s">
        <v>964</v>
      </c>
      <c r="BB58" s="258" t="s">
        <v>965</v>
      </c>
      <c r="BC58" s="258" t="s">
        <v>966</v>
      </c>
      <c r="BD58" s="258" t="s">
        <v>967</v>
      </c>
      <c r="BE58" s="258" t="s">
        <v>103</v>
      </c>
      <c r="BF58" s="258" t="s">
        <v>104</v>
      </c>
      <c r="BG58" s="258" t="s">
        <v>105</v>
      </c>
      <c r="BH58" s="258" t="s">
        <v>106</v>
      </c>
      <c r="BI58" s="258" t="s">
        <v>1469</v>
      </c>
      <c r="BJ58" s="258" t="s">
        <v>1470</v>
      </c>
      <c r="BK58" s="258" t="s">
        <v>1471</v>
      </c>
      <c r="BL58" s="155" t="s">
        <v>1472</v>
      </c>
    </row>
    <row r="59" spans="2:64" s="156" customFormat="1" x14ac:dyDescent="0.2">
      <c r="C59" s="156" t="s">
        <v>618</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619</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540</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620</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622</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623</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181</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222</v>
      </c>
      <c r="D70" s="252"/>
      <c r="E70" s="252"/>
      <c r="F70" s="252"/>
      <c r="G70" s="252"/>
      <c r="H70" s="252"/>
      <c r="I70" s="252"/>
      <c r="J70" s="252"/>
      <c r="K70" s="259">
        <f>K68+K62</f>
        <v>4253</v>
      </c>
      <c r="L70" s="259">
        <f>L68+L62</f>
        <v>4975</v>
      </c>
      <c r="M70" s="259">
        <f>M68+M62</f>
        <v>5866</v>
      </c>
      <c r="N70" s="259">
        <f>N68+N62</f>
        <v>6506.72</v>
      </c>
      <c r="O70" s="252"/>
    </row>
    <row r="71" spans="2:64" x14ac:dyDescent="0.2">
      <c r="C71" s="93" t="s">
        <v>456</v>
      </c>
      <c r="D71" s="252"/>
      <c r="E71" s="252"/>
      <c r="F71" s="252"/>
      <c r="G71" s="252"/>
      <c r="H71" s="252"/>
      <c r="I71" s="252"/>
      <c r="J71" s="252"/>
      <c r="K71" s="259">
        <v>4331</v>
      </c>
      <c r="L71" s="259">
        <v>5275</v>
      </c>
      <c r="M71" s="259">
        <v>6276</v>
      </c>
      <c r="N71" s="259">
        <f>M71*1.05</f>
        <v>6589.8</v>
      </c>
      <c r="O71" s="252"/>
    </row>
    <row r="72" spans="2:64" x14ac:dyDescent="0.2">
      <c r="C72" s="93" t="s">
        <v>457</v>
      </c>
      <c r="D72" s="252"/>
      <c r="E72" s="252"/>
      <c r="F72" s="252"/>
      <c r="G72" s="252"/>
      <c r="H72" s="252"/>
      <c r="I72" s="252"/>
      <c r="J72" s="252"/>
      <c r="K72" s="259">
        <v>2044</v>
      </c>
      <c r="L72" s="259">
        <v>3063</v>
      </c>
      <c r="M72" s="259">
        <v>4345</v>
      </c>
      <c r="N72" s="259">
        <f>M72*1.05</f>
        <v>4562.25</v>
      </c>
      <c r="O72" s="252"/>
    </row>
    <row r="73" spans="2:64" x14ac:dyDescent="0.2">
      <c r="C73" s="9" t="s">
        <v>364</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1473</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RowHeight="12.75" x14ac:dyDescent="0.2"/>
  <cols>
    <col min="1" max="1" width="5" bestFit="1" customWidth="1"/>
    <col min="2" max="2" width="12" bestFit="1" customWidth="1"/>
  </cols>
  <sheetData>
    <row r="1" spans="1:3" x14ac:dyDescent="0.2">
      <c r="A1" s="116" t="s">
        <v>155</v>
      </c>
    </row>
    <row r="2" spans="1:3" x14ac:dyDescent="0.2">
      <c r="B2" t="s">
        <v>1699</v>
      </c>
      <c r="C2" t="s">
        <v>1844</v>
      </c>
    </row>
    <row r="3" spans="1:3" x14ac:dyDescent="0.2">
      <c r="B3" t="s">
        <v>1280</v>
      </c>
      <c r="C3" t="s">
        <v>1591</v>
      </c>
    </row>
    <row r="4" spans="1:3" x14ac:dyDescent="0.2">
      <c r="B4" t="s">
        <v>160</v>
      </c>
      <c r="C4" t="s">
        <v>1845</v>
      </c>
    </row>
    <row r="5" spans="1:3" x14ac:dyDescent="0.2">
      <c r="B5" t="s">
        <v>1700</v>
      </c>
      <c r="C5" t="s">
        <v>1846</v>
      </c>
    </row>
    <row r="6" spans="1:3" x14ac:dyDescent="0.2">
      <c r="B6" t="s">
        <v>777</v>
      </c>
    </row>
    <row r="7" spans="1:3" x14ac:dyDescent="0.2">
      <c r="C7" s="184" t="s">
        <v>1847</v>
      </c>
    </row>
    <row r="8" spans="1:3" x14ac:dyDescent="0.2">
      <c r="C8" t="s">
        <v>1848</v>
      </c>
    </row>
    <row r="11" spans="1:3" x14ac:dyDescent="0.2">
      <c r="C11" s="184" t="s">
        <v>1879</v>
      </c>
    </row>
    <row r="12" spans="1:3" x14ac:dyDescent="0.2">
      <c r="C12" t="s">
        <v>1880</v>
      </c>
    </row>
    <row r="14" spans="1:3" x14ac:dyDescent="0.2">
      <c r="C14" s="184" t="s">
        <v>1882</v>
      </c>
    </row>
    <row r="15" spans="1:3" x14ac:dyDescent="0.2">
      <c r="C15" t="s">
        <v>1881</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2"/>
  <sheetViews>
    <sheetView zoomScale="121" workbookViewId="0"/>
  </sheetViews>
  <sheetFormatPr defaultRowHeight="12.75" x14ac:dyDescent="0.2"/>
  <cols>
    <col min="1" max="1" width="5" bestFit="1" customWidth="1"/>
    <col min="2" max="2" width="12" bestFit="1" customWidth="1"/>
  </cols>
  <sheetData>
    <row r="1" spans="1:3" x14ac:dyDescent="0.2">
      <c r="A1" s="116" t="s">
        <v>155</v>
      </c>
    </row>
    <row r="2" spans="1:3" x14ac:dyDescent="0.2">
      <c r="B2" t="s">
        <v>1699</v>
      </c>
      <c r="C2" t="s">
        <v>1836</v>
      </c>
    </row>
    <row r="3" spans="1:3" x14ac:dyDescent="0.2">
      <c r="B3" t="s">
        <v>1280</v>
      </c>
      <c r="C3" t="s">
        <v>1543</v>
      </c>
    </row>
    <row r="4" spans="1:3" x14ac:dyDescent="0.2">
      <c r="B4" t="s">
        <v>160</v>
      </c>
      <c r="C4" t="s">
        <v>1842</v>
      </c>
    </row>
    <row r="5" spans="1:3" x14ac:dyDescent="0.2">
      <c r="B5" t="s">
        <v>1700</v>
      </c>
      <c r="C5" t="s">
        <v>1793</v>
      </c>
    </row>
    <row r="6" spans="1:3" x14ac:dyDescent="0.2">
      <c r="B6" t="s">
        <v>772</v>
      </c>
      <c r="C6" t="s">
        <v>1841</v>
      </c>
    </row>
    <row r="7" spans="1:3" x14ac:dyDescent="0.2">
      <c r="B7" t="s">
        <v>164</v>
      </c>
    </row>
    <row r="8" spans="1:3" x14ac:dyDescent="0.2">
      <c r="B8" t="s">
        <v>777</v>
      </c>
    </row>
    <row r="9" spans="1:3" x14ac:dyDescent="0.2">
      <c r="C9" s="184" t="s">
        <v>1840</v>
      </c>
    </row>
    <row r="10" spans="1:3" x14ac:dyDescent="0.2">
      <c r="C10" t="s">
        <v>1837</v>
      </c>
    </row>
    <row r="11" spans="1:3" x14ac:dyDescent="0.2">
      <c r="C11" t="s">
        <v>1839</v>
      </c>
    </row>
    <row r="12" spans="1:3" x14ac:dyDescent="0.2">
      <c r="C12" t="s">
        <v>1838</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RowHeight="12.75" x14ac:dyDescent="0.2"/>
  <cols>
    <col min="1" max="1" width="5" bestFit="1" customWidth="1"/>
    <col min="2" max="2" width="12" bestFit="1" customWidth="1"/>
  </cols>
  <sheetData>
    <row r="1" spans="1:3" x14ac:dyDescent="0.2">
      <c r="A1" s="116" t="s">
        <v>155</v>
      </c>
    </row>
    <row r="2" spans="1:3" x14ac:dyDescent="0.2">
      <c r="B2" t="s">
        <v>1699</v>
      </c>
      <c r="C2" t="s">
        <v>1820</v>
      </c>
    </row>
    <row r="3" spans="1:3" x14ac:dyDescent="0.2">
      <c r="B3" t="s">
        <v>1280</v>
      </c>
      <c r="C3" t="s">
        <v>1821</v>
      </c>
    </row>
    <row r="4" spans="1:3" x14ac:dyDescent="0.2">
      <c r="B4" t="s">
        <v>160</v>
      </c>
      <c r="C4" t="s">
        <v>1824</v>
      </c>
    </row>
    <row r="5" spans="1:3" x14ac:dyDescent="0.2">
      <c r="B5" t="s">
        <v>772</v>
      </c>
      <c r="C5" t="s">
        <v>1827</v>
      </c>
    </row>
    <row r="6" spans="1:3" x14ac:dyDescent="0.2">
      <c r="B6" t="s">
        <v>777</v>
      </c>
    </row>
    <row r="7" spans="1:3" x14ac:dyDescent="0.2">
      <c r="C7" s="184" t="s">
        <v>1825</v>
      </c>
    </row>
    <row r="8" spans="1:3" x14ac:dyDescent="0.2">
      <c r="C8" t="s">
        <v>1826</v>
      </c>
    </row>
    <row r="9" spans="1:3" x14ac:dyDescent="0.2">
      <c r="C9" t="s">
        <v>1823</v>
      </c>
    </row>
    <row r="10" spans="1:3" x14ac:dyDescent="0.2">
      <c r="C10" t="s">
        <v>1822</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155</v>
      </c>
    </row>
    <row r="2" spans="1:3" x14ac:dyDescent="0.2">
      <c r="B2" s="4" t="s">
        <v>486</v>
      </c>
      <c r="C2" s="4" t="s">
        <v>1249</v>
      </c>
    </row>
    <row r="3" spans="1:3" x14ac:dyDescent="0.2">
      <c r="B3" s="4" t="s">
        <v>487</v>
      </c>
      <c r="C3" s="4" t="s">
        <v>1270</v>
      </c>
    </row>
    <row r="4" spans="1:3" x14ac:dyDescent="0.2">
      <c r="B4" s="4" t="s">
        <v>490</v>
      </c>
      <c r="C4" s="4" t="s">
        <v>1253</v>
      </c>
    </row>
    <row r="5" spans="1:3" x14ac:dyDescent="0.2">
      <c r="B5" s="4" t="s">
        <v>528</v>
      </c>
      <c r="C5" s="4" t="s">
        <v>1254</v>
      </c>
    </row>
    <row r="6" spans="1:3" x14ac:dyDescent="0.2">
      <c r="B6" s="4" t="s">
        <v>496</v>
      </c>
      <c r="C6" s="4" t="s">
        <v>171</v>
      </c>
    </row>
    <row r="7" spans="1:3" x14ac:dyDescent="0.2">
      <c r="B7" s="4" t="s">
        <v>772</v>
      </c>
      <c r="C7" s="4" t="s">
        <v>1413</v>
      </c>
    </row>
    <row r="8" spans="1:3" x14ac:dyDescent="0.2">
      <c r="B8" s="4" t="s">
        <v>160</v>
      </c>
      <c r="C8" s="4" t="s">
        <v>1080</v>
      </c>
    </row>
    <row r="9" spans="1:3" x14ac:dyDescent="0.2">
      <c r="C9" s="4" t="s">
        <v>1081</v>
      </c>
    </row>
    <row r="10" spans="1:3" x14ac:dyDescent="0.2">
      <c r="B10" s="4" t="s">
        <v>164</v>
      </c>
      <c r="C10" s="4" t="s">
        <v>903</v>
      </c>
    </row>
    <row r="11" spans="1:3" x14ac:dyDescent="0.2">
      <c r="B11" s="4" t="s">
        <v>166</v>
      </c>
      <c r="C11" s="4" t="s">
        <v>1274</v>
      </c>
    </row>
    <row r="12" spans="1:3" x14ac:dyDescent="0.2">
      <c r="C12" s="4" t="s">
        <v>1250</v>
      </c>
    </row>
    <row r="13" spans="1:3" x14ac:dyDescent="0.2">
      <c r="B13" s="4" t="s">
        <v>905</v>
      </c>
      <c r="C13" s="4" t="s">
        <v>1414</v>
      </c>
    </row>
    <row r="14" spans="1:3" x14ac:dyDescent="0.2">
      <c r="C14" s="4" t="s">
        <v>1502</v>
      </c>
    </row>
    <row r="15" spans="1:3" x14ac:dyDescent="0.2">
      <c r="C15" s="4" t="s">
        <v>1504</v>
      </c>
    </row>
    <row r="16" spans="1:3" x14ac:dyDescent="0.2">
      <c r="C16" s="4" t="s">
        <v>1503</v>
      </c>
    </row>
    <row r="17" spans="2:3" x14ac:dyDescent="0.2">
      <c r="B17" s="4" t="s">
        <v>107</v>
      </c>
      <c r="C17" s="4" t="s">
        <v>1248</v>
      </c>
    </row>
    <row r="18" spans="2:3" x14ac:dyDescent="0.2">
      <c r="C18" s="4" t="s">
        <v>1251</v>
      </c>
    </row>
    <row r="19" spans="2:3" x14ac:dyDescent="0.2">
      <c r="B19" s="4" t="s">
        <v>494</v>
      </c>
      <c r="C19" s="4" t="s">
        <v>1262</v>
      </c>
    </row>
    <row r="20" spans="2:3" x14ac:dyDescent="0.2">
      <c r="B20" s="4" t="s">
        <v>1263</v>
      </c>
      <c r="C20" s="4" t="s">
        <v>1264</v>
      </c>
    </row>
    <row r="21" spans="2:3" x14ac:dyDescent="0.2">
      <c r="B21" s="4" t="s">
        <v>777</v>
      </c>
    </row>
    <row r="22" spans="2:3" x14ac:dyDescent="0.2">
      <c r="C22" s="30" t="s">
        <v>1495</v>
      </c>
    </row>
    <row r="23" spans="2:3" x14ac:dyDescent="0.2">
      <c r="C23" s="4" t="s">
        <v>1496</v>
      </c>
    </row>
    <row r="25" spans="2:3" x14ac:dyDescent="0.2">
      <c r="C25" s="30" t="s">
        <v>1417</v>
      </c>
    </row>
    <row r="26" spans="2:3" x14ac:dyDescent="0.2">
      <c r="C26" s="4" t="s">
        <v>1418</v>
      </c>
    </row>
    <row r="27" spans="2:3" x14ac:dyDescent="0.2">
      <c r="C27" s="4" t="s">
        <v>1480</v>
      </c>
    </row>
    <row r="28" spans="2:3" x14ac:dyDescent="0.2">
      <c r="C28" s="4" t="s">
        <v>1481</v>
      </c>
    </row>
    <row r="29" spans="2:3" x14ac:dyDescent="0.2">
      <c r="C29" s="4" t="s">
        <v>1482</v>
      </c>
    </row>
    <row r="31" spans="2:3" x14ac:dyDescent="0.2">
      <c r="C31" s="30" t="s">
        <v>1420</v>
      </c>
    </row>
    <row r="32" spans="2:3" x14ac:dyDescent="0.2">
      <c r="C32" s="4" t="s">
        <v>1422</v>
      </c>
    </row>
    <row r="33" spans="1:3" x14ac:dyDescent="0.2">
      <c r="C33" s="4" t="s">
        <v>1421</v>
      </c>
    </row>
    <row r="35" spans="1:3" x14ac:dyDescent="0.2">
      <c r="C35" s="30" t="s">
        <v>1261</v>
      </c>
    </row>
    <row r="36" spans="1:3" x14ac:dyDescent="0.2">
      <c r="C36" s="4" t="s">
        <v>1082</v>
      </c>
    </row>
    <row r="37" spans="1:3" x14ac:dyDescent="0.2">
      <c r="C37" s="9" t="s">
        <v>1083</v>
      </c>
    </row>
    <row r="38" spans="1:3" x14ac:dyDescent="0.2">
      <c r="A38" s="15"/>
      <c r="C38" s="4" t="s">
        <v>1255</v>
      </c>
    </row>
    <row r="40" spans="1:3" x14ac:dyDescent="0.2">
      <c r="C40" s="30" t="s">
        <v>1257</v>
      </c>
    </row>
    <row r="41" spans="1:3" x14ac:dyDescent="0.2">
      <c r="C41" s="4" t="s">
        <v>1256</v>
      </c>
    </row>
    <row r="43" spans="1:3" x14ac:dyDescent="0.2">
      <c r="C43" s="30" t="s">
        <v>1258</v>
      </c>
    </row>
    <row r="44" spans="1:3" x14ac:dyDescent="0.2">
      <c r="C44" s="4" t="s">
        <v>1259</v>
      </c>
    </row>
    <row r="46" spans="1:3" x14ac:dyDescent="0.2">
      <c r="C46" s="30" t="s">
        <v>1260</v>
      </c>
    </row>
    <row r="47" spans="1:3" x14ac:dyDescent="0.2">
      <c r="C47" s="4" t="s">
        <v>901</v>
      </c>
    </row>
    <row r="48" spans="1:3" x14ac:dyDescent="0.2">
      <c r="C48" s="4" t="s">
        <v>902</v>
      </c>
    </row>
    <row r="50" spans="3:3" x14ac:dyDescent="0.2">
      <c r="C50" s="30" t="s">
        <v>1252</v>
      </c>
    </row>
    <row r="52" spans="3:3" x14ac:dyDescent="0.2">
      <c r="C52" s="30" t="s">
        <v>1265</v>
      </c>
    </row>
    <row r="54" spans="3:3" x14ac:dyDescent="0.2">
      <c r="C54" s="30" t="s">
        <v>1266</v>
      </c>
    </row>
    <row r="56" spans="3:3" x14ac:dyDescent="0.2">
      <c r="C56" s="30" t="s">
        <v>1267</v>
      </c>
    </row>
    <row r="58" spans="3:3" x14ac:dyDescent="0.2">
      <c r="C58" s="30" t="s">
        <v>1271</v>
      </c>
    </row>
    <row r="60" spans="3:3" x14ac:dyDescent="0.2">
      <c r="C60" s="30" t="s">
        <v>1269</v>
      </c>
    </row>
    <row r="61" spans="3:3" x14ac:dyDescent="0.2">
      <c r="C61" s="4" t="s">
        <v>1268</v>
      </c>
    </row>
    <row r="64" spans="3:3" x14ac:dyDescent="0.2">
      <c r="C64" s="30" t="s">
        <v>1272</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RowHeight="12.75" x14ac:dyDescent="0.2"/>
  <cols>
    <col min="1" max="1" width="5" bestFit="1" customWidth="1"/>
    <col min="2" max="2" width="10.28515625" bestFit="1" customWidth="1"/>
  </cols>
  <sheetData>
    <row r="1" spans="1:3" x14ac:dyDescent="0.2">
      <c r="A1" s="116" t="s">
        <v>155</v>
      </c>
    </row>
    <row r="2" spans="1:3" x14ac:dyDescent="0.2">
      <c r="B2" t="s">
        <v>1699</v>
      </c>
      <c r="C2" t="s">
        <v>1867</v>
      </c>
    </row>
    <row r="3" spans="1:3" x14ac:dyDescent="0.2">
      <c r="B3" t="s">
        <v>1280</v>
      </c>
      <c r="C3" t="s">
        <v>1861</v>
      </c>
    </row>
    <row r="4" spans="1:3" x14ac:dyDescent="0.2">
      <c r="B4" t="s">
        <v>160</v>
      </c>
      <c r="C4" t="s">
        <v>195</v>
      </c>
    </row>
    <row r="5" spans="1:3" x14ac:dyDescent="0.2">
      <c r="B5" t="s">
        <v>1700</v>
      </c>
      <c r="C5" t="s">
        <v>1866</v>
      </c>
    </row>
    <row r="6" spans="1:3" x14ac:dyDescent="0.2">
      <c r="B6" t="s">
        <v>772</v>
      </c>
      <c r="C6" t="s">
        <v>1868</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155</v>
      </c>
    </row>
    <row r="2" spans="1:3" x14ac:dyDescent="0.2">
      <c r="B2" s="134" t="s">
        <v>486</v>
      </c>
      <c r="C2" s="134" t="s">
        <v>185</v>
      </c>
    </row>
    <row r="3" spans="1:3" x14ac:dyDescent="0.2">
      <c r="B3" s="134" t="s">
        <v>487</v>
      </c>
      <c r="C3" s="134" t="s">
        <v>957</v>
      </c>
    </row>
    <row r="4" spans="1:3" x14ac:dyDescent="0.2">
      <c r="B4" s="134" t="s">
        <v>490</v>
      </c>
      <c r="C4" s="134" t="s">
        <v>1143</v>
      </c>
    </row>
    <row r="5" spans="1:3" x14ac:dyDescent="0.2">
      <c r="C5" s="134" t="s">
        <v>1144</v>
      </c>
    </row>
    <row r="6" spans="1:3" x14ac:dyDescent="0.2">
      <c r="B6" s="134" t="s">
        <v>774</v>
      </c>
      <c r="C6" s="160">
        <v>39070</v>
      </c>
    </row>
    <row r="7" spans="1:3" x14ac:dyDescent="0.2">
      <c r="B7" s="134" t="s">
        <v>496</v>
      </c>
      <c r="C7" s="134" t="s">
        <v>171</v>
      </c>
    </row>
    <row r="8" spans="1:3" x14ac:dyDescent="0.2">
      <c r="B8" s="134" t="s">
        <v>160</v>
      </c>
      <c r="C8" s="134" t="s">
        <v>958</v>
      </c>
    </row>
    <row r="9" spans="1:3" x14ac:dyDescent="0.2">
      <c r="B9" s="134" t="s">
        <v>164</v>
      </c>
      <c r="C9" s="134" t="s">
        <v>87</v>
      </c>
    </row>
    <row r="10" spans="1:3" x14ac:dyDescent="0.2">
      <c r="B10" s="134" t="s">
        <v>537</v>
      </c>
      <c r="C10" s="134" t="s">
        <v>904</v>
      </c>
    </row>
    <row r="11" spans="1:3" x14ac:dyDescent="0.2">
      <c r="B11" s="134" t="s">
        <v>905</v>
      </c>
      <c r="C11" s="134" t="s">
        <v>1235</v>
      </c>
    </row>
    <row r="12" spans="1:3" x14ac:dyDescent="0.2">
      <c r="B12" s="134" t="s">
        <v>906</v>
      </c>
      <c r="C12" s="134" t="s">
        <v>907</v>
      </c>
    </row>
    <row r="13" spans="1:3" x14ac:dyDescent="0.2">
      <c r="B13" s="134" t="s">
        <v>156</v>
      </c>
      <c r="C13" s="134" t="s">
        <v>908</v>
      </c>
    </row>
    <row r="14" spans="1:3" x14ac:dyDescent="0.2">
      <c r="B14" s="134" t="s">
        <v>532</v>
      </c>
      <c r="C14" s="134" t="s">
        <v>909</v>
      </c>
    </row>
    <row r="16" spans="1:3" x14ac:dyDescent="0.2">
      <c r="C16" s="134" t="s">
        <v>910</v>
      </c>
    </row>
    <row r="18" spans="2:4" x14ac:dyDescent="0.2">
      <c r="C18" s="134" t="s">
        <v>911</v>
      </c>
    </row>
    <row r="20" spans="2:4" x14ac:dyDescent="0.2">
      <c r="C20" s="134" t="s">
        <v>912</v>
      </c>
    </row>
    <row r="21" spans="2:4" x14ac:dyDescent="0.2">
      <c r="D21" s="134" t="s">
        <v>913</v>
      </c>
    </row>
    <row r="22" spans="2:4" x14ac:dyDescent="0.2">
      <c r="D22" s="134" t="s">
        <v>914</v>
      </c>
    </row>
    <row r="23" spans="2:4" x14ac:dyDescent="0.2">
      <c r="D23" s="134" t="s">
        <v>915</v>
      </c>
    </row>
    <row r="24" spans="2:4" x14ac:dyDescent="0.2">
      <c r="D24" s="134" t="s">
        <v>916</v>
      </c>
    </row>
    <row r="26" spans="2:4" x14ac:dyDescent="0.2">
      <c r="C26" s="134" t="s">
        <v>917</v>
      </c>
    </row>
    <row r="27" spans="2:4" x14ac:dyDescent="0.2">
      <c r="B27" s="134" t="s">
        <v>543</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155</v>
      </c>
    </row>
    <row r="2" spans="1:3" x14ac:dyDescent="0.2">
      <c r="B2" s="4" t="s">
        <v>486</v>
      </c>
      <c r="C2" s="4" t="s">
        <v>864</v>
      </c>
    </row>
    <row r="3" spans="1:3" x14ac:dyDescent="0.2">
      <c r="B3" s="4" t="s">
        <v>487</v>
      </c>
      <c r="C3" s="4" t="s">
        <v>172</v>
      </c>
    </row>
    <row r="4" spans="1:3" x14ac:dyDescent="0.2">
      <c r="B4" s="4" t="s">
        <v>496</v>
      </c>
      <c r="C4" s="4" t="s">
        <v>1182</v>
      </c>
    </row>
    <row r="5" spans="1:3" x14ac:dyDescent="0.2">
      <c r="B5" s="4" t="s">
        <v>905</v>
      </c>
      <c r="C5" s="4" t="s">
        <v>865</v>
      </c>
    </row>
    <row r="6" spans="1:3" x14ac:dyDescent="0.2">
      <c r="B6" s="4" t="s">
        <v>772</v>
      </c>
      <c r="C6" s="4" t="s">
        <v>1695</v>
      </c>
    </row>
    <row r="7" spans="1:3" x14ac:dyDescent="0.2">
      <c r="B7" s="4" t="s">
        <v>164</v>
      </c>
    </row>
    <row r="8" spans="1:3" x14ac:dyDescent="0.2">
      <c r="C8" s="4" t="s">
        <v>1696</v>
      </c>
    </row>
    <row r="9" spans="1:3" x14ac:dyDescent="0.2">
      <c r="C9" s="4" t="s">
        <v>1697</v>
      </c>
    </row>
    <row r="10" spans="1:3" x14ac:dyDescent="0.2">
      <c r="C10" s="4" t="s">
        <v>1698</v>
      </c>
    </row>
    <row r="11" spans="1:3" x14ac:dyDescent="0.2">
      <c r="B11" s="4" t="s">
        <v>777</v>
      </c>
    </row>
    <row r="12" spans="1:3" x14ac:dyDescent="0.2">
      <c r="C12" s="4" t="s">
        <v>1183</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155</v>
      </c>
    </row>
    <row r="2" spans="1:3" x14ac:dyDescent="0.2">
      <c r="B2" s="4" t="s">
        <v>486</v>
      </c>
      <c r="C2" s="4" t="s">
        <v>959</v>
      </c>
    </row>
    <row r="3" spans="1:3" x14ac:dyDescent="0.2">
      <c r="B3" s="4" t="s">
        <v>487</v>
      </c>
      <c r="C3" s="4" t="s">
        <v>954</v>
      </c>
    </row>
    <row r="4" spans="1:3" x14ac:dyDescent="0.2">
      <c r="B4" s="4" t="s">
        <v>160</v>
      </c>
      <c r="C4" s="4" t="s">
        <v>397</v>
      </c>
    </row>
    <row r="5" spans="1:3" x14ac:dyDescent="0.2">
      <c r="B5" s="4" t="s">
        <v>398</v>
      </c>
      <c r="C5" s="4" t="s">
        <v>1181</v>
      </c>
    </row>
    <row r="6" spans="1:3" x14ac:dyDescent="0.2">
      <c r="B6" s="4" t="s">
        <v>164</v>
      </c>
      <c r="C6" s="4" t="s">
        <v>1139</v>
      </c>
    </row>
    <row r="7" spans="1:3" x14ac:dyDescent="0.2">
      <c r="B7" s="4" t="s">
        <v>490</v>
      </c>
      <c r="C7" s="4" t="s">
        <v>401</v>
      </c>
    </row>
    <row r="8" spans="1:3" x14ac:dyDescent="0.2">
      <c r="B8" s="4" t="s">
        <v>528</v>
      </c>
      <c r="C8" s="4" t="s">
        <v>402</v>
      </c>
    </row>
    <row r="9" spans="1:3" x14ac:dyDescent="0.2">
      <c r="B9" s="4" t="s">
        <v>537</v>
      </c>
      <c r="C9" s="4" t="s">
        <v>400</v>
      </c>
    </row>
    <row r="10" spans="1:3" x14ac:dyDescent="0.2">
      <c r="B10" s="4" t="s">
        <v>905</v>
      </c>
      <c r="C10" s="4" t="s">
        <v>1137</v>
      </c>
    </row>
    <row r="11" spans="1:3" x14ac:dyDescent="0.2">
      <c r="B11" s="4" t="s">
        <v>107</v>
      </c>
      <c r="C11" s="4" t="s">
        <v>626</v>
      </c>
    </row>
    <row r="12" spans="1:3" x14ac:dyDescent="0.2">
      <c r="B12" s="4" t="s">
        <v>772</v>
      </c>
      <c r="C12" s="4" t="s">
        <v>960</v>
      </c>
    </row>
    <row r="13" spans="1:3" x14ac:dyDescent="0.2">
      <c r="B13" s="4" t="s">
        <v>532</v>
      </c>
    </row>
    <row r="14" spans="1:3" x14ac:dyDescent="0.2">
      <c r="C14" s="30" t="s">
        <v>404</v>
      </c>
    </row>
    <row r="15" spans="1:3" x14ac:dyDescent="0.2">
      <c r="C15" s="93" t="s">
        <v>440</v>
      </c>
    </row>
    <row r="16" spans="1:3" x14ac:dyDescent="0.2">
      <c r="C16" s="4" t="s">
        <v>574</v>
      </c>
    </row>
    <row r="17" spans="3:3" x14ac:dyDescent="0.2">
      <c r="C17" s="4" t="s">
        <v>441</v>
      </c>
    </row>
    <row r="18" spans="3:3" x14ac:dyDescent="0.2">
      <c r="C18" s="4" t="s">
        <v>442</v>
      </c>
    </row>
    <row r="19" spans="3:3" x14ac:dyDescent="0.2">
      <c r="C19" s="4" t="s">
        <v>443</v>
      </c>
    </row>
    <row r="21" spans="3:3" x14ac:dyDescent="0.2">
      <c r="C21" s="30" t="s">
        <v>627</v>
      </c>
    </row>
    <row r="22" spans="3:3" x14ac:dyDescent="0.2">
      <c r="C22" s="4" t="s">
        <v>438</v>
      </c>
    </row>
    <row r="23" spans="3:3" x14ac:dyDescent="0.2">
      <c r="C23" s="4" t="s">
        <v>444</v>
      </c>
    </row>
    <row r="24" spans="3:3" x14ac:dyDescent="0.2">
      <c r="C24" s="4" t="s">
        <v>445</v>
      </c>
    </row>
    <row r="25" spans="3:3" x14ac:dyDescent="0.2">
      <c r="C25" s="4" t="s">
        <v>446</v>
      </c>
    </row>
    <row r="27" spans="3:3" x14ac:dyDescent="0.2">
      <c r="C27" s="30" t="s">
        <v>403</v>
      </c>
    </row>
    <row r="28" spans="3:3" x14ac:dyDescent="0.2">
      <c r="C28" s="4" t="s">
        <v>439</v>
      </c>
    </row>
    <row r="29" spans="3:3" x14ac:dyDescent="0.2">
      <c r="C29" s="4" t="s">
        <v>447</v>
      </c>
    </row>
    <row r="30" spans="3:3" x14ac:dyDescent="0.2">
      <c r="C30" s="4" t="s">
        <v>448</v>
      </c>
    </row>
    <row r="31" spans="3:3" x14ac:dyDescent="0.2">
      <c r="C31" s="4" t="s">
        <v>449</v>
      </c>
    </row>
    <row r="33" spans="3:3" x14ac:dyDescent="0.2">
      <c r="C33" s="30" t="s">
        <v>450</v>
      </c>
    </row>
    <row r="34" spans="3:3" x14ac:dyDescent="0.2">
      <c r="C34" s="167" t="s">
        <v>451</v>
      </c>
    </row>
    <row r="35" spans="3:3" x14ac:dyDescent="0.2">
      <c r="C35" s="167" t="s">
        <v>452</v>
      </c>
    </row>
    <row r="36" spans="3:3" x14ac:dyDescent="0.2">
      <c r="C36" s="167" t="s">
        <v>453</v>
      </c>
    </row>
    <row r="38" spans="3:3" x14ac:dyDescent="0.2">
      <c r="C38" s="30" t="s">
        <v>454</v>
      </c>
    </row>
    <row r="39" spans="3:3" x14ac:dyDescent="0.2">
      <c r="C39" s="4" t="s">
        <v>455</v>
      </c>
    </row>
    <row r="41" spans="3:3" x14ac:dyDescent="0.2">
      <c r="C41" s="30" t="s">
        <v>1057</v>
      </c>
    </row>
    <row r="42" spans="3:3" x14ac:dyDescent="0.2">
      <c r="C42" s="4" t="s">
        <v>1049</v>
      </c>
    </row>
    <row r="44" spans="3:3" x14ac:dyDescent="0.2">
      <c r="C44" s="30" t="s">
        <v>628</v>
      </c>
    </row>
    <row r="45" spans="3:3" x14ac:dyDescent="0.2">
      <c r="C45" s="4" t="s">
        <v>629</v>
      </c>
    </row>
    <row r="47" spans="3:3" x14ac:dyDescent="0.2">
      <c r="C47" s="30" t="s">
        <v>219</v>
      </c>
    </row>
    <row r="48" spans="3:3" x14ac:dyDescent="0.2">
      <c r="C48" s="4" t="s">
        <v>220</v>
      </c>
    </row>
    <row r="51" spans="2:19" x14ac:dyDescent="0.2">
      <c r="B51" s="4" t="s">
        <v>543</v>
      </c>
      <c r="L51" s="341" t="s">
        <v>1291</v>
      </c>
      <c r="M51" s="341"/>
      <c r="N51" s="341" t="s">
        <v>1292</v>
      </c>
      <c r="O51" s="341"/>
      <c r="P51" s="341" t="s">
        <v>456</v>
      </c>
      <c r="Q51" s="341"/>
      <c r="R51" s="341" t="s">
        <v>457</v>
      </c>
      <c r="S51" s="341"/>
    </row>
    <row r="52" spans="2:19" x14ac:dyDescent="0.2">
      <c r="D52" s="20" t="s">
        <v>1291</v>
      </c>
      <c r="E52" s="20" t="s">
        <v>456</v>
      </c>
      <c r="F52" s="20" t="s">
        <v>457</v>
      </c>
      <c r="G52" s="20" t="s">
        <v>1292</v>
      </c>
      <c r="H52" s="20" t="s">
        <v>1293</v>
      </c>
      <c r="I52" s="20" t="s">
        <v>1294</v>
      </c>
      <c r="L52" s="20" t="s">
        <v>1293</v>
      </c>
      <c r="M52" s="20" t="s">
        <v>1294</v>
      </c>
      <c r="N52" s="20" t="s">
        <v>1293</v>
      </c>
      <c r="O52" s="20" t="s">
        <v>1294</v>
      </c>
      <c r="P52" s="20" t="s">
        <v>1293</v>
      </c>
      <c r="Q52" s="20" t="s">
        <v>1294</v>
      </c>
      <c r="R52" s="20" t="s">
        <v>1293</v>
      </c>
      <c r="S52" s="20" t="s">
        <v>1294</v>
      </c>
    </row>
    <row r="53" spans="2:19" x14ac:dyDescent="0.2">
      <c r="C53" s="37">
        <v>40060</v>
      </c>
      <c r="D53" s="20"/>
      <c r="E53" s="20"/>
      <c r="F53" s="20"/>
      <c r="G53" s="20"/>
      <c r="H53" s="14">
        <v>485</v>
      </c>
      <c r="I53" s="14">
        <v>972</v>
      </c>
      <c r="K53" s="4" t="s">
        <v>1295</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1296</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1297</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155</v>
      </c>
    </row>
    <row r="2" spans="1:26" x14ac:dyDescent="0.2">
      <c r="B2" s="4" t="s">
        <v>486</v>
      </c>
      <c r="C2" s="4" t="s">
        <v>177</v>
      </c>
    </row>
    <row r="3" spans="1:26" x14ac:dyDescent="0.2">
      <c r="B3" s="4" t="s">
        <v>487</v>
      </c>
      <c r="C3" s="4" t="s">
        <v>526</v>
      </c>
    </row>
    <row r="4" spans="1:26" x14ac:dyDescent="0.2">
      <c r="B4" s="4" t="s">
        <v>496</v>
      </c>
      <c r="C4" s="4" t="s">
        <v>1145</v>
      </c>
    </row>
    <row r="5" spans="1:26" x14ac:dyDescent="0.2">
      <c r="B5" s="4" t="s">
        <v>490</v>
      </c>
      <c r="C5" s="4" t="s">
        <v>1146</v>
      </c>
    </row>
    <row r="6" spans="1:26" x14ac:dyDescent="0.2">
      <c r="B6" s="4" t="s">
        <v>772</v>
      </c>
      <c r="C6" s="4" t="s">
        <v>918</v>
      </c>
    </row>
    <row r="7" spans="1:26" x14ac:dyDescent="0.2">
      <c r="B7" s="4" t="s">
        <v>774</v>
      </c>
      <c r="C7" s="4" t="s">
        <v>127</v>
      </c>
    </row>
    <row r="8" spans="1:26" x14ac:dyDescent="0.2">
      <c r="B8" s="4" t="s">
        <v>164</v>
      </c>
      <c r="C8" s="4" t="s">
        <v>919</v>
      </c>
    </row>
    <row r="9" spans="1:26" x14ac:dyDescent="0.2">
      <c r="C9" s="4" t="s">
        <v>128</v>
      </c>
    </row>
    <row r="10" spans="1:26" x14ac:dyDescent="0.2">
      <c r="C10" s="157" t="s">
        <v>129</v>
      </c>
    </row>
    <row r="12" spans="1:26" x14ac:dyDescent="0.2">
      <c r="C12" s="11" t="s">
        <v>602</v>
      </c>
      <c r="D12" s="11" t="s">
        <v>603</v>
      </c>
      <c r="E12" s="11" t="s">
        <v>604</v>
      </c>
      <c r="F12" s="11" t="s">
        <v>605</v>
      </c>
      <c r="G12" s="11" t="s">
        <v>606</v>
      </c>
      <c r="H12" s="11" t="s">
        <v>607</v>
      </c>
      <c r="I12" s="11" t="s">
        <v>608</v>
      </c>
      <c r="J12" s="11" t="s">
        <v>609</v>
      </c>
      <c r="K12" s="11" t="s">
        <v>610</v>
      </c>
      <c r="L12" s="11" t="s">
        <v>611</v>
      </c>
      <c r="M12" s="11" t="s">
        <v>612</v>
      </c>
      <c r="N12" s="11" t="s">
        <v>613</v>
      </c>
      <c r="O12" s="11" t="s">
        <v>614</v>
      </c>
      <c r="P12" s="11" t="s">
        <v>615</v>
      </c>
      <c r="Q12" s="11" t="s">
        <v>616</v>
      </c>
      <c r="R12" s="11" t="s">
        <v>617</v>
      </c>
      <c r="S12" s="11" t="s">
        <v>920</v>
      </c>
      <c r="T12" s="11" t="s">
        <v>921</v>
      </c>
      <c r="U12" s="11" t="s">
        <v>962</v>
      </c>
      <c r="V12" s="11" t="s">
        <v>963</v>
      </c>
      <c r="W12" s="11" t="s">
        <v>964</v>
      </c>
      <c r="X12" s="11" t="s">
        <v>965</v>
      </c>
      <c r="Y12" s="11" t="s">
        <v>966</v>
      </c>
      <c r="Z12" s="11" t="s">
        <v>967</v>
      </c>
    </row>
    <row r="13" spans="1:26" x14ac:dyDescent="0.2">
      <c r="B13" s="4" t="s">
        <v>365</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366</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540</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365</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366</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968</v>
      </c>
      <c r="V19" s="44">
        <f t="shared" si="1"/>
        <v>0.30530973451327426</v>
      </c>
      <c r="W19" s="44">
        <f t="shared" si="1"/>
        <v>0.18390804597701149</v>
      </c>
    </row>
    <row r="21" spans="2:26" x14ac:dyDescent="0.2">
      <c r="C21" s="6">
        <v>2003</v>
      </c>
      <c r="D21" s="6">
        <v>2004</v>
      </c>
    </row>
    <row r="22" spans="2:26" x14ac:dyDescent="0.2">
      <c r="B22" s="4" t="s">
        <v>365</v>
      </c>
      <c r="C22" s="7">
        <v>61</v>
      </c>
      <c r="D22" s="7">
        <v>230</v>
      </c>
    </row>
    <row r="23" spans="2:26" x14ac:dyDescent="0.2">
      <c r="B23" s="4" t="s">
        <v>366</v>
      </c>
      <c r="C23" s="7">
        <v>249.8</v>
      </c>
      <c r="D23" s="7">
        <v>372</v>
      </c>
    </row>
    <row r="24" spans="2:26" x14ac:dyDescent="0.2">
      <c r="B24" s="4" t="s">
        <v>540</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155</v>
      </c>
    </row>
    <row r="2" spans="1:2" x14ac:dyDescent="0.2">
      <c r="B2" t="s">
        <v>1284</v>
      </c>
    </row>
    <row r="3" spans="1:2" x14ac:dyDescent="0.2">
      <c r="B3" t="s">
        <v>1288</v>
      </c>
    </row>
    <row r="4" spans="1:2" x14ac:dyDescent="0.2">
      <c r="B4" t="s">
        <v>1308</v>
      </c>
    </row>
    <row r="5" spans="1:2" x14ac:dyDescent="0.2">
      <c r="B5" t="s">
        <v>1287</v>
      </c>
    </row>
    <row r="7" spans="1:2" x14ac:dyDescent="0.2">
      <c r="B7" s="184" t="s">
        <v>137</v>
      </c>
    </row>
    <row r="8" spans="1:2" x14ac:dyDescent="0.2">
      <c r="B8" t="s">
        <v>1309</v>
      </c>
    </row>
    <row r="9" spans="1:2" x14ac:dyDescent="0.2">
      <c r="B9" t="s">
        <v>135</v>
      </c>
    </row>
    <row r="10" spans="1:2" x14ac:dyDescent="0.2">
      <c r="B10" t="s">
        <v>136</v>
      </c>
    </row>
    <row r="11" spans="1:2" x14ac:dyDescent="0.2">
      <c r="B11" t="s">
        <v>1311</v>
      </c>
    </row>
    <row r="12" spans="1:2" x14ac:dyDescent="0.2">
      <c r="B12" t="s">
        <v>1310</v>
      </c>
    </row>
    <row r="13" spans="1:2" x14ac:dyDescent="0.2">
      <c r="B13" t="s">
        <v>138</v>
      </c>
    </row>
    <row r="14" spans="1:2" x14ac:dyDescent="0.2">
      <c r="B14" t="s">
        <v>139</v>
      </c>
    </row>
    <row r="15" spans="1:2" x14ac:dyDescent="0.2">
      <c r="B15" t="s">
        <v>140</v>
      </c>
    </row>
    <row r="16" spans="1:2" x14ac:dyDescent="0.2">
      <c r="B16" t="s">
        <v>141</v>
      </c>
    </row>
    <row r="17" spans="2:2" x14ac:dyDescent="0.2">
      <c r="B17" t="s">
        <v>142</v>
      </c>
    </row>
    <row r="19" spans="2:2" x14ac:dyDescent="0.2">
      <c r="B19" t="s">
        <v>143</v>
      </c>
    </row>
    <row r="22" spans="2:2" x14ac:dyDescent="0.2">
      <c r="B22" s="184" t="s">
        <v>1131</v>
      </c>
    </row>
    <row r="23" spans="2:2" x14ac:dyDescent="0.2">
      <c r="B23" t="s">
        <v>1289</v>
      </c>
    </row>
    <row r="24" spans="2:2" x14ac:dyDescent="0.2">
      <c r="B24" t="s">
        <v>1290</v>
      </c>
    </row>
    <row r="25" spans="2:2" x14ac:dyDescent="0.2">
      <c r="B25" t="s">
        <v>1346</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5703125" style="6" customWidth="1"/>
    <col min="6" max="6" width="6.5703125" style="6" customWidth="1"/>
    <col min="7"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155</v>
      </c>
    </row>
    <row r="2" spans="1:35" x14ac:dyDescent="0.2">
      <c r="A2" s="5"/>
      <c r="B2" s="4" t="s">
        <v>486</v>
      </c>
      <c r="C2" s="4" t="s">
        <v>167</v>
      </c>
      <c r="E2" s="4" t="s">
        <v>487</v>
      </c>
      <c r="H2" s="4" t="s">
        <v>488</v>
      </c>
    </row>
    <row r="3" spans="1:35" x14ac:dyDescent="0.2">
      <c r="A3" s="5"/>
      <c r="B3" s="4" t="s">
        <v>490</v>
      </c>
      <c r="C3" s="4" t="s">
        <v>491</v>
      </c>
    </row>
    <row r="4" spans="1:35" x14ac:dyDescent="0.2">
      <c r="A4" s="5"/>
      <c r="B4" s="4" t="s">
        <v>164</v>
      </c>
      <c r="C4" s="4" t="s">
        <v>1185</v>
      </c>
    </row>
    <row r="5" spans="1:35" x14ac:dyDescent="0.2">
      <c r="A5" s="5"/>
      <c r="B5" s="4" t="s">
        <v>774</v>
      </c>
      <c r="C5" s="4" t="s">
        <v>953</v>
      </c>
    </row>
    <row r="6" spans="1:35" x14ac:dyDescent="0.2">
      <c r="A6" s="5"/>
      <c r="B6" s="4" t="s">
        <v>492</v>
      </c>
      <c r="C6" s="4" t="s">
        <v>493</v>
      </c>
    </row>
    <row r="7" spans="1:35" x14ac:dyDescent="0.2">
      <c r="A7" s="5"/>
      <c r="B7" s="4" t="s">
        <v>494</v>
      </c>
      <c r="C7" s="4" t="s">
        <v>495</v>
      </c>
    </row>
    <row r="8" spans="1:35" x14ac:dyDescent="0.2">
      <c r="A8" s="5"/>
      <c r="B8" s="4" t="s">
        <v>496</v>
      </c>
      <c r="C8" s="4" t="s">
        <v>497</v>
      </c>
    </row>
    <row r="9" spans="1:35" x14ac:dyDescent="0.2">
      <c r="A9" s="5"/>
      <c r="B9" s="4" t="s">
        <v>166</v>
      </c>
      <c r="C9" s="4" t="s">
        <v>1193</v>
      </c>
    </row>
    <row r="10" spans="1:35" x14ac:dyDescent="0.2">
      <c r="A10" s="5"/>
      <c r="C10" s="4" t="s">
        <v>498</v>
      </c>
    </row>
    <row r="11" spans="1:35" x14ac:dyDescent="0.2">
      <c r="A11" s="5"/>
      <c r="B11" s="4" t="s">
        <v>499</v>
      </c>
      <c r="C11" s="4" t="s">
        <v>500</v>
      </c>
    </row>
    <row r="12" spans="1:35" x14ac:dyDescent="0.2">
      <c r="A12" s="5"/>
      <c r="B12" s="4" t="s">
        <v>501</v>
      </c>
      <c r="C12" s="4" t="s">
        <v>502</v>
      </c>
    </row>
    <row r="13" spans="1:35" x14ac:dyDescent="0.2">
      <c r="A13" s="5"/>
      <c r="B13" s="4" t="s">
        <v>707</v>
      </c>
      <c r="C13" s="4" t="s">
        <v>708</v>
      </c>
    </row>
    <row r="14" spans="1:35" x14ac:dyDescent="0.2">
      <c r="A14" s="5"/>
      <c r="B14" s="4" t="s">
        <v>503</v>
      </c>
    </row>
    <row r="15" spans="1:35" x14ac:dyDescent="0.2">
      <c r="A15" s="5"/>
    </row>
    <row r="16" spans="1:35" x14ac:dyDescent="0.2">
      <c r="B16" s="16" t="s">
        <v>324</v>
      </c>
      <c r="C16" s="17" t="s">
        <v>278</v>
      </c>
      <c r="D16" s="17" t="s">
        <v>279</v>
      </c>
      <c r="E16" s="17" t="s">
        <v>280</v>
      </c>
      <c r="F16" s="17" t="s">
        <v>281</v>
      </c>
      <c r="G16" s="17" t="s">
        <v>282</v>
      </c>
      <c r="H16" s="17" t="s">
        <v>283</v>
      </c>
      <c r="I16" s="17" t="s">
        <v>284</v>
      </c>
      <c r="J16" s="17" t="s">
        <v>285</v>
      </c>
      <c r="K16" s="17" t="s">
        <v>286</v>
      </c>
      <c r="L16" s="17" t="s">
        <v>287</v>
      </c>
      <c r="M16" s="17" t="s">
        <v>288</v>
      </c>
      <c r="N16" s="17" t="s">
        <v>289</v>
      </c>
      <c r="O16" s="17" t="s">
        <v>290</v>
      </c>
      <c r="P16" s="17" t="s">
        <v>291</v>
      </c>
      <c r="Q16" s="17" t="s">
        <v>292</v>
      </c>
      <c r="R16" s="17" t="s">
        <v>293</v>
      </c>
      <c r="S16" s="17" t="s">
        <v>294</v>
      </c>
      <c r="T16" s="17" t="s">
        <v>295</v>
      </c>
      <c r="U16" s="17" t="s">
        <v>296</v>
      </c>
      <c r="V16" s="17" t="s">
        <v>297</v>
      </c>
      <c r="W16" s="17" t="s">
        <v>298</v>
      </c>
      <c r="X16" s="17" t="s">
        <v>299</v>
      </c>
      <c r="Y16" s="17" t="s">
        <v>300</v>
      </c>
      <c r="Z16" s="17" t="s">
        <v>301</v>
      </c>
      <c r="AA16" s="17" t="s">
        <v>302</v>
      </c>
      <c r="AB16" s="17" t="s">
        <v>303</v>
      </c>
      <c r="AC16" s="17" t="s">
        <v>304</v>
      </c>
      <c r="AD16" s="17" t="s">
        <v>305</v>
      </c>
      <c r="AE16" s="17" t="s">
        <v>306</v>
      </c>
      <c r="AF16" s="17" t="s">
        <v>307</v>
      </c>
      <c r="AG16" s="17" t="s">
        <v>308</v>
      </c>
      <c r="AH16" s="17" t="s">
        <v>309</v>
      </c>
      <c r="AI16" s="18"/>
    </row>
    <row r="17" spans="2:52" x14ac:dyDescent="0.2">
      <c r="B17" s="16" t="s">
        <v>504</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505</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506</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507</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508</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507</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509</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507</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510</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507</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324</v>
      </c>
      <c r="C28" s="17">
        <v>1997</v>
      </c>
      <c r="D28" s="17">
        <v>1998</v>
      </c>
      <c r="E28" s="17">
        <v>1999</v>
      </c>
      <c r="F28" s="17">
        <v>2000</v>
      </c>
      <c r="G28" s="17">
        <v>2001</v>
      </c>
      <c r="H28" s="17">
        <v>2002</v>
      </c>
      <c r="I28" s="17">
        <v>2003</v>
      </c>
      <c r="J28" s="17">
        <v>2004</v>
      </c>
      <c r="K28" s="17">
        <v>2005</v>
      </c>
      <c r="L28" s="17">
        <v>2006</v>
      </c>
      <c r="M28" s="17">
        <v>2007</v>
      </c>
      <c r="N28" s="17" t="s">
        <v>511</v>
      </c>
      <c r="O28" s="17" t="s">
        <v>512</v>
      </c>
      <c r="P28" s="17" t="s">
        <v>513</v>
      </c>
      <c r="Q28" s="17" t="s">
        <v>514</v>
      </c>
      <c r="R28" s="17" t="s">
        <v>515</v>
      </c>
      <c r="S28" s="17" t="s">
        <v>516</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504</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505</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506</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507</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508</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509</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510</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517</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518</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351</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338</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519</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520</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521</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522</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341</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352</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523</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524</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670</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1111</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671</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672</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673</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674</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675</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238</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676</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505</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677</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678</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238</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679</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155</v>
      </c>
    </row>
    <row r="2" spans="1:12" x14ac:dyDescent="0.2">
      <c r="B2" s="93" t="s">
        <v>486</v>
      </c>
      <c r="C2" s="108" t="s">
        <v>194</v>
      </c>
    </row>
    <row r="3" spans="1:12" x14ac:dyDescent="0.2">
      <c r="B3" s="93" t="s">
        <v>487</v>
      </c>
      <c r="C3" s="108" t="s">
        <v>1150</v>
      </c>
    </row>
    <row r="4" spans="1:12" x14ac:dyDescent="0.2">
      <c r="B4" s="93" t="s">
        <v>490</v>
      </c>
      <c r="C4" s="108" t="s">
        <v>1151</v>
      </c>
    </row>
    <row r="5" spans="1:12" x14ac:dyDescent="0.2">
      <c r="B5" s="93" t="s">
        <v>644</v>
      </c>
      <c r="C5" s="108" t="s">
        <v>1152</v>
      </c>
    </row>
    <row r="6" spans="1:12" x14ac:dyDescent="0.2">
      <c r="B6" s="93" t="s">
        <v>496</v>
      </c>
      <c r="C6" s="108" t="s">
        <v>681</v>
      </c>
    </row>
    <row r="7" spans="1:12" x14ac:dyDescent="0.2">
      <c r="B7" s="93" t="s">
        <v>489</v>
      </c>
      <c r="C7" s="109" t="s">
        <v>682</v>
      </c>
    </row>
    <row r="8" spans="1:12" x14ac:dyDescent="0.2">
      <c r="B8" s="93" t="s">
        <v>160</v>
      </c>
      <c r="C8" s="108" t="s">
        <v>683</v>
      </c>
      <c r="L8" s="108" t="s">
        <v>684</v>
      </c>
    </row>
    <row r="9" spans="1:12" x14ac:dyDescent="0.2">
      <c r="B9" s="93"/>
      <c r="C9" s="108" t="s">
        <v>685</v>
      </c>
    </row>
    <row r="10" spans="1:12" x14ac:dyDescent="0.2">
      <c r="B10" s="93" t="s">
        <v>164</v>
      </c>
      <c r="C10" s="110" t="s">
        <v>686</v>
      </c>
    </row>
    <row r="11" spans="1:12" x14ac:dyDescent="0.2">
      <c r="B11" s="93" t="s">
        <v>537</v>
      </c>
      <c r="C11" s="108" t="s">
        <v>687</v>
      </c>
    </row>
    <row r="12" spans="1:12" x14ac:dyDescent="0.2">
      <c r="B12" s="93" t="s">
        <v>166</v>
      </c>
      <c r="C12" s="108" t="s">
        <v>688</v>
      </c>
    </row>
    <row r="13" spans="1:12" x14ac:dyDescent="0.2">
      <c r="B13" s="93" t="s">
        <v>772</v>
      </c>
      <c r="C13" s="108" t="s">
        <v>689</v>
      </c>
    </row>
    <row r="14" spans="1:12" x14ac:dyDescent="0.2">
      <c r="B14" s="93" t="s">
        <v>532</v>
      </c>
    </row>
    <row r="15" spans="1:12" x14ac:dyDescent="0.2">
      <c r="B15" s="93"/>
      <c r="C15" s="111" t="s">
        <v>690</v>
      </c>
    </row>
    <row r="16" spans="1:12" x14ac:dyDescent="0.2">
      <c r="B16" s="93"/>
      <c r="C16" s="108" t="s">
        <v>691</v>
      </c>
    </row>
    <row r="17" spans="2:3" x14ac:dyDescent="0.2">
      <c r="B17" s="93"/>
      <c r="C17" s="108" t="s">
        <v>692</v>
      </c>
    </row>
    <row r="18" spans="2:3" x14ac:dyDescent="0.2">
      <c r="B18" s="93"/>
      <c r="C18" s="108" t="s">
        <v>693</v>
      </c>
    </row>
    <row r="19" spans="2:3" x14ac:dyDescent="0.2">
      <c r="B19" s="93"/>
    </row>
    <row r="20" spans="2:3" x14ac:dyDescent="0.2">
      <c r="B20" s="93" t="s">
        <v>694</v>
      </c>
      <c r="C20" s="108" t="s">
        <v>695</v>
      </c>
    </row>
    <row r="21" spans="2:3" x14ac:dyDescent="0.2">
      <c r="B21" s="93"/>
    </row>
    <row r="22" spans="2:3" x14ac:dyDescent="0.2">
      <c r="B22" s="93"/>
      <c r="C22" s="111" t="s">
        <v>696</v>
      </c>
    </row>
    <row r="23" spans="2:3" x14ac:dyDescent="0.2">
      <c r="B23" s="93"/>
      <c r="C23" s="108" t="s">
        <v>697</v>
      </c>
    </row>
    <row r="24" spans="2:3" x14ac:dyDescent="0.2">
      <c r="B24" s="93"/>
      <c r="C24" s="108" t="s">
        <v>698</v>
      </c>
    </row>
    <row r="25" spans="2:3" x14ac:dyDescent="0.2">
      <c r="B25" s="93"/>
    </row>
    <row r="26" spans="2:3" x14ac:dyDescent="0.2">
      <c r="B26" s="93"/>
      <c r="C26" s="111" t="s">
        <v>699</v>
      </c>
    </row>
    <row r="27" spans="2:3" x14ac:dyDescent="0.2">
      <c r="B27" s="93"/>
      <c r="C27" s="108" t="s">
        <v>700</v>
      </c>
    </row>
    <row r="28" spans="2:3" x14ac:dyDescent="0.2">
      <c r="B28" s="93"/>
      <c r="C28" s="112" t="s">
        <v>701</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702</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380</v>
      </c>
      <c r="C40" s="108" t="s">
        <v>703</v>
      </c>
    </row>
    <row r="45" spans="2:7" x14ac:dyDescent="0.2">
      <c r="C45" s="108">
        <v>2004</v>
      </c>
      <c r="D45" s="108">
        <v>2005</v>
      </c>
      <c r="E45" s="108">
        <v>2006</v>
      </c>
      <c r="F45" s="108">
        <v>2007</v>
      </c>
      <c r="G45" s="108">
        <v>2008</v>
      </c>
    </row>
    <row r="46" spans="2:7" x14ac:dyDescent="0.2">
      <c r="B46" s="108" t="s">
        <v>826</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182</v>
      </c>
    </row>
    <row r="3" spans="1:3" x14ac:dyDescent="0.2">
      <c r="B3" s="4" t="s">
        <v>487</v>
      </c>
      <c r="C3" s="4" t="s">
        <v>1156</v>
      </c>
    </row>
    <row r="4" spans="1:3" x14ac:dyDescent="0.2">
      <c r="B4" s="4" t="s">
        <v>490</v>
      </c>
      <c r="C4" s="4" t="s">
        <v>1157</v>
      </c>
    </row>
    <row r="5" spans="1:3" x14ac:dyDescent="0.2">
      <c r="B5" s="4" t="s">
        <v>644</v>
      </c>
      <c r="C5" s="4" t="s">
        <v>1158</v>
      </c>
    </row>
    <row r="6" spans="1:3" x14ac:dyDescent="0.2">
      <c r="B6" s="4" t="s">
        <v>496</v>
      </c>
      <c r="C6" s="4" t="s">
        <v>171</v>
      </c>
    </row>
    <row r="7" spans="1:3" x14ac:dyDescent="0.2">
      <c r="B7" s="4" t="s">
        <v>489</v>
      </c>
      <c r="C7" s="4" t="s">
        <v>210</v>
      </c>
    </row>
    <row r="8" spans="1:3" x14ac:dyDescent="0.2">
      <c r="B8" s="4" t="s">
        <v>532</v>
      </c>
      <c r="C8" s="4" t="s">
        <v>762</v>
      </c>
    </row>
    <row r="9" spans="1:3" x14ac:dyDescent="0.2">
      <c r="C9" s="4" t="s">
        <v>763</v>
      </c>
    </row>
    <row r="10" spans="1:3" x14ac:dyDescent="0.2">
      <c r="B10" s="4" t="s">
        <v>164</v>
      </c>
      <c r="C10" s="4" t="s">
        <v>764</v>
      </c>
    </row>
    <row r="11" spans="1:3" x14ac:dyDescent="0.2">
      <c r="B11" s="4" t="s">
        <v>537</v>
      </c>
      <c r="C11" s="4" t="s">
        <v>765</v>
      </c>
    </row>
    <row r="12" spans="1:3" x14ac:dyDescent="0.2">
      <c r="B12" s="4" t="s">
        <v>766</v>
      </c>
      <c r="C12" s="4" t="s">
        <v>767</v>
      </c>
    </row>
    <row r="18" spans="2:37" x14ac:dyDescent="0.2">
      <c r="B18" s="136"/>
      <c r="C18" s="137" t="s">
        <v>598</v>
      </c>
      <c r="D18" s="137" t="s">
        <v>580</v>
      </c>
      <c r="E18" s="137" t="s">
        <v>581</v>
      </c>
      <c r="F18" s="137" t="s">
        <v>582</v>
      </c>
      <c r="G18" s="137" t="s">
        <v>602</v>
      </c>
      <c r="H18" s="137" t="s">
        <v>580</v>
      </c>
      <c r="I18" s="137" t="s">
        <v>581</v>
      </c>
      <c r="J18" s="137" t="s">
        <v>582</v>
      </c>
      <c r="K18" s="137" t="s">
        <v>606</v>
      </c>
      <c r="L18" s="137" t="s">
        <v>580</v>
      </c>
      <c r="M18" s="137" t="s">
        <v>581</v>
      </c>
      <c r="N18" s="137" t="s">
        <v>582</v>
      </c>
      <c r="O18" s="137" t="s">
        <v>610</v>
      </c>
      <c r="P18" s="137" t="s">
        <v>580</v>
      </c>
      <c r="Q18" s="137" t="s">
        <v>581</v>
      </c>
      <c r="R18" s="137" t="s">
        <v>582</v>
      </c>
      <c r="S18" s="137" t="s">
        <v>614</v>
      </c>
      <c r="T18" s="137" t="s">
        <v>580</v>
      </c>
      <c r="U18" s="137" t="s">
        <v>581</v>
      </c>
      <c r="V18" s="137" t="s">
        <v>582</v>
      </c>
      <c r="W18" s="137" t="s">
        <v>920</v>
      </c>
      <c r="X18" s="137" t="s">
        <v>580</v>
      </c>
      <c r="Y18" s="137" t="s">
        <v>581</v>
      </c>
      <c r="Z18" s="137" t="s">
        <v>582</v>
      </c>
      <c r="AA18" s="137" t="s">
        <v>964</v>
      </c>
      <c r="AB18" s="137"/>
      <c r="AC18" s="137"/>
      <c r="AD18" s="137"/>
      <c r="AE18" s="138"/>
      <c r="AF18" s="138"/>
      <c r="AG18" s="138"/>
      <c r="AH18" s="138"/>
      <c r="AI18" s="138"/>
      <c r="AJ18" s="138"/>
      <c r="AK18" s="138"/>
    </row>
    <row r="19" spans="2:37" s="26" customFormat="1" ht="12.6" customHeight="1" x14ac:dyDescent="0.2">
      <c r="B19" s="139" t="s">
        <v>760</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583</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584</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760</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583</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584</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761</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505</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540</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1229</v>
      </c>
    </row>
    <row r="3" spans="1:3" x14ac:dyDescent="0.2">
      <c r="B3" s="4" t="s">
        <v>487</v>
      </c>
      <c r="C3" s="4" t="s">
        <v>1230</v>
      </c>
    </row>
    <row r="4" spans="1:3" x14ac:dyDescent="0.2">
      <c r="B4" s="4" t="s">
        <v>490</v>
      </c>
      <c r="C4" s="4" t="s">
        <v>1170</v>
      </c>
    </row>
    <row r="5" spans="1:3" x14ac:dyDescent="0.2">
      <c r="C5" s="4" t="s">
        <v>1171</v>
      </c>
    </row>
    <row r="6" spans="1:3" x14ac:dyDescent="0.2">
      <c r="B6" s="4" t="s">
        <v>496</v>
      </c>
      <c r="C6" s="4" t="s">
        <v>171</v>
      </c>
    </row>
    <row r="7" spans="1:3" x14ac:dyDescent="0.2">
      <c r="B7" s="4" t="s">
        <v>160</v>
      </c>
      <c r="C7" s="4" t="s">
        <v>215</v>
      </c>
    </row>
    <row r="8" spans="1:3" x14ac:dyDescent="0.2">
      <c r="B8" s="4" t="s">
        <v>164</v>
      </c>
      <c r="C8" s="4" t="s">
        <v>1233</v>
      </c>
    </row>
    <row r="9" spans="1:3" x14ac:dyDescent="0.2">
      <c r="B9" s="4" t="s">
        <v>766</v>
      </c>
      <c r="C9" s="4" t="s">
        <v>1035</v>
      </c>
    </row>
    <row r="10" spans="1:3" x14ac:dyDescent="0.2">
      <c r="B10" s="4" t="s">
        <v>537</v>
      </c>
      <c r="C10" s="4" t="s">
        <v>1036</v>
      </c>
    </row>
    <row r="11" spans="1:3" x14ac:dyDescent="0.2">
      <c r="B11" s="4" t="s">
        <v>905</v>
      </c>
      <c r="C11" s="4" t="s">
        <v>1232</v>
      </c>
    </row>
    <row r="12" spans="1:3" x14ac:dyDescent="0.2">
      <c r="B12" s="4" t="s">
        <v>317</v>
      </c>
      <c r="C12" s="4" t="s">
        <v>1037</v>
      </c>
    </row>
    <row r="13" spans="1:3" x14ac:dyDescent="0.2">
      <c r="B13" s="4" t="s">
        <v>532</v>
      </c>
    </row>
    <row r="14" spans="1:3" x14ac:dyDescent="0.2">
      <c r="C14" s="4" t="s">
        <v>1038</v>
      </c>
    </row>
    <row r="15" spans="1:3" x14ac:dyDescent="0.2">
      <c r="C15" s="4" t="s">
        <v>1039</v>
      </c>
    </row>
    <row r="16" spans="1:3" x14ac:dyDescent="0.2">
      <c r="C16" s="4" t="s">
        <v>1040</v>
      </c>
    </row>
    <row r="17" spans="2:11" x14ac:dyDescent="0.2">
      <c r="C17" s="4" t="s">
        <v>1041</v>
      </c>
    </row>
    <row r="18" spans="2:11" x14ac:dyDescent="0.2">
      <c r="C18" s="4" t="s">
        <v>1043</v>
      </c>
    </row>
    <row r="19" spans="2:11" x14ac:dyDescent="0.2">
      <c r="D19" s="4" t="s">
        <v>1044</v>
      </c>
    </row>
    <row r="20" spans="2:11" x14ac:dyDescent="0.2">
      <c r="C20" s="4" t="s">
        <v>1045</v>
      </c>
    </row>
    <row r="21" spans="2:11" x14ac:dyDescent="0.2">
      <c r="D21" s="4" t="s">
        <v>1046</v>
      </c>
      <c r="F21" s="12">
        <v>1</v>
      </c>
      <c r="G21" s="12">
        <v>2</v>
      </c>
      <c r="H21" s="12">
        <v>3</v>
      </c>
    </row>
    <row r="22" spans="2:11" x14ac:dyDescent="0.2">
      <c r="C22" s="4" t="s">
        <v>1047</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1048</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1231</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216</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1140</v>
      </c>
    </row>
    <row r="3" spans="1:3" x14ac:dyDescent="0.2">
      <c r="B3" s="4" t="s">
        <v>487</v>
      </c>
      <c r="C3" s="4" t="s">
        <v>1167</v>
      </c>
    </row>
    <row r="4" spans="1:3" x14ac:dyDescent="0.2">
      <c r="B4" s="4" t="s">
        <v>490</v>
      </c>
      <c r="C4" s="4" t="s">
        <v>1168</v>
      </c>
    </row>
    <row r="5" spans="1:3" x14ac:dyDescent="0.2">
      <c r="B5" s="4" t="s">
        <v>496</v>
      </c>
      <c r="C5" s="4" t="s">
        <v>1169</v>
      </c>
    </row>
    <row r="6" spans="1:3" x14ac:dyDescent="0.2">
      <c r="B6" s="4" t="s">
        <v>160</v>
      </c>
      <c r="C6" s="4" t="s">
        <v>215</v>
      </c>
    </row>
    <row r="7" spans="1:3" x14ac:dyDescent="0.2">
      <c r="B7" s="4" t="s">
        <v>164</v>
      </c>
      <c r="C7" s="4" t="s">
        <v>1065</v>
      </c>
    </row>
    <row r="8" spans="1:3" x14ac:dyDescent="0.2">
      <c r="B8" s="4" t="s">
        <v>528</v>
      </c>
      <c r="C8" s="4" t="s">
        <v>1066</v>
      </c>
    </row>
    <row r="9" spans="1:3" x14ac:dyDescent="0.2">
      <c r="B9" s="4" t="s">
        <v>537</v>
      </c>
      <c r="C9" s="4" t="s">
        <v>1067</v>
      </c>
    </row>
    <row r="10" spans="1:3" x14ac:dyDescent="0.2">
      <c r="B10" s="4" t="s">
        <v>905</v>
      </c>
      <c r="C10" s="4" t="s">
        <v>1068</v>
      </c>
    </row>
    <row r="11" spans="1:3" x14ac:dyDescent="0.2">
      <c r="B11" s="4" t="s">
        <v>1069</v>
      </c>
      <c r="C11" s="4" t="s">
        <v>1070</v>
      </c>
    </row>
    <row r="12" spans="1:3" x14ac:dyDescent="0.2">
      <c r="B12" s="4" t="s">
        <v>532</v>
      </c>
    </row>
    <row r="13" spans="1:3" x14ac:dyDescent="0.2">
      <c r="C13" s="30" t="s">
        <v>1071</v>
      </c>
    </row>
    <row r="14" spans="1:3" x14ac:dyDescent="0.2">
      <c r="C14" s="4" t="s">
        <v>1072</v>
      </c>
    </row>
    <row r="15" spans="1:3" x14ac:dyDescent="0.2">
      <c r="C15" s="4" t="s">
        <v>1073</v>
      </c>
    </row>
    <row r="16" spans="1:3" x14ac:dyDescent="0.2">
      <c r="C16" s="4" t="s">
        <v>1074</v>
      </c>
    </row>
    <row r="17" spans="3:8" x14ac:dyDescent="0.2">
      <c r="C17" s="4" t="s">
        <v>1075</v>
      </c>
    </row>
    <row r="19" spans="3:8" x14ac:dyDescent="0.2">
      <c r="C19" s="30" t="s">
        <v>1076</v>
      </c>
    </row>
    <row r="20" spans="3:8" x14ac:dyDescent="0.2">
      <c r="C20" s="4" t="s">
        <v>1077</v>
      </c>
    </row>
    <row r="21" spans="3:8" x14ac:dyDescent="0.2">
      <c r="C21" s="4" t="s">
        <v>1078</v>
      </c>
    </row>
    <row r="24" spans="3:8" x14ac:dyDescent="0.2">
      <c r="C24" s="30" t="s">
        <v>1079</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155</v>
      </c>
    </row>
    <row r="2" spans="1:3" x14ac:dyDescent="0.2">
      <c r="B2" s="4" t="s">
        <v>486</v>
      </c>
      <c r="C2" s="4" t="s">
        <v>815</v>
      </c>
    </row>
    <row r="3" spans="1:3" x14ac:dyDescent="0.2">
      <c r="B3" s="4" t="s">
        <v>487</v>
      </c>
      <c r="C3" s="4" t="s">
        <v>1161</v>
      </c>
    </row>
    <row r="4" spans="1:3" x14ac:dyDescent="0.2">
      <c r="B4" s="4" t="s">
        <v>489</v>
      </c>
      <c r="C4" s="4" t="s">
        <v>1162</v>
      </c>
    </row>
    <row r="5" spans="1:3" x14ac:dyDescent="0.2">
      <c r="B5" s="4" t="s">
        <v>160</v>
      </c>
      <c r="C5" s="4" t="s">
        <v>189</v>
      </c>
    </row>
    <row r="6" spans="1:3" x14ac:dyDescent="0.2">
      <c r="B6" s="4" t="s">
        <v>490</v>
      </c>
      <c r="C6" s="4" t="s">
        <v>816</v>
      </c>
    </row>
    <row r="7" spans="1:3" x14ac:dyDescent="0.2">
      <c r="B7" s="4" t="s">
        <v>774</v>
      </c>
      <c r="C7" s="35" t="s">
        <v>817</v>
      </c>
    </row>
    <row r="8" spans="1:3" x14ac:dyDescent="0.2">
      <c r="B8" s="4" t="s">
        <v>166</v>
      </c>
      <c r="C8" s="4" t="s">
        <v>818</v>
      </c>
    </row>
    <row r="9" spans="1:3" x14ac:dyDescent="0.2">
      <c r="B9" s="4" t="s">
        <v>164</v>
      </c>
      <c r="C9" s="4" t="s">
        <v>819</v>
      </c>
    </row>
    <row r="10" spans="1:3" x14ac:dyDescent="0.2">
      <c r="B10" s="4"/>
      <c r="C10" s="4" t="s">
        <v>820</v>
      </c>
    </row>
    <row r="11" spans="1:3" x14ac:dyDescent="0.2">
      <c r="B11" s="4"/>
      <c r="C11" s="5" t="s">
        <v>821</v>
      </c>
    </row>
    <row r="12" spans="1:3" x14ac:dyDescent="0.2">
      <c r="B12" s="4" t="s">
        <v>772</v>
      </c>
      <c r="C12" s="36">
        <v>1</v>
      </c>
    </row>
    <row r="13" spans="1:3" x14ac:dyDescent="0.2">
      <c r="B13" s="4" t="s">
        <v>532</v>
      </c>
      <c r="C13" s="4"/>
    </row>
    <row r="14" spans="1:3" x14ac:dyDescent="0.2">
      <c r="B14" s="4"/>
      <c r="C14" s="30" t="s">
        <v>822</v>
      </c>
    </row>
    <row r="15" spans="1:3" x14ac:dyDescent="0.2">
      <c r="B15" s="4"/>
      <c r="C15" s="4" t="s">
        <v>823</v>
      </c>
    </row>
    <row r="16" spans="1:3" x14ac:dyDescent="0.2">
      <c r="B16" s="4"/>
      <c r="C16" s="4" t="s">
        <v>824</v>
      </c>
    </row>
    <row r="17" spans="2:13" x14ac:dyDescent="0.2">
      <c r="B17" s="4"/>
      <c r="C17" s="4" t="s">
        <v>825</v>
      </c>
    </row>
    <row r="18" spans="2:13" x14ac:dyDescent="0.2">
      <c r="B18" s="4"/>
      <c r="C18" s="4"/>
    </row>
    <row r="19" spans="2:13" x14ac:dyDescent="0.2">
      <c r="B19" s="4"/>
      <c r="C19" s="4"/>
    </row>
    <row r="20" spans="2:13" x14ac:dyDescent="0.2">
      <c r="B20" s="4" t="s">
        <v>543</v>
      </c>
      <c r="D20" s="6" t="s">
        <v>544</v>
      </c>
      <c r="E20" s="6" t="s">
        <v>545</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365</v>
      </c>
      <c r="F27" s="7" t="e">
        <f>+#REF!</f>
        <v>#REF!</v>
      </c>
      <c r="G27" s="7" t="e">
        <f>+#REF!</f>
        <v>#REF!</v>
      </c>
      <c r="H27" s="7" t="e">
        <f>+#REF!</f>
        <v>#REF!</v>
      </c>
      <c r="I27" s="7"/>
      <c r="J27" s="7"/>
      <c r="K27" s="7"/>
    </row>
    <row r="28" spans="2:13" x14ac:dyDescent="0.2">
      <c r="B28" s="6" t="s">
        <v>366</v>
      </c>
      <c r="E28" s="33"/>
      <c r="F28" s="29" t="e">
        <f>+#REF!</f>
        <v>#REF!</v>
      </c>
      <c r="G28" s="29" t="e">
        <f>+#REF!</f>
        <v>#REF!</v>
      </c>
      <c r="H28" s="29" t="e">
        <f>+#REF!</f>
        <v>#REF!</v>
      </c>
      <c r="I28" s="29"/>
      <c r="J28" s="29"/>
      <c r="K28" s="29"/>
      <c r="L28" s="33"/>
    </row>
    <row r="29" spans="2:13" x14ac:dyDescent="0.2">
      <c r="B29" s="6" t="s">
        <v>540</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5703125" style="119" customWidth="1"/>
    <col min="5" max="8" width="5.5703125" style="119" bestFit="1" customWidth="1"/>
    <col min="9" max="9" width="6.140625" style="119" customWidth="1"/>
    <col min="10" max="16384" width="9.140625" style="119"/>
  </cols>
  <sheetData>
    <row r="1" spans="1:5" x14ac:dyDescent="0.2">
      <c r="A1" s="118" t="s">
        <v>155</v>
      </c>
    </row>
    <row r="2" spans="1:5" x14ac:dyDescent="0.2">
      <c r="A2" s="118"/>
      <c r="B2" s="119" t="s">
        <v>713</v>
      </c>
      <c r="C2" s="120" t="s">
        <v>714</v>
      </c>
    </row>
    <row r="3" spans="1:5" x14ac:dyDescent="0.2">
      <c r="A3" s="118"/>
      <c r="B3" s="119" t="s">
        <v>496</v>
      </c>
      <c r="C3" s="119" t="s">
        <v>715</v>
      </c>
    </row>
    <row r="4" spans="1:5" x14ac:dyDescent="0.2">
      <c r="A4" s="118"/>
      <c r="C4" s="120" t="s">
        <v>1172</v>
      </c>
    </row>
    <row r="5" spans="1:5" x14ac:dyDescent="0.2">
      <c r="A5" s="118"/>
      <c r="B5" s="119" t="s">
        <v>164</v>
      </c>
      <c r="C5" s="120" t="s">
        <v>1173</v>
      </c>
    </row>
    <row r="6" spans="1:5" x14ac:dyDescent="0.2">
      <c r="A6" s="118"/>
      <c r="C6" s="120"/>
      <c r="E6" s="120"/>
    </row>
    <row r="7" spans="1:5" x14ac:dyDescent="0.2">
      <c r="A7" s="118"/>
      <c r="B7" s="119" t="s">
        <v>716</v>
      </c>
      <c r="C7" s="120" t="s">
        <v>714</v>
      </c>
    </row>
    <row r="8" spans="1:5" x14ac:dyDescent="0.2">
      <c r="A8" s="118"/>
      <c r="B8" s="119" t="s">
        <v>496</v>
      </c>
      <c r="C8" s="119" t="s">
        <v>715</v>
      </c>
      <c r="E8" s="120"/>
    </row>
    <row r="9" spans="1:5" x14ac:dyDescent="0.2">
      <c r="A9" s="118"/>
      <c r="C9" s="120" t="s">
        <v>717</v>
      </c>
      <c r="E9" s="120"/>
    </row>
    <row r="10" spans="1:5" x14ac:dyDescent="0.2">
      <c r="A10" s="118"/>
      <c r="B10" s="119" t="s">
        <v>164</v>
      </c>
      <c r="C10" s="119" t="s">
        <v>718</v>
      </c>
      <c r="E10" s="120"/>
    </row>
    <row r="11" spans="1:5" x14ac:dyDescent="0.2">
      <c r="A11" s="118"/>
      <c r="C11" s="120"/>
      <c r="E11" s="120"/>
    </row>
    <row r="12" spans="1:5" x14ac:dyDescent="0.2">
      <c r="A12" s="118"/>
      <c r="B12" s="119" t="s">
        <v>719</v>
      </c>
      <c r="C12" s="120" t="s">
        <v>714</v>
      </c>
    </row>
    <row r="13" spans="1:5" x14ac:dyDescent="0.2">
      <c r="A13" s="118"/>
      <c r="B13" s="119" t="s">
        <v>496</v>
      </c>
      <c r="C13" s="119" t="s">
        <v>715</v>
      </c>
      <c r="E13" s="120"/>
    </row>
    <row r="14" spans="1:5" x14ac:dyDescent="0.2">
      <c r="A14" s="118"/>
      <c r="C14" s="120" t="s">
        <v>720</v>
      </c>
      <c r="E14" s="120"/>
    </row>
    <row r="15" spans="1:5" x14ac:dyDescent="0.2">
      <c r="A15" s="118"/>
      <c r="B15" s="119" t="s">
        <v>164</v>
      </c>
      <c r="C15" s="120" t="s">
        <v>721</v>
      </c>
      <c r="E15" s="120"/>
    </row>
    <row r="16" spans="1:5" x14ac:dyDescent="0.2">
      <c r="A16" s="118"/>
      <c r="C16" s="120"/>
      <c r="E16" s="120"/>
    </row>
    <row r="17" spans="1:10" x14ac:dyDescent="0.2">
      <c r="A17" s="118"/>
      <c r="B17" s="119" t="s">
        <v>722</v>
      </c>
      <c r="C17" s="120" t="s">
        <v>723</v>
      </c>
    </row>
    <row r="18" spans="1:10" x14ac:dyDescent="0.2">
      <c r="B18" s="119" t="s">
        <v>496</v>
      </c>
      <c r="C18" s="121" t="s">
        <v>715</v>
      </c>
    </row>
    <row r="19" spans="1:10" x14ac:dyDescent="0.2">
      <c r="C19" s="121" t="s">
        <v>724</v>
      </c>
    </row>
    <row r="20" spans="1:10" x14ac:dyDescent="0.2">
      <c r="B20" s="119" t="s">
        <v>164</v>
      </c>
      <c r="C20" s="121" t="s">
        <v>725</v>
      </c>
    </row>
    <row r="22" spans="1:10" x14ac:dyDescent="0.2">
      <c r="B22" s="119" t="s">
        <v>726</v>
      </c>
      <c r="C22" s="120" t="s">
        <v>743</v>
      </c>
    </row>
    <row r="23" spans="1:10" x14ac:dyDescent="0.2">
      <c r="B23" s="119" t="s">
        <v>496</v>
      </c>
      <c r="C23" s="119" t="s">
        <v>744</v>
      </c>
      <c r="E23" s="120"/>
    </row>
    <row r="24" spans="1:10" x14ac:dyDescent="0.2">
      <c r="C24" s="120" t="s">
        <v>745</v>
      </c>
      <c r="E24" s="120"/>
    </row>
    <row r="25" spans="1:10" x14ac:dyDescent="0.2">
      <c r="B25" s="119" t="s">
        <v>164</v>
      </c>
      <c r="C25" s="120" t="s">
        <v>746</v>
      </c>
    </row>
    <row r="27" spans="1:10" x14ac:dyDescent="0.2">
      <c r="B27" s="122" t="s">
        <v>331</v>
      </c>
      <c r="C27" s="123">
        <v>2001</v>
      </c>
      <c r="D27" s="123">
        <v>2002</v>
      </c>
      <c r="E27" s="123">
        <v>2003</v>
      </c>
      <c r="F27" s="123">
        <v>2004</v>
      </c>
      <c r="G27" s="123">
        <v>2005</v>
      </c>
      <c r="H27" s="124">
        <v>2006</v>
      </c>
      <c r="I27" s="124">
        <v>2007</v>
      </c>
      <c r="J27" s="125"/>
    </row>
    <row r="28" spans="1:10" s="122" customFormat="1" ht="12.6" customHeight="1" x14ac:dyDescent="0.2">
      <c r="B28" s="122" t="s">
        <v>365</v>
      </c>
      <c r="C28" s="126"/>
      <c r="D28" s="126" t="e">
        <f>#REF!</f>
        <v>#REF!</v>
      </c>
      <c r="E28" s="126" t="e">
        <f>#REF!</f>
        <v>#REF!</v>
      </c>
      <c r="F28" s="126" t="e">
        <f>#REF!</f>
        <v>#REF!</v>
      </c>
      <c r="G28" s="127">
        <v>920</v>
      </c>
      <c r="H28" s="127">
        <v>781</v>
      </c>
      <c r="I28" s="127">
        <v>662</v>
      </c>
      <c r="J28" s="128"/>
    </row>
    <row r="29" spans="1:10" x14ac:dyDescent="0.2">
      <c r="B29" s="119" t="s">
        <v>366</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1024</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155</v>
      </c>
    </row>
    <row r="2" spans="1:3" x14ac:dyDescent="0.2">
      <c r="B2" s="134" t="s">
        <v>486</v>
      </c>
      <c r="C2" s="134" t="s">
        <v>225</v>
      </c>
    </row>
    <row r="3" spans="1:3" x14ac:dyDescent="0.2">
      <c r="B3" s="134" t="s">
        <v>487</v>
      </c>
      <c r="C3" s="134" t="s">
        <v>1430</v>
      </c>
    </row>
    <row r="4" spans="1:3" x14ac:dyDescent="0.2">
      <c r="B4" s="134" t="s">
        <v>160</v>
      </c>
      <c r="C4" s="134" t="s">
        <v>215</v>
      </c>
    </row>
    <row r="5" spans="1:3" x14ac:dyDescent="0.2">
      <c r="B5" s="134" t="s">
        <v>490</v>
      </c>
      <c r="C5" s="134" t="s">
        <v>218</v>
      </c>
    </row>
    <row r="6" spans="1:3" x14ac:dyDescent="0.2">
      <c r="B6" s="134" t="s">
        <v>494</v>
      </c>
      <c r="C6" s="134" t="s">
        <v>1177</v>
      </c>
    </row>
    <row r="7" spans="1:3" x14ac:dyDescent="0.2">
      <c r="B7" s="134" t="s">
        <v>777</v>
      </c>
    </row>
    <row r="8" spans="1:3" x14ac:dyDescent="0.2">
      <c r="C8" s="111" t="s">
        <v>891</v>
      </c>
    </row>
    <row r="9" spans="1:3" x14ac:dyDescent="0.2">
      <c r="C9" s="134" t="s">
        <v>892</v>
      </c>
    </row>
    <row r="10" spans="1:3" x14ac:dyDescent="0.2">
      <c r="C10" s="134" t="s">
        <v>895</v>
      </c>
    </row>
    <row r="12" spans="1:3" x14ac:dyDescent="0.2">
      <c r="C12" s="111" t="s">
        <v>893</v>
      </c>
    </row>
    <row r="13" spans="1:3" x14ac:dyDescent="0.2">
      <c r="C13" s="134" t="s">
        <v>894</v>
      </c>
    </row>
    <row r="14" spans="1:3" x14ac:dyDescent="0.2">
      <c r="C14" s="134" t="s">
        <v>895</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16" t="s">
        <v>155</v>
      </c>
    </row>
    <row r="2" spans="1:3" x14ac:dyDescent="0.2">
      <c r="B2" t="s">
        <v>486</v>
      </c>
      <c r="C2" t="s">
        <v>1556</v>
      </c>
    </row>
    <row r="3" spans="1:3" x14ac:dyDescent="0.2">
      <c r="B3" t="s">
        <v>487</v>
      </c>
      <c r="C3" t="s">
        <v>840</v>
      </c>
    </row>
    <row r="4" spans="1:3" x14ac:dyDescent="0.2">
      <c r="B4" t="s">
        <v>160</v>
      </c>
      <c r="C4" t="s">
        <v>1554</v>
      </c>
    </row>
    <row r="5" spans="1:3" x14ac:dyDescent="0.2">
      <c r="B5" t="s">
        <v>772</v>
      </c>
      <c r="C5" t="s">
        <v>1555</v>
      </c>
    </row>
    <row r="6" spans="1:3" x14ac:dyDescent="0.2">
      <c r="B6" t="s">
        <v>490</v>
      </c>
      <c r="C6" t="s">
        <v>841</v>
      </c>
    </row>
    <row r="7" spans="1:3" x14ac:dyDescent="0.2">
      <c r="B7" t="s">
        <v>777</v>
      </c>
    </row>
    <row r="8" spans="1:3" x14ac:dyDescent="0.2">
      <c r="C8" s="184" t="s">
        <v>1332</v>
      </c>
    </row>
    <row r="10" spans="1:3" x14ac:dyDescent="0.2">
      <c r="C10" s="184" t="s">
        <v>1338</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16" t="s">
        <v>155</v>
      </c>
    </row>
    <row r="2" spans="1:3" x14ac:dyDescent="0.2">
      <c r="B2" t="s">
        <v>487</v>
      </c>
      <c r="C2" t="s">
        <v>1327</v>
      </c>
    </row>
    <row r="3" spans="1:3" x14ac:dyDescent="0.2">
      <c r="B3" t="s">
        <v>490</v>
      </c>
    </row>
    <row r="4" spans="1:3" x14ac:dyDescent="0.2">
      <c r="B4" t="s">
        <v>777</v>
      </c>
    </row>
    <row r="5" spans="1:3" x14ac:dyDescent="0.2">
      <c r="C5" s="184" t="s">
        <v>1329</v>
      </c>
    </row>
    <row r="6" spans="1:3" x14ac:dyDescent="0.2">
      <c r="C6" t="s">
        <v>1328</v>
      </c>
    </row>
    <row r="8" spans="1:3" x14ac:dyDescent="0.2">
      <c r="C8" s="184" t="s">
        <v>1330</v>
      </c>
    </row>
    <row r="9" spans="1:3" x14ac:dyDescent="0.2">
      <c r="C9" t="s">
        <v>1331</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155</v>
      </c>
    </row>
    <row r="2" spans="1:19" x14ac:dyDescent="0.2">
      <c r="B2" s="257" t="s">
        <v>264</v>
      </c>
    </row>
    <row r="4" spans="1:19" x14ac:dyDescent="0.2">
      <c r="B4" s="256" t="s">
        <v>159</v>
      </c>
      <c r="C4" s="76" t="s">
        <v>1241</v>
      </c>
      <c r="D4" s="76" t="s">
        <v>1362</v>
      </c>
      <c r="E4" s="76" t="s">
        <v>1363</v>
      </c>
      <c r="F4" s="76" t="s">
        <v>1348</v>
      </c>
      <c r="G4" s="76" t="s">
        <v>1349</v>
      </c>
      <c r="H4" s="76" t="s">
        <v>1350</v>
      </c>
      <c r="I4" s="76" t="s">
        <v>156</v>
      </c>
      <c r="J4" s="76" t="s">
        <v>1352</v>
      </c>
      <c r="K4" s="76" t="s">
        <v>363</v>
      </c>
      <c r="L4" s="76" t="s">
        <v>1353</v>
      </c>
      <c r="M4" s="76" t="s">
        <v>1356</v>
      </c>
      <c r="N4" s="76" t="s">
        <v>1358</v>
      </c>
      <c r="O4" s="76" t="s">
        <v>1359</v>
      </c>
      <c r="P4" s="76" t="s">
        <v>1360</v>
      </c>
      <c r="Q4" s="76" t="s">
        <v>1361</v>
      </c>
      <c r="R4" s="76" t="s">
        <v>1365</v>
      </c>
    </row>
    <row r="5" spans="1:19" x14ac:dyDescent="0.2">
      <c r="B5" s="256" t="s">
        <v>1371</v>
      </c>
      <c r="C5" s="163">
        <v>41136</v>
      </c>
      <c r="D5" s="163">
        <v>39310</v>
      </c>
      <c r="E5" s="76" t="s">
        <v>1373</v>
      </c>
      <c r="F5" s="76">
        <v>600</v>
      </c>
      <c r="G5" s="255">
        <v>5.1499999999999997E-2</v>
      </c>
      <c r="H5" s="76" t="s">
        <v>1351</v>
      </c>
      <c r="I5" s="76">
        <v>108.89400000000001</v>
      </c>
      <c r="J5" s="255">
        <v>1.12E-2</v>
      </c>
      <c r="K5" s="255" t="s">
        <v>1380</v>
      </c>
      <c r="L5" s="76" t="s">
        <v>1372</v>
      </c>
      <c r="M5" s="76" t="s">
        <v>1357</v>
      </c>
      <c r="N5" s="255">
        <v>5.1999999999999998E-2</v>
      </c>
      <c r="O5" s="163">
        <v>39370</v>
      </c>
      <c r="P5" s="255">
        <v>7.7099999999999998E-3</v>
      </c>
      <c r="Q5" s="163">
        <v>40260</v>
      </c>
      <c r="R5" s="255">
        <v>7.7999999999999996E-3</v>
      </c>
      <c r="S5" s="255">
        <f t="shared" ref="S5:S14" si="0">+J5-R5</f>
        <v>3.4000000000000002E-3</v>
      </c>
    </row>
    <row r="6" spans="1:19" x14ac:dyDescent="0.2">
      <c r="B6" s="256" t="s">
        <v>1376</v>
      </c>
      <c r="C6" s="163">
        <v>41409</v>
      </c>
      <c r="D6" s="163">
        <v>37760</v>
      </c>
      <c r="E6" s="76" t="s">
        <v>1375</v>
      </c>
      <c r="F6" s="76">
        <v>500</v>
      </c>
      <c r="G6" s="255">
        <v>3.7999999999999999E-2</v>
      </c>
      <c r="H6" s="76" t="s">
        <v>1374</v>
      </c>
      <c r="I6" s="76">
        <v>105.56</v>
      </c>
      <c r="J6" s="255">
        <v>1.8800000000000001E-2</v>
      </c>
      <c r="K6" s="255" t="s">
        <v>1380</v>
      </c>
      <c r="L6" s="76" t="s">
        <v>1372</v>
      </c>
      <c r="M6" s="76" t="s">
        <v>1357</v>
      </c>
      <c r="N6" s="255">
        <v>5.8259999999999999E-2</v>
      </c>
      <c r="O6" s="163">
        <v>39251</v>
      </c>
      <c r="P6" s="255">
        <v>1.073E-2</v>
      </c>
      <c r="Q6" s="163">
        <v>40298</v>
      </c>
      <c r="R6" s="255">
        <v>1.29E-2</v>
      </c>
      <c r="S6" s="255">
        <f t="shared" si="0"/>
        <v>5.9000000000000007E-3</v>
      </c>
    </row>
    <row r="7" spans="1:19" x14ac:dyDescent="0.2">
      <c r="B7" s="256" t="s">
        <v>1377</v>
      </c>
      <c r="C7" s="163">
        <v>42962</v>
      </c>
      <c r="D7" s="163">
        <v>39307</v>
      </c>
      <c r="E7" s="76" t="s">
        <v>1378</v>
      </c>
      <c r="F7" s="76">
        <v>1000</v>
      </c>
      <c r="G7" s="255">
        <v>5.5500000000000001E-2</v>
      </c>
      <c r="H7" s="76" t="s">
        <v>1351</v>
      </c>
      <c r="I7" s="76">
        <v>113.53700000000001</v>
      </c>
      <c r="J7" s="255">
        <v>3.4200000000000001E-2</v>
      </c>
      <c r="K7" s="255" t="s">
        <v>1380</v>
      </c>
      <c r="L7" s="76" t="s">
        <v>1372</v>
      </c>
      <c r="M7" s="76" t="s">
        <v>1357</v>
      </c>
      <c r="N7" s="255">
        <v>5.9049999999999998E-2</v>
      </c>
      <c r="O7" s="163">
        <v>39735</v>
      </c>
      <c r="P7" s="255">
        <v>3.0290000000000001E-2</v>
      </c>
      <c r="Q7" s="163">
        <v>39867</v>
      </c>
      <c r="R7" s="255">
        <v>2.87E-2</v>
      </c>
      <c r="S7" s="255">
        <f t="shared" si="0"/>
        <v>5.5000000000000014E-3</v>
      </c>
    </row>
    <row r="8" spans="1:19" x14ac:dyDescent="0.2">
      <c r="B8" s="256" t="s">
        <v>1381</v>
      </c>
      <c r="C8" s="163">
        <v>43296</v>
      </c>
      <c r="D8" s="163">
        <v>39617</v>
      </c>
      <c r="E8" s="76" t="s">
        <v>1379</v>
      </c>
      <c r="F8" s="76">
        <v>900</v>
      </c>
      <c r="G8" s="255">
        <v>5.1499999999999997E-2</v>
      </c>
      <c r="H8" s="76" t="s">
        <v>1351</v>
      </c>
      <c r="I8" s="76">
        <v>110.286</v>
      </c>
      <c r="J8" s="255">
        <v>3.6799999999999999E-2</v>
      </c>
      <c r="K8" s="255" t="s">
        <v>1380</v>
      </c>
      <c r="L8" s="76" t="s">
        <v>1354</v>
      </c>
      <c r="M8" s="76" t="s">
        <v>1357</v>
      </c>
      <c r="N8" s="255">
        <v>5.7639999999999997E-2</v>
      </c>
      <c r="O8" s="163">
        <v>39735</v>
      </c>
      <c r="P8" s="255">
        <v>3.2250000000000001E-2</v>
      </c>
      <c r="Q8" s="163">
        <v>39868</v>
      </c>
      <c r="R8" s="255">
        <v>2.9700000000000001E-2</v>
      </c>
      <c r="S8" s="255">
        <f t="shared" si="0"/>
        <v>7.0999999999999987E-3</v>
      </c>
    </row>
    <row r="9" spans="1:19" x14ac:dyDescent="0.2">
      <c r="B9" s="256" t="s">
        <v>1382</v>
      </c>
      <c r="C9" s="163">
        <v>43775</v>
      </c>
      <c r="D9" s="163">
        <v>39385</v>
      </c>
      <c r="E9" s="76" t="s">
        <v>1383</v>
      </c>
      <c r="F9" s="76">
        <v>1000</v>
      </c>
      <c r="G9" s="255">
        <v>4.7500000000000001E-2</v>
      </c>
      <c r="H9" s="76" t="s">
        <v>1351</v>
      </c>
      <c r="I9" s="76">
        <v>112.91370000000001</v>
      </c>
      <c r="J9" s="255">
        <v>3.15E-2</v>
      </c>
      <c r="K9" s="255" t="s">
        <v>1384</v>
      </c>
      <c r="L9" s="76" t="s">
        <v>1372</v>
      </c>
      <c r="M9" s="76" t="s">
        <v>1357</v>
      </c>
      <c r="N9" s="255">
        <v>5.6779999999999997E-2</v>
      </c>
      <c r="O9" s="163">
        <v>39735</v>
      </c>
      <c r="P9" s="255">
        <v>3.125E-2</v>
      </c>
      <c r="Q9" s="163">
        <v>40304</v>
      </c>
      <c r="R9" s="255">
        <v>3.3500000000000002E-2</v>
      </c>
      <c r="S9" s="255">
        <f t="shared" si="0"/>
        <v>-2.0000000000000018E-3</v>
      </c>
    </row>
    <row r="10" spans="1:19" x14ac:dyDescent="0.2">
      <c r="B10" s="256" t="s">
        <v>1385</v>
      </c>
      <c r="C10" s="163">
        <v>45245</v>
      </c>
      <c r="D10" s="163">
        <v>34289</v>
      </c>
      <c r="E10" s="76" t="s">
        <v>1386</v>
      </c>
      <c r="F10" s="76">
        <v>250</v>
      </c>
      <c r="G10" s="255">
        <v>6.7299999999999999E-2</v>
      </c>
      <c r="H10" s="76" t="s">
        <v>1374</v>
      </c>
      <c r="I10" s="76">
        <v>125.001</v>
      </c>
      <c r="J10" s="255">
        <v>4.2700000000000002E-2</v>
      </c>
      <c r="K10" s="255" t="s">
        <v>1380</v>
      </c>
      <c r="L10" s="76" t="s">
        <v>1372</v>
      </c>
      <c r="M10" s="76" t="s">
        <v>1357</v>
      </c>
      <c r="N10" s="255">
        <v>7.6319999999999999E-2</v>
      </c>
      <c r="O10" s="163">
        <v>39741</v>
      </c>
      <c r="P10" s="255">
        <v>4.0099999999999997E-2</v>
      </c>
      <c r="Q10" s="163">
        <v>39828</v>
      </c>
      <c r="R10" s="255">
        <v>3.5499999999999997E-2</v>
      </c>
      <c r="S10" s="255">
        <f t="shared" si="0"/>
        <v>7.200000000000005E-3</v>
      </c>
    </row>
    <row r="11" spans="1:19" x14ac:dyDescent="0.2">
      <c r="B11" s="256" t="s">
        <v>1387</v>
      </c>
      <c r="C11" s="163">
        <v>45602</v>
      </c>
      <c r="D11" s="163">
        <v>39385</v>
      </c>
      <c r="E11" s="76" t="s">
        <v>1388</v>
      </c>
      <c r="F11" s="76">
        <v>500</v>
      </c>
      <c r="G11" s="255">
        <v>5.5E-2</v>
      </c>
      <c r="H11" s="76" t="s">
        <v>1351</v>
      </c>
      <c r="I11" s="76">
        <v>106.005</v>
      </c>
      <c r="J11" s="255">
        <v>4.8800000000000003E-2</v>
      </c>
      <c r="K11" s="255" t="s">
        <v>1389</v>
      </c>
      <c r="L11" s="76" t="s">
        <v>1372</v>
      </c>
      <c r="M11" s="76" t="s">
        <v>1357</v>
      </c>
      <c r="N11" s="255">
        <v>6.0879999999999997E-2</v>
      </c>
      <c r="O11" s="163">
        <v>39735</v>
      </c>
      <c r="P11" s="255">
        <v>4.4979999999999999E-2</v>
      </c>
      <c r="Q11" s="163">
        <v>40056</v>
      </c>
      <c r="R11" s="255">
        <v>3.6499999999999998E-2</v>
      </c>
      <c r="S11" s="255">
        <f t="shared" si="0"/>
        <v>1.2300000000000005E-2</v>
      </c>
    </row>
    <row r="12" spans="1:19" x14ac:dyDescent="0.2">
      <c r="B12" s="256" t="s">
        <v>1390</v>
      </c>
      <c r="C12" s="163">
        <v>47362</v>
      </c>
      <c r="D12" s="163">
        <v>36402</v>
      </c>
      <c r="E12" s="76" t="s">
        <v>1391</v>
      </c>
      <c r="F12" s="76">
        <v>293</v>
      </c>
      <c r="G12" s="255">
        <v>6.9500000000000006E-2</v>
      </c>
      <c r="H12" s="76" t="s">
        <v>1374</v>
      </c>
      <c r="I12" s="76">
        <v>131.88200000000001</v>
      </c>
      <c r="J12" s="255">
        <v>4.446E-2</v>
      </c>
      <c r="K12" s="255" t="s">
        <v>1380</v>
      </c>
      <c r="L12" s="76" t="s">
        <v>1372</v>
      </c>
      <c r="M12" s="76" t="s">
        <v>1357</v>
      </c>
      <c r="N12" s="255">
        <v>6.9029999999999994E-2</v>
      </c>
      <c r="O12" s="163">
        <v>40039</v>
      </c>
      <c r="P12" s="255">
        <v>4.1110000000000001E-2</v>
      </c>
      <c r="Q12" s="163">
        <v>37785</v>
      </c>
      <c r="R12" s="255">
        <v>3.6499999999999998E-2</v>
      </c>
      <c r="S12" s="255">
        <f t="shared" si="0"/>
        <v>7.9600000000000018E-3</v>
      </c>
    </row>
    <row r="13" spans="1:19" x14ac:dyDescent="0.2">
      <c r="B13" s="256" t="s">
        <v>1392</v>
      </c>
      <c r="C13" s="163">
        <v>48714</v>
      </c>
      <c r="D13" s="163">
        <v>37760</v>
      </c>
      <c r="E13" s="76" t="s">
        <v>1393</v>
      </c>
      <c r="F13" s="76">
        <v>500</v>
      </c>
      <c r="G13" s="255">
        <v>4.9500000000000002E-2</v>
      </c>
      <c r="H13" s="76" t="s">
        <v>1374</v>
      </c>
      <c r="I13" s="76">
        <v>109.919</v>
      </c>
      <c r="J13" s="255">
        <v>4.2630000000000001E-2</v>
      </c>
      <c r="K13" s="255" t="s">
        <v>1380</v>
      </c>
      <c r="L13" s="76" t="s">
        <v>1372</v>
      </c>
      <c r="M13" s="76" t="s">
        <v>1357</v>
      </c>
      <c r="N13" s="255">
        <v>7.7630000000000005E-2</v>
      </c>
      <c r="O13" s="163">
        <v>39735</v>
      </c>
      <c r="P13" s="255">
        <v>4.0050000000000002E-2</v>
      </c>
      <c r="Q13" s="163">
        <v>40414</v>
      </c>
      <c r="R13" s="255">
        <v>3.6999999999999998E-2</v>
      </c>
      <c r="S13" s="255">
        <f t="shared" si="0"/>
        <v>5.6300000000000031E-3</v>
      </c>
    </row>
    <row r="14" spans="1:19" x14ac:dyDescent="0.2">
      <c r="B14" s="256" t="s">
        <v>1394</v>
      </c>
      <c r="C14" s="163">
        <v>50267</v>
      </c>
      <c r="D14" s="163">
        <v>39307</v>
      </c>
      <c r="E14" s="76" t="s">
        <v>1395</v>
      </c>
      <c r="F14" s="76">
        <v>995</v>
      </c>
      <c r="G14" s="255">
        <v>5.9499999999999997E-2</v>
      </c>
      <c r="H14" s="76" t="s">
        <v>1351</v>
      </c>
      <c r="I14" s="76">
        <v>123.142</v>
      </c>
      <c r="J14" s="255">
        <v>4.4639999999999999E-2</v>
      </c>
      <c r="K14" s="255" t="s">
        <v>1380</v>
      </c>
      <c r="L14" s="76" t="s">
        <v>1354</v>
      </c>
      <c r="M14" s="76" t="s">
        <v>1357</v>
      </c>
      <c r="N14" s="255">
        <v>6.318E-2</v>
      </c>
      <c r="O14" s="163">
        <v>39738</v>
      </c>
      <c r="P14" s="255">
        <v>4.1369999999999997E-2</v>
      </c>
      <c r="Q14" s="163">
        <v>40421</v>
      </c>
      <c r="R14" s="255">
        <v>3.78E-2</v>
      </c>
      <c r="S14" s="255">
        <f t="shared" si="0"/>
        <v>6.8399999999999989E-3</v>
      </c>
    </row>
    <row r="15" spans="1:19" x14ac:dyDescent="0.2">
      <c r="B15" s="256" t="s">
        <v>1355</v>
      </c>
      <c r="C15" s="163">
        <v>50601</v>
      </c>
      <c r="D15" s="163">
        <v>39617</v>
      </c>
      <c r="E15" s="163" t="s">
        <v>1441</v>
      </c>
      <c r="F15" s="76">
        <v>700</v>
      </c>
      <c r="G15" s="255">
        <v>5.8500000000000003E-2</v>
      </c>
      <c r="H15" s="76" t="s">
        <v>1351</v>
      </c>
      <c r="I15" s="76">
        <v>122.22</v>
      </c>
      <c r="J15" s="255">
        <v>4.4499999999999998E-2</v>
      </c>
      <c r="K15" s="255" t="s">
        <v>1380</v>
      </c>
      <c r="L15" s="76" t="s">
        <v>1354</v>
      </c>
      <c r="M15" s="76" t="s">
        <v>1357</v>
      </c>
      <c r="N15" s="255">
        <v>7.0529999999999995E-2</v>
      </c>
      <c r="O15" s="163">
        <v>39738</v>
      </c>
      <c r="P15" s="255">
        <v>4.165E-2</v>
      </c>
      <c r="Q15" s="163">
        <v>40415</v>
      </c>
      <c r="R15" s="255">
        <v>3.7900000000000003E-2</v>
      </c>
      <c r="S15" s="255">
        <f>J15-R15</f>
        <v>6.5999999999999948E-3</v>
      </c>
    </row>
    <row r="16" spans="1:19" x14ac:dyDescent="0.2">
      <c r="B16" s="256" t="s">
        <v>1439</v>
      </c>
      <c r="C16" s="163">
        <v>51380</v>
      </c>
      <c r="D16" s="163">
        <v>40407</v>
      </c>
      <c r="E16" s="76" t="s">
        <v>1364</v>
      </c>
      <c r="F16" s="76">
        <v>550</v>
      </c>
      <c r="G16" s="255">
        <v>4.4999999999999998E-2</v>
      </c>
      <c r="H16" s="76" t="s">
        <v>1440</v>
      </c>
      <c r="I16" s="76">
        <v>101.13200000000001</v>
      </c>
      <c r="J16" s="255">
        <v>4.4299999999999999E-2</v>
      </c>
      <c r="K16" s="255" t="s">
        <v>1380</v>
      </c>
      <c r="L16" s="76" t="s">
        <v>1354</v>
      </c>
      <c r="M16" s="76" t="s">
        <v>1357</v>
      </c>
      <c r="N16" s="255">
        <v>4.6179999999999999E-2</v>
      </c>
      <c r="O16" s="163">
        <v>40402</v>
      </c>
      <c r="P16" s="255">
        <v>4.1230000000000003E-2</v>
      </c>
      <c r="Q16" s="163">
        <v>40415</v>
      </c>
      <c r="R16" s="255">
        <v>3.8100000000000002E-2</v>
      </c>
      <c r="S16" s="255">
        <f>J16-R16</f>
        <v>6.1999999999999972E-3</v>
      </c>
    </row>
    <row r="20" spans="2:2" x14ac:dyDescent="0.2">
      <c r="B20" t="s">
        <v>1573</v>
      </c>
    </row>
    <row r="21" spans="2:2" x14ac:dyDescent="0.2">
      <c r="B21" t="s">
        <v>1574</v>
      </c>
    </row>
    <row r="22" spans="2:2" x14ac:dyDescent="0.2">
      <c r="B22" t="s">
        <v>1575</v>
      </c>
    </row>
    <row r="23" spans="2:2" x14ac:dyDescent="0.2">
      <c r="B23" t="s">
        <v>1713</v>
      </c>
    </row>
    <row r="24" spans="2:2" x14ac:dyDescent="0.2">
      <c r="B24" t="s">
        <v>1721</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155</v>
      </c>
    </row>
    <row r="2" spans="1:2" x14ac:dyDescent="0.2">
      <c r="A2" s="172"/>
      <c r="B2" t="s">
        <v>1457</v>
      </c>
    </row>
    <row r="3" spans="1:2" x14ac:dyDescent="0.2">
      <c r="A3" s="172"/>
    </row>
    <row r="4" spans="1:2" x14ac:dyDescent="0.2">
      <c r="B4" s="1" t="s">
        <v>1468</v>
      </c>
    </row>
    <row r="5" spans="1:2" x14ac:dyDescent="0.2">
      <c r="B5" s="1" t="s">
        <v>1195</v>
      </c>
    </row>
    <row r="6" spans="1:2" x14ac:dyDescent="0.2">
      <c r="B6" t="s">
        <v>1227</v>
      </c>
    </row>
    <row r="7" spans="1:2" x14ac:dyDescent="0.2">
      <c r="B7" t="s">
        <v>1206</v>
      </c>
    </row>
    <row r="8" spans="1:2" x14ac:dyDescent="0.2">
      <c r="B8" t="s">
        <v>1215</v>
      </c>
    </row>
    <row r="9" spans="1:2" x14ac:dyDescent="0.2">
      <c r="B9" t="s">
        <v>1216</v>
      </c>
    </row>
    <row r="10" spans="1:2" x14ac:dyDescent="0.2">
      <c r="B10" t="s">
        <v>1197</v>
      </c>
    </row>
    <row r="11" spans="1:2" x14ac:dyDescent="0.2">
      <c r="B11" t="s">
        <v>1198</v>
      </c>
    </row>
    <row r="12" spans="1:2" x14ac:dyDescent="0.2">
      <c r="B12" t="s">
        <v>1204</v>
      </c>
    </row>
    <row r="13" spans="1:2" x14ac:dyDescent="0.2">
      <c r="B13" t="s">
        <v>1207</v>
      </c>
    </row>
    <row r="14" spans="1:2" x14ac:dyDescent="0.2">
      <c r="B14" t="s">
        <v>1205</v>
      </c>
    </row>
    <row r="15" spans="1:2" x14ac:dyDescent="0.2">
      <c r="B15" t="s">
        <v>1007</v>
      </c>
    </row>
    <row r="16" spans="1:2" x14ac:dyDescent="0.2">
      <c r="B16" t="s">
        <v>1203</v>
      </c>
    </row>
    <row r="17" spans="2:2" x14ac:dyDescent="0.2">
      <c r="B17" t="s">
        <v>1208</v>
      </c>
    </row>
    <row r="18" spans="2:2" x14ac:dyDescent="0.2">
      <c r="B18" t="s">
        <v>1222</v>
      </c>
    </row>
    <row r="19" spans="2:2" x14ac:dyDescent="0.2">
      <c r="B19" t="s">
        <v>1005</v>
      </c>
    </row>
    <row r="20" spans="2:2" x14ac:dyDescent="0.2">
      <c r="B20" t="s">
        <v>1210</v>
      </c>
    </row>
    <row r="21" spans="2:2" x14ac:dyDescent="0.2">
      <c r="B21" t="s">
        <v>1223</v>
      </c>
    </row>
    <row r="22" spans="2:2" x14ac:dyDescent="0.2">
      <c r="B22" t="s">
        <v>1006</v>
      </c>
    </row>
    <row r="23" spans="2:2" x14ac:dyDescent="0.2">
      <c r="B23" t="s">
        <v>1211</v>
      </c>
    </row>
    <row r="24" spans="2:2" x14ac:dyDescent="0.2">
      <c r="B24" t="s">
        <v>1212</v>
      </c>
    </row>
    <row r="25" spans="2:2" x14ac:dyDescent="0.2">
      <c r="B25" t="s">
        <v>1213</v>
      </c>
    </row>
    <row r="26" spans="2:2" x14ac:dyDescent="0.2">
      <c r="B26" t="s">
        <v>1214</v>
      </c>
    </row>
    <row r="27" spans="2:2" x14ac:dyDescent="0.2">
      <c r="B27" t="s">
        <v>1224</v>
      </c>
    </row>
    <row r="28" spans="2:2" x14ac:dyDescent="0.2">
      <c r="B28" t="s">
        <v>1225</v>
      </c>
    </row>
    <row r="29" spans="2:2" x14ac:dyDescent="0.2">
      <c r="B29" t="s">
        <v>1465</v>
      </c>
    </row>
    <row r="30" spans="2:2" x14ac:dyDescent="0.2">
      <c r="B30" t="s">
        <v>1466</v>
      </c>
    </row>
    <row r="31" spans="2:2" x14ac:dyDescent="0.2">
      <c r="B31" t="s">
        <v>1467</v>
      </c>
    </row>
    <row r="32" spans="2:2" x14ac:dyDescent="0.2">
      <c r="B32" t="s">
        <v>1209</v>
      </c>
    </row>
    <row r="33" spans="2:10" x14ac:dyDescent="0.2">
      <c r="B33" s="56" t="s">
        <v>1456</v>
      </c>
      <c r="J33" s="3"/>
    </row>
    <row r="35" spans="2:10" x14ac:dyDescent="0.2">
      <c r="B35" t="s">
        <v>145</v>
      </c>
    </row>
    <row r="37" spans="2:10" x14ac:dyDescent="0.2">
      <c r="B37" t="s">
        <v>146</v>
      </c>
    </row>
    <row r="38" spans="2:10" x14ac:dyDescent="0.2">
      <c r="B38" t="s">
        <v>147</v>
      </c>
    </row>
    <row r="39" spans="2:10" x14ac:dyDescent="0.2">
      <c r="B39" t="s">
        <v>148</v>
      </c>
    </row>
    <row r="40" spans="2:10" x14ac:dyDescent="0.2">
      <c r="B40" t="s">
        <v>149</v>
      </c>
    </row>
    <row r="44" spans="2:10" x14ac:dyDescent="0.2">
      <c r="B44" s="184" t="s">
        <v>248</v>
      </c>
    </row>
    <row r="45" spans="2:10" x14ac:dyDescent="0.2">
      <c r="B45" t="s">
        <v>1221</v>
      </c>
    </row>
    <row r="46" spans="2:10" x14ac:dyDescent="0.2">
      <c r="B46" t="s">
        <v>1220</v>
      </c>
    </row>
    <row r="47" spans="2:10" x14ac:dyDescent="0.2">
      <c r="B47" t="s">
        <v>1464</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16" t="s">
        <v>155</v>
      </c>
    </row>
    <row r="2" spans="1:3" x14ac:dyDescent="0.2">
      <c r="B2" t="s">
        <v>486</v>
      </c>
      <c r="C2" t="s">
        <v>1497</v>
      </c>
    </row>
    <row r="3" spans="1:3" x14ac:dyDescent="0.2">
      <c r="B3" t="s">
        <v>487</v>
      </c>
      <c r="C3" t="s">
        <v>734</v>
      </c>
    </row>
    <row r="4" spans="1:3" x14ac:dyDescent="0.2">
      <c r="B4" t="s">
        <v>490</v>
      </c>
      <c r="C4" t="s">
        <v>1426</v>
      </c>
    </row>
    <row r="5" spans="1:3" x14ac:dyDescent="0.2">
      <c r="B5" t="s">
        <v>772</v>
      </c>
      <c r="C5" t="s">
        <v>1427</v>
      </c>
    </row>
    <row r="6" spans="1:3" x14ac:dyDescent="0.2">
      <c r="B6" t="s">
        <v>777</v>
      </c>
    </row>
    <row r="7" spans="1:3" x14ac:dyDescent="0.2">
      <c r="C7" s="184" t="s">
        <v>1428</v>
      </c>
    </row>
    <row r="8" spans="1:3" x14ac:dyDescent="0.2">
      <c r="C8" t="s">
        <v>1429</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155</v>
      </c>
      <c r="C1" s="185"/>
      <c r="D1" s="185"/>
      <c r="E1" s="185"/>
      <c r="F1" s="185"/>
      <c r="G1" s="185"/>
      <c r="H1" s="185"/>
      <c r="I1" s="185"/>
      <c r="J1" s="185"/>
      <c r="K1" s="185"/>
      <c r="L1" s="186"/>
      <c r="N1" s="187"/>
      <c r="Q1" s="185"/>
      <c r="R1" s="185"/>
      <c r="S1" s="185"/>
      <c r="T1" s="186"/>
      <c r="U1" s="186"/>
      <c r="V1" s="185"/>
      <c r="AZ1" s="185"/>
      <c r="BA1" s="185"/>
    </row>
    <row r="2" spans="1:62" x14ac:dyDescent="0.2">
      <c r="B2" s="50"/>
      <c r="C2" s="174" t="s">
        <v>274</v>
      </c>
      <c r="D2" s="174" t="s">
        <v>275</v>
      </c>
      <c r="E2" s="174" t="s">
        <v>276</v>
      </c>
      <c r="F2" s="174" t="s">
        <v>277</v>
      </c>
      <c r="G2" s="174" t="s">
        <v>278</v>
      </c>
      <c r="H2" s="174" t="s">
        <v>279</v>
      </c>
      <c r="I2" s="174" t="s">
        <v>280</v>
      </c>
      <c r="J2" s="174" t="s">
        <v>281</v>
      </c>
      <c r="K2" s="174" t="s">
        <v>282</v>
      </c>
      <c r="L2" s="174" t="s">
        <v>283</v>
      </c>
      <c r="M2" s="174" t="s">
        <v>284</v>
      </c>
      <c r="N2" s="174" t="s">
        <v>285</v>
      </c>
      <c r="O2" s="174" t="s">
        <v>286</v>
      </c>
      <c r="P2" s="174" t="s">
        <v>287</v>
      </c>
      <c r="Q2" s="174" t="s">
        <v>288</v>
      </c>
      <c r="R2" s="174" t="s">
        <v>289</v>
      </c>
      <c r="S2" s="174" t="s">
        <v>290</v>
      </c>
      <c r="T2" s="174" t="s">
        <v>291</v>
      </c>
      <c r="U2" s="174" t="s">
        <v>292</v>
      </c>
      <c r="V2" s="174" t="s">
        <v>293</v>
      </c>
      <c r="W2" s="174" t="s">
        <v>294</v>
      </c>
      <c r="X2" s="174" t="s">
        <v>295</v>
      </c>
      <c r="Y2" s="174" t="s">
        <v>296</v>
      </c>
      <c r="Z2" s="174" t="s">
        <v>297</v>
      </c>
      <c r="AA2" s="174" t="s">
        <v>298</v>
      </c>
      <c r="AB2" s="174" t="s">
        <v>299</v>
      </c>
      <c r="AC2" s="174" t="s">
        <v>300</v>
      </c>
      <c r="AD2" s="174" t="s">
        <v>301</v>
      </c>
      <c r="AE2" s="174" t="s">
        <v>302</v>
      </c>
      <c r="AF2" s="174" t="s">
        <v>303</v>
      </c>
      <c r="AG2" s="174" t="s">
        <v>304</v>
      </c>
      <c r="AH2" s="174" t="s">
        <v>305</v>
      </c>
      <c r="AI2" s="174" t="s">
        <v>306</v>
      </c>
      <c r="AJ2" s="174" t="s">
        <v>307</v>
      </c>
      <c r="AK2" s="174" t="s">
        <v>308</v>
      </c>
      <c r="AL2" s="174" t="s">
        <v>309</v>
      </c>
      <c r="AM2" s="174" t="s">
        <v>262</v>
      </c>
      <c r="AN2" s="174" t="s">
        <v>310</v>
      </c>
      <c r="AO2" s="174" t="s">
        <v>311</v>
      </c>
      <c r="AP2" s="174" t="s">
        <v>312</v>
      </c>
      <c r="AQ2" s="174" t="s">
        <v>313</v>
      </c>
      <c r="AR2" s="174" t="s">
        <v>314</v>
      </c>
      <c r="AS2" s="174" t="s">
        <v>315</v>
      </c>
      <c r="AT2" s="174" t="s">
        <v>316</v>
      </c>
      <c r="AU2" s="174" t="s">
        <v>1303</v>
      </c>
      <c r="AV2" s="174" t="s">
        <v>1304</v>
      </c>
      <c r="AW2" s="174" t="s">
        <v>1305</v>
      </c>
      <c r="AX2" s="174" t="s">
        <v>1306</v>
      </c>
      <c r="AY2" s="174"/>
      <c r="AZ2" s="186">
        <v>1999</v>
      </c>
      <c r="BA2" s="186">
        <v>2000</v>
      </c>
      <c r="BB2" s="186">
        <v>2001</v>
      </c>
      <c r="BC2" s="186">
        <v>2002</v>
      </c>
      <c r="BD2" s="186">
        <v>2003</v>
      </c>
      <c r="BE2" s="186">
        <v>2004</v>
      </c>
      <c r="BF2" s="186">
        <v>2005</v>
      </c>
      <c r="BG2" s="186">
        <v>2006</v>
      </c>
      <c r="BH2" s="186">
        <v>2007</v>
      </c>
      <c r="BI2" s="186">
        <v>2008</v>
      </c>
      <c r="BJ2" s="186" t="s">
        <v>512</v>
      </c>
    </row>
    <row r="3" spans="1:62" s="50" customFormat="1" x14ac:dyDescent="0.2">
      <c r="B3" s="51" t="s">
        <v>144</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585</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583</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1002</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585</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583</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1015</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585</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583</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1014</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585</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583</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1003</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585</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583</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1016</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1004</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583</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1019</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1004</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583</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1020</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1021</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1022</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1017</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1021</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1022</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1018</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1021</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1022</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1003</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1021</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1022</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1023</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1021</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1022</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1200</v>
      </c>
      <c r="AR41" s="183">
        <v>3.1E-2</v>
      </c>
    </row>
    <row r="42" spans="2:62" x14ac:dyDescent="0.2">
      <c r="B42" s="48" t="s">
        <v>1201</v>
      </c>
      <c r="AR42" s="183">
        <f>AR38-AR41</f>
        <v>-7.6094152626362738E-2</v>
      </c>
    </row>
    <row r="43" spans="2:62" x14ac:dyDescent="0.2">
      <c r="B43" s="48" t="s">
        <v>1199</v>
      </c>
      <c r="AR43" s="183">
        <v>4.7E-2</v>
      </c>
    </row>
    <row r="44" spans="2:62" x14ac:dyDescent="0.2">
      <c r="B44" s="48" t="s">
        <v>1202</v>
      </c>
      <c r="AR44" s="183">
        <f>AR40-AR43</f>
        <v>-0.13068915456874469</v>
      </c>
    </row>
    <row r="45" spans="2:62" x14ac:dyDescent="0.2">
      <c r="B45" s="48" t="s">
        <v>1458</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1459</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1460</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1461</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1462</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1463</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1226</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155</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278</v>
      </c>
      <c r="D2" s="62" t="s">
        <v>279</v>
      </c>
      <c r="E2" s="62" t="s">
        <v>280</v>
      </c>
      <c r="F2" s="62" t="s">
        <v>281</v>
      </c>
      <c r="G2" s="62" t="s">
        <v>282</v>
      </c>
      <c r="H2" s="62" t="s">
        <v>283</v>
      </c>
      <c r="I2" s="62" t="s">
        <v>284</v>
      </c>
      <c r="J2" s="62" t="s">
        <v>285</v>
      </c>
      <c r="K2" s="62" t="s">
        <v>286</v>
      </c>
      <c r="L2" s="62" t="s">
        <v>287</v>
      </c>
      <c r="M2" s="62" t="s">
        <v>288</v>
      </c>
      <c r="N2" s="62" t="s">
        <v>289</v>
      </c>
      <c r="O2" s="62" t="s">
        <v>290</v>
      </c>
      <c r="P2" s="62" t="s">
        <v>291</v>
      </c>
      <c r="Q2" s="62" t="s">
        <v>292</v>
      </c>
      <c r="R2" s="62" t="s">
        <v>293</v>
      </c>
      <c r="S2" s="62" t="s">
        <v>294</v>
      </c>
      <c r="T2" s="62" t="s">
        <v>295</v>
      </c>
      <c r="U2" s="62" t="s">
        <v>296</v>
      </c>
      <c r="V2" s="62" t="s">
        <v>297</v>
      </c>
      <c r="W2" s="62" t="s">
        <v>298</v>
      </c>
      <c r="X2" s="62" t="s">
        <v>299</v>
      </c>
      <c r="Y2" s="62" t="s">
        <v>300</v>
      </c>
      <c r="Z2" s="224"/>
      <c r="AA2" s="63">
        <v>2000</v>
      </c>
      <c r="AB2" s="225">
        <v>2001</v>
      </c>
      <c r="AC2" s="225">
        <v>2002</v>
      </c>
      <c r="AD2" s="225">
        <v>2003</v>
      </c>
      <c r="AE2" s="63">
        <v>2004</v>
      </c>
      <c r="AF2" s="63">
        <v>2005</v>
      </c>
      <c r="AG2" s="226">
        <v>2006</v>
      </c>
      <c r="AH2" s="226">
        <v>2007</v>
      </c>
      <c r="AI2" s="224"/>
      <c r="AJ2" s="224"/>
      <c r="AK2" s="224"/>
    </row>
    <row r="3" spans="1:37" x14ac:dyDescent="0.2">
      <c r="B3" s="58" t="s">
        <v>1278</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583</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1097</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583</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584</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1098</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583</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584</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235</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583</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584</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230</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583</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584</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334</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583</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584</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1086</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583</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584</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1084</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583</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584</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1090</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583</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584</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1099</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583</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584</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1100</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583</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584</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1190</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100</v>
      </c>
      <c r="C71" s="79">
        <f>+C72+C73</f>
        <v>950</v>
      </c>
      <c r="D71" s="79">
        <f>+D72+D73</f>
        <v>965</v>
      </c>
      <c r="E71" s="79"/>
      <c r="F71" s="79"/>
      <c r="G71" s="79"/>
      <c r="H71" s="79">
        <v>494</v>
      </c>
      <c r="I71" s="79"/>
      <c r="J71" s="79"/>
      <c r="K71" s="79"/>
      <c r="L71" s="79"/>
      <c r="M71" s="79"/>
      <c r="N71" s="79"/>
      <c r="O71" s="79"/>
      <c r="P71" s="79"/>
      <c r="Q71" s="79"/>
    </row>
    <row r="72" spans="2:17" x14ac:dyDescent="0.2">
      <c r="B72" s="77" t="s">
        <v>78</v>
      </c>
      <c r="C72" s="79">
        <v>550</v>
      </c>
      <c r="D72" s="79">
        <f>635-75</f>
        <v>560</v>
      </c>
      <c r="E72" s="92"/>
      <c r="F72" s="92"/>
      <c r="G72" s="92"/>
      <c r="H72" s="92">
        <v>261</v>
      </c>
      <c r="I72" s="92"/>
      <c r="J72" s="92"/>
      <c r="K72" s="92"/>
      <c r="L72" s="92"/>
      <c r="M72" s="92"/>
      <c r="N72" s="92"/>
      <c r="O72" s="92"/>
      <c r="P72" s="92"/>
      <c r="Q72" s="92"/>
    </row>
    <row r="73" spans="2:17" x14ac:dyDescent="0.2">
      <c r="B73" s="77" t="s">
        <v>79</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101</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78</v>
      </c>
      <c r="C76" s="79"/>
      <c r="D76" s="79"/>
      <c r="E76" s="92"/>
      <c r="F76" s="92"/>
      <c r="G76"/>
      <c r="H76" s="92"/>
      <c r="I76" s="92"/>
      <c r="J76" s="92"/>
      <c r="K76" s="92">
        <f>2+3</f>
        <v>5</v>
      </c>
      <c r="L76" s="92">
        <v>10</v>
      </c>
      <c r="M76" s="92">
        <v>16</v>
      </c>
      <c r="N76" s="92">
        <v>20</v>
      </c>
      <c r="O76" s="92">
        <v>25</v>
      </c>
      <c r="P76" s="92">
        <v>30</v>
      </c>
      <c r="Q76" s="92">
        <v>35</v>
      </c>
    </row>
    <row r="77" spans="2:17" x14ac:dyDescent="0.2">
      <c r="B77" s="77" t="s">
        <v>79</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1102</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78</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79</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102</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78</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79</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155</v>
      </c>
    </row>
    <row r="2" spans="1:32" ht="12.75" customHeight="1" x14ac:dyDescent="0.2">
      <c r="B2" s="110" t="s">
        <v>1008</v>
      </c>
    </row>
    <row r="3" spans="1:32" ht="12.75" customHeight="1" x14ac:dyDescent="0.2">
      <c r="B3" s="110" t="s">
        <v>1010</v>
      </c>
    </row>
    <row r="4" spans="1:32" ht="12.75" customHeight="1" x14ac:dyDescent="0.2">
      <c r="B4" s="110" t="s">
        <v>1011</v>
      </c>
    </row>
    <row r="6" spans="1:32" ht="12.75" customHeight="1" x14ac:dyDescent="0.2">
      <c r="B6" s="110" t="s">
        <v>1009</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92</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78</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79</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93</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78</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79</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94</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95</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583</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5703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155</v>
      </c>
    </row>
    <row r="2" spans="1:45" ht="13.5" customHeight="1" x14ac:dyDescent="0.2">
      <c r="C2" s="83">
        <v>1999</v>
      </c>
      <c r="D2" s="83">
        <v>2000</v>
      </c>
      <c r="E2" s="83">
        <v>2001</v>
      </c>
      <c r="F2" s="83">
        <v>2002</v>
      </c>
      <c r="G2" s="83">
        <v>2003</v>
      </c>
      <c r="H2" s="83">
        <v>2004</v>
      </c>
      <c r="I2" s="29" t="s">
        <v>768</v>
      </c>
      <c r="J2" s="29" t="s">
        <v>769</v>
      </c>
      <c r="K2" s="29" t="s">
        <v>770</v>
      </c>
      <c r="L2" s="29" t="s">
        <v>511</v>
      </c>
      <c r="N2" s="29" t="s">
        <v>974</v>
      </c>
      <c r="O2" s="29" t="s">
        <v>975</v>
      </c>
      <c r="P2" s="29" t="s">
        <v>976</v>
      </c>
      <c r="Q2" s="29" t="s">
        <v>977</v>
      </c>
      <c r="R2" s="29" t="s">
        <v>978</v>
      </c>
      <c r="S2" s="29" t="s">
        <v>979</v>
      </c>
      <c r="T2" s="29" t="s">
        <v>980</v>
      </c>
      <c r="U2" s="29" t="s">
        <v>981</v>
      </c>
      <c r="V2" s="29" t="s">
        <v>982</v>
      </c>
      <c r="W2" s="29" t="s">
        <v>983</v>
      </c>
      <c r="X2" s="29" t="s">
        <v>984</v>
      </c>
      <c r="Y2" s="29" t="s">
        <v>993</v>
      </c>
      <c r="Z2" s="29" t="s">
        <v>994</v>
      </c>
      <c r="AA2" s="29" t="s">
        <v>995</v>
      </c>
      <c r="AB2" s="29" t="s">
        <v>996</v>
      </c>
      <c r="AC2" s="29" t="s">
        <v>997</v>
      </c>
      <c r="AD2" s="29" t="s">
        <v>998</v>
      </c>
      <c r="AE2" s="29" t="s">
        <v>999</v>
      </c>
      <c r="AF2" s="29" t="s">
        <v>1000</v>
      </c>
      <c r="AG2" s="29" t="s">
        <v>1001</v>
      </c>
      <c r="AH2" s="29" t="s">
        <v>827</v>
      </c>
      <c r="AI2" s="29" t="s">
        <v>828</v>
      </c>
      <c r="AJ2" s="29" t="s">
        <v>829</v>
      </c>
      <c r="AK2" s="29" t="s">
        <v>830</v>
      </c>
      <c r="AL2" s="29" t="s">
        <v>831</v>
      </c>
      <c r="AM2" s="29" t="s">
        <v>832</v>
      </c>
      <c r="AN2" s="29" t="s">
        <v>41</v>
      </c>
      <c r="AO2" s="29" t="s">
        <v>833</v>
      </c>
      <c r="AP2" s="29" t="s">
        <v>880</v>
      </c>
      <c r="AQ2" s="29" t="s">
        <v>881</v>
      </c>
      <c r="AR2" s="29" t="s">
        <v>882</v>
      </c>
      <c r="AS2" s="29" t="s">
        <v>883</v>
      </c>
    </row>
    <row r="3" spans="1:45" ht="13.5" customHeight="1" x14ac:dyDescent="0.2">
      <c r="B3" s="38" t="s">
        <v>1246</v>
      </c>
      <c r="C3" s="29">
        <f>D3/1.057</f>
        <v>999.34432304941652</v>
      </c>
      <c r="D3" s="29">
        <v>1056.3069494632332</v>
      </c>
      <c r="R3" s="29">
        <v>264.49937629937631</v>
      </c>
      <c r="S3" s="29">
        <v>258.70371346956711</v>
      </c>
      <c r="T3" s="29">
        <v>259.68214285714288</v>
      </c>
      <c r="U3" s="29">
        <v>273.74224021592443</v>
      </c>
    </row>
    <row r="4" spans="1:45" ht="13.5" customHeight="1" x14ac:dyDescent="0.2">
      <c r="B4" s="82" t="s">
        <v>618</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826</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969</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970</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971</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42</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43</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44</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618</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826</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972</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973</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45</v>
      </c>
    </row>
    <row r="19" spans="2:45" ht="13.5" customHeight="1" x14ac:dyDescent="0.2">
      <c r="B19" s="82" t="s">
        <v>46</v>
      </c>
    </row>
    <row r="20" spans="2:45" ht="13.5" customHeight="1" x14ac:dyDescent="0.2">
      <c r="B20" s="82" t="s">
        <v>47</v>
      </c>
    </row>
    <row r="22" spans="2:45" ht="13.5" customHeight="1" x14ac:dyDescent="0.2">
      <c r="B22" s="82" t="s">
        <v>48</v>
      </c>
    </row>
    <row r="23" spans="2:45" ht="13.5" customHeight="1" x14ac:dyDescent="0.2">
      <c r="B23" s="82" t="s">
        <v>1247</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45"/>
      <c r="B2" s="45">
        <v>2002</v>
      </c>
      <c r="C2" s="45">
        <v>2003</v>
      </c>
      <c r="D2" s="45">
        <v>2004</v>
      </c>
      <c r="E2" s="46" t="s">
        <v>768</v>
      </c>
      <c r="F2" s="46" t="s">
        <v>769</v>
      </c>
      <c r="G2" s="46" t="s">
        <v>770</v>
      </c>
      <c r="H2" s="47" t="s">
        <v>511</v>
      </c>
    </row>
    <row r="3" spans="1:31" x14ac:dyDescent="0.2">
      <c r="A3" t="s">
        <v>1087</v>
      </c>
      <c r="B3">
        <v>23.6</v>
      </c>
      <c r="C3">
        <v>34.119999999999997</v>
      </c>
      <c r="D3">
        <v>67.930000000000007</v>
      </c>
      <c r="E3" t="s">
        <v>1088</v>
      </c>
    </row>
    <row r="5" spans="1:31" x14ac:dyDescent="0.2">
      <c r="B5" t="s">
        <v>1089</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1086</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78</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79</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155</v>
      </c>
    </row>
    <row r="2" spans="1:32" ht="12.75" customHeight="1" x14ac:dyDescent="0.2">
      <c r="B2" s="70"/>
      <c r="C2" s="158"/>
      <c r="D2" s="158"/>
      <c r="E2" s="158"/>
      <c r="F2" s="158"/>
      <c r="G2" s="158"/>
      <c r="H2" s="158"/>
      <c r="I2" s="158"/>
    </row>
    <row r="3" spans="1:32" ht="12.75" customHeight="1" x14ac:dyDescent="0.2">
      <c r="B3" t="s">
        <v>1405</v>
      </c>
    </row>
    <row r="4" spans="1:32" ht="12.75" customHeight="1" x14ac:dyDescent="0.2">
      <c r="B4" t="s">
        <v>1091</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1101</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78</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79</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5" t="s">
        <v>155</v>
      </c>
    </row>
    <row r="2" spans="1:12" x14ac:dyDescent="0.2">
      <c r="A2" s="5"/>
      <c r="B2" s="93" t="s">
        <v>1320</v>
      </c>
    </row>
    <row r="3" spans="1:12" x14ac:dyDescent="0.2">
      <c r="A3" s="5"/>
      <c r="B3" s="93" t="s">
        <v>1321</v>
      </c>
    </row>
    <row r="4" spans="1:12" x14ac:dyDescent="0.2">
      <c r="A4" s="5"/>
      <c r="B4" s="93" t="s">
        <v>1874</v>
      </c>
    </row>
    <row r="5" spans="1:12" x14ac:dyDescent="0.2">
      <c r="A5" s="5"/>
    </row>
    <row r="6" spans="1:12" x14ac:dyDescent="0.2">
      <c r="A6" s="5"/>
      <c r="B6" s="93" t="s">
        <v>1322</v>
      </c>
    </row>
    <row r="7" spans="1:12" x14ac:dyDescent="0.2">
      <c r="A7" s="5"/>
      <c r="B7" s="93" t="s">
        <v>1317</v>
      </c>
    </row>
    <row r="8" spans="1:12" x14ac:dyDescent="0.2">
      <c r="A8" s="5"/>
      <c r="B8" s="93" t="s">
        <v>1318</v>
      </c>
    </row>
    <row r="9" spans="1:12" x14ac:dyDescent="0.2">
      <c r="A9" s="5"/>
      <c r="B9" s="93" t="s">
        <v>1319</v>
      </c>
    </row>
    <row r="10" spans="1:12" x14ac:dyDescent="0.2">
      <c r="A10" s="5"/>
      <c r="B10" s="93" t="s">
        <v>1398</v>
      </c>
    </row>
    <row r="11" spans="1:12" x14ac:dyDescent="0.2">
      <c r="A11" s="5"/>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1103</v>
      </c>
      <c r="C13" s="250"/>
      <c r="D13" s="250"/>
      <c r="E13" s="250"/>
      <c r="F13" s="250"/>
      <c r="G13" s="250"/>
      <c r="H13" s="250"/>
      <c r="I13" s="250"/>
      <c r="J13" s="177"/>
      <c r="K13" s="177"/>
      <c r="L13" s="177"/>
    </row>
    <row r="14" spans="1:12" s="96" customFormat="1" x14ac:dyDescent="0.2">
      <c r="B14" s="96" t="s">
        <v>1104</v>
      </c>
      <c r="C14" s="250">
        <f>'MD&amp;D'!AC6</f>
        <v>344.5</v>
      </c>
      <c r="D14" s="250">
        <f>'MD&amp;D'!AD6</f>
        <v>524</v>
      </c>
      <c r="E14" s="250">
        <f>'MD&amp;D'!AE6</f>
        <v>654.20000000000005</v>
      </c>
      <c r="F14" s="250"/>
      <c r="G14" s="250"/>
      <c r="H14" s="250"/>
      <c r="I14" s="250"/>
      <c r="J14" s="177"/>
      <c r="K14" s="177"/>
      <c r="L14" s="177"/>
    </row>
    <row r="15" spans="1:12" s="96" customFormat="1" x14ac:dyDescent="0.2">
      <c r="B15" s="96" t="s">
        <v>1105</v>
      </c>
      <c r="C15" s="250">
        <f>'MD&amp;D'!AC9</f>
        <v>155</v>
      </c>
      <c r="D15" s="250">
        <f>'MD&amp;D'!AD9</f>
        <v>0</v>
      </c>
      <c r="E15" s="250">
        <f>'MD&amp;D'!AE9</f>
        <v>0</v>
      </c>
      <c r="F15" s="250"/>
      <c r="G15" s="250"/>
      <c r="H15" s="250"/>
      <c r="I15" s="250"/>
      <c r="J15" s="177"/>
      <c r="K15" s="177"/>
      <c r="L15" s="177"/>
    </row>
    <row r="16" spans="1:12" s="96" customFormat="1" x14ac:dyDescent="0.2">
      <c r="B16" s="96" t="s">
        <v>1106</v>
      </c>
      <c r="C16" s="250"/>
      <c r="D16" s="250"/>
      <c r="E16" s="250"/>
      <c r="F16" s="250">
        <v>2602</v>
      </c>
      <c r="G16" s="250">
        <v>2905</v>
      </c>
      <c r="H16" s="250">
        <v>2599</v>
      </c>
      <c r="I16" s="250">
        <v>1864</v>
      </c>
      <c r="J16" s="250">
        <v>1420</v>
      </c>
      <c r="K16" s="250">
        <v>1283</v>
      </c>
      <c r="L16" s="177"/>
    </row>
    <row r="17" spans="2:12" s="96" customFormat="1" x14ac:dyDescent="0.2">
      <c r="B17" s="96" t="s">
        <v>1107</v>
      </c>
      <c r="C17" s="250">
        <f>'MD&amp;D'!AC7</f>
        <v>738.8</v>
      </c>
      <c r="D17" s="250">
        <f>'MD&amp;D'!AD7</f>
        <v>1120</v>
      </c>
      <c r="E17" s="250">
        <f>'MD&amp;D'!AE7</f>
        <v>1301.3000000000002</v>
      </c>
      <c r="F17" s="250"/>
      <c r="G17" s="250"/>
      <c r="H17" s="250"/>
      <c r="I17" s="250"/>
      <c r="J17" s="177"/>
      <c r="K17" s="177"/>
      <c r="L17" s="177"/>
    </row>
    <row r="18" spans="2:12" s="96" customFormat="1" x14ac:dyDescent="0.2">
      <c r="B18" s="96" t="s">
        <v>1108</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1109</v>
      </c>
      <c r="C20" s="250"/>
      <c r="D20" s="250"/>
      <c r="E20" s="250"/>
      <c r="F20" s="250"/>
      <c r="G20" s="250" t="s">
        <v>1110</v>
      </c>
      <c r="H20" s="250"/>
      <c r="I20" s="250"/>
      <c r="J20" s="177"/>
      <c r="K20" s="177"/>
      <c r="L20" s="177"/>
    </row>
    <row r="21" spans="2:12" s="96" customFormat="1" x14ac:dyDescent="0.2">
      <c r="B21" s="96" t="s">
        <v>1111</v>
      </c>
      <c r="C21" s="250"/>
      <c r="D21" s="250"/>
      <c r="E21" s="250"/>
      <c r="F21" s="250"/>
      <c r="G21" s="251" t="s">
        <v>1112</v>
      </c>
      <c r="H21" s="251"/>
      <c r="I21" s="251"/>
      <c r="J21" s="177"/>
      <c r="K21" s="177"/>
      <c r="L21" s="177"/>
    </row>
    <row r="22" spans="2:12" s="96" customFormat="1" x14ac:dyDescent="0.2">
      <c r="B22" s="96" t="s">
        <v>1113</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1114</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33</v>
      </c>
    </row>
    <row r="40" spans="2:3" x14ac:dyDescent="0.2">
      <c r="B40" s="93" t="s">
        <v>34</v>
      </c>
    </row>
    <row r="41" spans="2:3" x14ac:dyDescent="0.2">
      <c r="B41" s="93" t="s">
        <v>35</v>
      </c>
    </row>
    <row r="42" spans="2:3" x14ac:dyDescent="0.2">
      <c r="B42" s="93" t="s">
        <v>36</v>
      </c>
    </row>
    <row r="44" spans="2:3" x14ac:dyDescent="0.2">
      <c r="B44" s="9" t="s">
        <v>37</v>
      </c>
    </row>
    <row r="45" spans="2:3" x14ac:dyDescent="0.2">
      <c r="B45" s="93" t="s">
        <v>38</v>
      </c>
    </row>
    <row r="46" spans="2:3" x14ac:dyDescent="0.2">
      <c r="B46" s="93" t="s">
        <v>39</v>
      </c>
    </row>
    <row r="47" spans="2:3" x14ac:dyDescent="0.2">
      <c r="B47" s="93" t="s">
        <v>40</v>
      </c>
    </row>
    <row r="48" spans="2:3" x14ac:dyDescent="0.2">
      <c r="B48" s="13" t="s">
        <v>887</v>
      </c>
    </row>
    <row r="50" spans="1:31" x14ac:dyDescent="0.2">
      <c r="B50" s="30" t="s">
        <v>888</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228</v>
      </c>
      <c r="B55" s="198"/>
      <c r="C55" s="198"/>
      <c r="D55" s="336"/>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96</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78</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79</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97</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78</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79</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98</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78</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79</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99</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78</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79</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1098</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78</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79</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155</v>
      </c>
    </row>
    <row r="2" spans="1:32" x14ac:dyDescent="0.2">
      <c r="A2" s="5"/>
      <c r="B2" s="93" t="s">
        <v>130</v>
      </c>
    </row>
    <row r="3" spans="1:32" x14ac:dyDescent="0.2">
      <c r="B3" s="93" t="s">
        <v>1404</v>
      </c>
    </row>
    <row r="4" spans="1:32" x14ac:dyDescent="0.2">
      <c r="B4" s="93" t="s">
        <v>131</v>
      </c>
    </row>
    <row r="5" spans="1:32" x14ac:dyDescent="0.2">
      <c r="B5" s="93" t="s">
        <v>133</v>
      </c>
    </row>
    <row r="6" spans="1:32" x14ac:dyDescent="0.2">
      <c r="B6" s="93" t="s">
        <v>132</v>
      </c>
    </row>
    <row r="7" spans="1:32" x14ac:dyDescent="0.2">
      <c r="B7" s="4" t="s">
        <v>1498</v>
      </c>
    </row>
    <row r="10" spans="1:32" x14ac:dyDescent="0.2">
      <c r="B10" s="93" t="s">
        <v>49</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84</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85</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78</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79</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86</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78</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79</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88</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78</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79</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89</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78</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79</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90</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78</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79</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91</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78</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79</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1501</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RowHeight="12.75" x14ac:dyDescent="0.2"/>
  <sheetData>
    <row r="1" spans="1:8" x14ac:dyDescent="0.2">
      <c r="A1" s="264" t="s">
        <v>1559</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155</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1132</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50</v>
      </c>
    </row>
    <row r="6" spans="1:32" x14ac:dyDescent="0.2">
      <c r="C6" t="s">
        <v>1133</v>
      </c>
    </row>
    <row r="7" spans="1:32" x14ac:dyDescent="0.2">
      <c r="C7" t="s">
        <v>1136</v>
      </c>
    </row>
    <row r="8" spans="1:32" x14ac:dyDescent="0.2">
      <c r="C8" t="s">
        <v>1135</v>
      </c>
    </row>
    <row r="10" spans="1:32" x14ac:dyDescent="0.2">
      <c r="C10" t="s">
        <v>1283</v>
      </c>
    </row>
    <row r="12" spans="1:32" x14ac:dyDescent="0.2">
      <c r="B12" s="80" t="s">
        <v>1189</v>
      </c>
    </row>
    <row r="13" spans="1:32" x14ac:dyDescent="0.2">
      <c r="B13" s="77" t="s">
        <v>77</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78</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79</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80</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78</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79</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81</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78</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79</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82</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78</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79</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83</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78</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79</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5703125" style="38" customWidth="1"/>
    <col min="11" max="208" width="7.5703125" style="38" customWidth="1"/>
    <col min="209" max="16384" width="8" style="38"/>
  </cols>
  <sheetData>
    <row r="1" spans="1:3" x14ac:dyDescent="0.2">
      <c r="A1" s="5" t="s">
        <v>155</v>
      </c>
    </row>
    <row r="2" spans="1:3" x14ac:dyDescent="0.2">
      <c r="B2" s="38" t="s">
        <v>486</v>
      </c>
      <c r="C2" s="38" t="s">
        <v>1163</v>
      </c>
    </row>
    <row r="3" spans="1:3" x14ac:dyDescent="0.2">
      <c r="B3" s="38" t="s">
        <v>164</v>
      </c>
      <c r="C3" s="38" t="s">
        <v>884</v>
      </c>
    </row>
    <row r="4" spans="1:3" x14ac:dyDescent="0.2">
      <c r="C4" s="38" t="s">
        <v>885</v>
      </c>
    </row>
    <row r="5" spans="1:3" x14ac:dyDescent="0.2">
      <c r="B5" s="38" t="s">
        <v>886</v>
      </c>
      <c r="C5" s="38" t="s">
        <v>896</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76" customWidth="1"/>
  </cols>
  <sheetData>
    <row r="1" spans="1:6" x14ac:dyDescent="0.2">
      <c r="A1" s="2" t="s">
        <v>155</v>
      </c>
    </row>
    <row r="2" spans="1:6" x14ac:dyDescent="0.2">
      <c r="A2" s="2"/>
      <c r="B2" t="s">
        <v>159</v>
      </c>
      <c r="C2" s="76" t="s">
        <v>157</v>
      </c>
      <c r="D2" s="76" t="s">
        <v>1119</v>
      </c>
      <c r="E2" t="s">
        <v>118</v>
      </c>
    </row>
    <row r="3" spans="1:6" x14ac:dyDescent="0.2">
      <c r="A3" s="2"/>
      <c r="B3" t="s">
        <v>1499</v>
      </c>
      <c r="E3" t="s">
        <v>1500</v>
      </c>
    </row>
    <row r="4" spans="1:6" x14ac:dyDescent="0.2">
      <c r="A4" s="2"/>
      <c r="B4" t="s">
        <v>1396</v>
      </c>
      <c r="C4" s="163">
        <v>40330</v>
      </c>
      <c r="E4" t="s">
        <v>1397</v>
      </c>
    </row>
    <row r="5" spans="1:6" x14ac:dyDescent="0.2">
      <c r="A5" s="2"/>
      <c r="B5" t="s">
        <v>1298</v>
      </c>
      <c r="C5" s="163">
        <v>40096</v>
      </c>
      <c r="D5" s="234" t="s">
        <v>1299</v>
      </c>
      <c r="E5" t="s">
        <v>1300</v>
      </c>
    </row>
    <row r="6" spans="1:6" x14ac:dyDescent="0.2">
      <c r="A6" s="2"/>
      <c r="B6" t="s">
        <v>1117</v>
      </c>
      <c r="D6" s="76" t="s">
        <v>1125</v>
      </c>
      <c r="E6" t="s">
        <v>1126</v>
      </c>
    </row>
    <row r="7" spans="1:6" x14ac:dyDescent="0.2">
      <c r="A7" s="2"/>
      <c r="B7" t="s">
        <v>1118</v>
      </c>
    </row>
    <row r="8" spans="1:6" x14ac:dyDescent="0.2">
      <c r="A8" s="2"/>
      <c r="B8" t="s">
        <v>1116</v>
      </c>
    </row>
    <row r="9" spans="1:6" x14ac:dyDescent="0.2">
      <c r="A9" s="2"/>
      <c r="B9" t="s">
        <v>889</v>
      </c>
      <c r="E9" t="s">
        <v>890</v>
      </c>
    </row>
    <row r="10" spans="1:6" x14ac:dyDescent="0.2">
      <c r="A10" s="2"/>
      <c r="B10" t="s">
        <v>1134</v>
      </c>
    </row>
    <row r="11" spans="1:6" x14ac:dyDescent="0.2">
      <c r="A11" s="2"/>
      <c r="B11" t="s">
        <v>51</v>
      </c>
      <c r="C11" s="163">
        <v>39114</v>
      </c>
      <c r="D11" s="163"/>
      <c r="E11" t="s">
        <v>52</v>
      </c>
    </row>
    <row r="12" spans="1:6" x14ac:dyDescent="0.2">
      <c r="A12" s="2"/>
      <c r="B12" s="1" t="s">
        <v>53</v>
      </c>
      <c r="C12" s="165">
        <v>39071</v>
      </c>
      <c r="D12" s="165"/>
      <c r="E12" s="1"/>
      <c r="F12" s="1"/>
    </row>
    <row r="13" spans="1:6" x14ac:dyDescent="0.2">
      <c r="A13" s="2"/>
      <c r="B13" t="s">
        <v>54</v>
      </c>
      <c r="C13" s="76" t="s">
        <v>55</v>
      </c>
      <c r="E13" t="s">
        <v>56</v>
      </c>
    </row>
    <row r="14" spans="1:6" x14ac:dyDescent="0.2">
      <c r="A14" s="2"/>
      <c r="B14" t="s">
        <v>57</v>
      </c>
      <c r="D14" s="76" t="s">
        <v>1301</v>
      </c>
      <c r="E14" t="s">
        <v>1302</v>
      </c>
    </row>
    <row r="15" spans="1:6" x14ac:dyDescent="0.2">
      <c r="A15" s="2"/>
      <c r="B15" t="s">
        <v>58</v>
      </c>
      <c r="C15" s="76" t="s">
        <v>59</v>
      </c>
      <c r="E15" t="s">
        <v>60</v>
      </c>
    </row>
    <row r="16" spans="1:6" x14ac:dyDescent="0.2">
      <c r="A16" s="2"/>
      <c r="B16" t="s">
        <v>61</v>
      </c>
      <c r="E16" t="s">
        <v>62</v>
      </c>
    </row>
    <row r="17" spans="2:6" x14ac:dyDescent="0.2">
      <c r="B17" t="s">
        <v>1122</v>
      </c>
      <c r="C17" s="163">
        <v>38769</v>
      </c>
      <c r="D17" s="163" t="s">
        <v>1124</v>
      </c>
      <c r="E17" t="s">
        <v>1123</v>
      </c>
    </row>
    <row r="18" spans="2:6" x14ac:dyDescent="0.2">
      <c r="B18" t="s">
        <v>63</v>
      </c>
      <c r="E18" t="s">
        <v>64</v>
      </c>
    </row>
    <row r="19" spans="2:6" x14ac:dyDescent="0.2">
      <c r="B19" t="s">
        <v>65</v>
      </c>
      <c r="E19" t="s">
        <v>66</v>
      </c>
    </row>
    <row r="20" spans="2:6" x14ac:dyDescent="0.2">
      <c r="B20" s="1" t="s">
        <v>113</v>
      </c>
      <c r="C20" s="166" t="s">
        <v>117</v>
      </c>
      <c r="D20" s="166"/>
      <c r="E20" s="1" t="s">
        <v>114</v>
      </c>
      <c r="F20" s="1"/>
    </row>
    <row r="21" spans="2:6" x14ac:dyDescent="0.2">
      <c r="B21" t="s">
        <v>67</v>
      </c>
      <c r="E21" t="s">
        <v>68</v>
      </c>
    </row>
    <row r="22" spans="2:6" x14ac:dyDescent="0.2">
      <c r="B22" t="s">
        <v>69</v>
      </c>
      <c r="C22" s="76">
        <v>2005</v>
      </c>
      <c r="D22" s="76" t="s">
        <v>1120</v>
      </c>
      <c r="E22" t="s">
        <v>1115</v>
      </c>
    </row>
    <row r="23" spans="2:6" x14ac:dyDescent="0.2">
      <c r="B23" t="s">
        <v>70</v>
      </c>
      <c r="C23" s="76">
        <v>2005</v>
      </c>
      <c r="E23" t="s">
        <v>1130</v>
      </c>
    </row>
    <row r="24" spans="2:6" x14ac:dyDescent="0.2">
      <c r="B24" t="s">
        <v>71</v>
      </c>
      <c r="E24" t="s">
        <v>72</v>
      </c>
    </row>
    <row r="25" spans="2:6" x14ac:dyDescent="0.2">
      <c r="B25" t="s">
        <v>109</v>
      </c>
      <c r="C25" s="164">
        <v>37653</v>
      </c>
      <c r="D25" s="164"/>
      <c r="E25" t="s">
        <v>112</v>
      </c>
    </row>
    <row r="26" spans="2:6" x14ac:dyDescent="0.2">
      <c r="B26" t="s">
        <v>110</v>
      </c>
      <c r="C26" s="164">
        <v>37712</v>
      </c>
      <c r="D26" s="164"/>
      <c r="E26" t="s">
        <v>111</v>
      </c>
    </row>
    <row r="27" spans="2:6" x14ac:dyDescent="0.2">
      <c r="B27" s="1" t="s">
        <v>115</v>
      </c>
      <c r="C27" s="166"/>
      <c r="D27" s="166"/>
      <c r="E27" s="1"/>
    </row>
    <row r="28" spans="2:6" x14ac:dyDescent="0.2">
      <c r="B28" t="s">
        <v>119</v>
      </c>
    </row>
    <row r="29" spans="2:6" x14ac:dyDescent="0.2">
      <c r="B29" t="s">
        <v>437</v>
      </c>
      <c r="C29" s="76">
        <v>2002</v>
      </c>
      <c r="E29" t="s">
        <v>1129</v>
      </c>
    </row>
    <row r="30" spans="2:6" x14ac:dyDescent="0.2">
      <c r="B30" s="1" t="s">
        <v>120</v>
      </c>
      <c r="C30" s="166"/>
      <c r="D30" s="166"/>
      <c r="E30" s="1"/>
    </row>
    <row r="31" spans="2:6" x14ac:dyDescent="0.2">
      <c r="B31" t="s">
        <v>1312</v>
      </c>
    </row>
    <row r="32" spans="2:6" x14ac:dyDescent="0.2">
      <c r="B32" t="s">
        <v>1313</v>
      </c>
    </row>
    <row r="33" spans="2:2" x14ac:dyDescent="0.2">
      <c r="B33" t="s">
        <v>1314</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155</v>
      </c>
    </row>
    <row r="2" spans="1:3" x14ac:dyDescent="0.2">
      <c r="B2" s="93" t="s">
        <v>486</v>
      </c>
      <c r="C2" s="94" t="s">
        <v>205</v>
      </c>
    </row>
    <row r="3" spans="1:3" x14ac:dyDescent="0.2">
      <c r="B3" s="93" t="s">
        <v>487</v>
      </c>
      <c r="C3" s="94" t="s">
        <v>1147</v>
      </c>
    </row>
    <row r="4" spans="1:3" x14ac:dyDescent="0.2">
      <c r="B4" s="93" t="s">
        <v>496</v>
      </c>
      <c r="C4" s="94" t="s">
        <v>1148</v>
      </c>
    </row>
    <row r="5" spans="1:3" x14ac:dyDescent="0.2">
      <c r="B5" s="93" t="s">
        <v>489</v>
      </c>
      <c r="C5" s="169" t="s">
        <v>1149</v>
      </c>
    </row>
    <row r="6" spans="1:3" x14ac:dyDescent="0.2">
      <c r="B6" s="93" t="s">
        <v>490</v>
      </c>
      <c r="C6" s="94" t="s">
        <v>788</v>
      </c>
    </row>
    <row r="7" spans="1:3" x14ac:dyDescent="0.2">
      <c r="C7" s="94" t="s">
        <v>789</v>
      </c>
    </row>
    <row r="8" spans="1:3" x14ac:dyDescent="0.2">
      <c r="C8" s="94" t="s">
        <v>790</v>
      </c>
    </row>
    <row r="9" spans="1:3" x14ac:dyDescent="0.2">
      <c r="B9" s="93" t="s">
        <v>164</v>
      </c>
      <c r="C9" s="115" t="s">
        <v>1187</v>
      </c>
    </row>
    <row r="10" spans="1:3" x14ac:dyDescent="0.2">
      <c r="C10" s="31" t="s">
        <v>1188</v>
      </c>
    </row>
    <row r="11" spans="1:3" x14ac:dyDescent="0.2">
      <c r="B11" s="93" t="s">
        <v>772</v>
      </c>
      <c r="C11" s="31" t="s">
        <v>221</v>
      </c>
    </row>
    <row r="12" spans="1:3" x14ac:dyDescent="0.2">
      <c r="B12" s="93" t="s">
        <v>166</v>
      </c>
      <c r="C12" s="94" t="s">
        <v>680</v>
      </c>
    </row>
    <row r="13" spans="1:3" x14ac:dyDescent="0.2">
      <c r="B13" s="93" t="s">
        <v>532</v>
      </c>
    </row>
    <row r="14" spans="1:3" x14ac:dyDescent="0.2">
      <c r="C14" s="32" t="s">
        <v>560</v>
      </c>
    </row>
    <row r="15" spans="1:3" x14ac:dyDescent="0.2">
      <c r="C15" s="94" t="s">
        <v>561</v>
      </c>
    </row>
    <row r="16" spans="1:3" x14ac:dyDescent="0.2">
      <c r="C16" s="94" t="s">
        <v>562</v>
      </c>
    </row>
    <row r="18" spans="3:3" x14ac:dyDescent="0.2">
      <c r="C18" s="32" t="s">
        <v>558</v>
      </c>
    </row>
    <row r="19" spans="3:3" x14ac:dyDescent="0.2">
      <c r="C19" s="94" t="s">
        <v>559</v>
      </c>
    </row>
    <row r="21" spans="3:3" x14ac:dyDescent="0.2">
      <c r="C21" s="32" t="s">
        <v>151</v>
      </c>
    </row>
    <row r="22" spans="3:3" x14ac:dyDescent="0.2">
      <c r="C22" s="93" t="s">
        <v>563</v>
      </c>
    </row>
    <row r="23" spans="3:3" x14ac:dyDescent="0.2">
      <c r="C23" s="93" t="s">
        <v>798</v>
      </c>
    </row>
    <row r="24" spans="3:3" x14ac:dyDescent="0.2">
      <c r="C24" s="93" t="s">
        <v>799</v>
      </c>
    </row>
    <row r="25" spans="3:3" x14ac:dyDescent="0.2">
      <c r="C25" s="93" t="s">
        <v>557</v>
      </c>
    </row>
    <row r="26" spans="3:3" x14ac:dyDescent="0.2">
      <c r="C26" s="93" t="s">
        <v>800</v>
      </c>
    </row>
    <row r="28" spans="3:3" x14ac:dyDescent="0.2">
      <c r="C28" s="32" t="s">
        <v>804</v>
      </c>
    </row>
    <row r="29" spans="3:3" x14ac:dyDescent="0.2">
      <c r="C29" s="94" t="s">
        <v>152</v>
      </c>
    </row>
    <row r="30" spans="3:3" x14ac:dyDescent="0.2">
      <c r="C30" s="94" t="s">
        <v>805</v>
      </c>
    </row>
    <row r="32" spans="3:3" x14ac:dyDescent="0.2">
      <c r="C32" s="32" t="s">
        <v>801</v>
      </c>
    </row>
    <row r="33" spans="2:12" x14ac:dyDescent="0.2">
      <c r="C33" s="94" t="s">
        <v>802</v>
      </c>
    </row>
    <row r="34" spans="2:12" x14ac:dyDescent="0.2">
      <c r="C34" s="94" t="s">
        <v>803</v>
      </c>
    </row>
    <row r="36" spans="2:12" x14ac:dyDescent="0.2">
      <c r="C36" s="32" t="s">
        <v>150</v>
      </c>
    </row>
    <row r="37" spans="2:12" x14ac:dyDescent="0.2">
      <c r="C37" s="94" t="s">
        <v>791</v>
      </c>
    </row>
    <row r="38" spans="2:12" x14ac:dyDescent="0.2">
      <c r="C38" s="94" t="s">
        <v>792</v>
      </c>
    </row>
    <row r="39" spans="2:12" x14ac:dyDescent="0.2">
      <c r="C39" s="94" t="s">
        <v>793</v>
      </c>
    </row>
    <row r="40" spans="2:12" x14ac:dyDescent="0.2">
      <c r="C40" s="94" t="s">
        <v>794</v>
      </c>
    </row>
    <row r="41" spans="2:12" x14ac:dyDescent="0.2">
      <c r="C41" s="94" t="s">
        <v>796</v>
      </c>
    </row>
    <row r="42" spans="2:12" x14ac:dyDescent="0.2">
      <c r="C42" s="94" t="s">
        <v>797</v>
      </c>
    </row>
    <row r="45" spans="2:12" x14ac:dyDescent="0.2">
      <c r="B45" s="101" t="s">
        <v>153</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365</v>
      </c>
      <c r="D46" s="97" t="e">
        <f>#REF!</f>
        <v>#REF!</v>
      </c>
      <c r="E46" s="97" t="e">
        <f>#REF!</f>
        <v>#REF!</v>
      </c>
      <c r="F46" s="97" t="e">
        <f>#REF!</f>
        <v>#REF!</v>
      </c>
      <c r="G46" s="97" t="e">
        <f>#REF!</f>
        <v>#REF!</v>
      </c>
      <c r="H46" s="97" t="e">
        <f>#REF!</f>
        <v>#REF!</v>
      </c>
      <c r="I46" s="97"/>
      <c r="J46" s="97"/>
      <c r="K46" s="97"/>
      <c r="L46" s="98"/>
    </row>
    <row r="47" spans="2:12" x14ac:dyDescent="0.2">
      <c r="B47" s="93" t="s">
        <v>366</v>
      </c>
      <c r="C47" s="93"/>
      <c r="D47" s="97" t="e">
        <f>#REF!</f>
        <v>#REF!</v>
      </c>
      <c r="E47" s="97" t="e">
        <f>#REF!</f>
        <v>#REF!</v>
      </c>
      <c r="F47" s="97" t="e">
        <f>#REF!</f>
        <v>#REF!</v>
      </c>
      <c r="G47" s="97" t="e">
        <f>#REF!</f>
        <v>#REF!</v>
      </c>
      <c r="H47" s="97" t="e">
        <f>#REF!</f>
        <v>#REF!</v>
      </c>
      <c r="I47" s="97"/>
      <c r="J47" s="97"/>
      <c r="K47" s="97"/>
      <c r="L47" s="95"/>
    </row>
    <row r="48" spans="2:12" x14ac:dyDescent="0.2">
      <c r="B48" s="9" t="s">
        <v>364</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4" customWidth="1"/>
    <col min="2" max="2" width="13.5703125" style="4" customWidth="1"/>
    <col min="3" max="3" width="7" style="6" customWidth="1"/>
    <col min="4" max="12" width="5.28515625" style="6" customWidth="1"/>
    <col min="13" max="18" width="5.28515625" style="4" customWidth="1"/>
    <col min="19" max="16384" width="9.140625" style="4"/>
  </cols>
  <sheetData>
    <row r="1" spans="1:15" x14ac:dyDescent="0.2">
      <c r="A1" s="5" t="s">
        <v>155</v>
      </c>
    </row>
    <row r="2" spans="1:15" x14ac:dyDescent="0.2">
      <c r="A2" s="5"/>
      <c r="B2" s="4" t="s">
        <v>486</v>
      </c>
      <c r="C2" s="4" t="s">
        <v>771</v>
      </c>
    </row>
    <row r="3" spans="1:15" x14ac:dyDescent="0.2">
      <c r="A3" s="5"/>
      <c r="B3" s="4" t="s">
        <v>487</v>
      </c>
      <c r="C3" s="4" t="s">
        <v>1141</v>
      </c>
    </row>
    <row r="4" spans="1:15" x14ac:dyDescent="0.2">
      <c r="A4" s="5"/>
      <c r="B4" s="4" t="s">
        <v>160</v>
      </c>
      <c r="C4" s="4" t="s">
        <v>1142</v>
      </c>
    </row>
    <row r="5" spans="1:15" x14ac:dyDescent="0.2">
      <c r="A5" s="5"/>
      <c r="B5" s="4" t="s">
        <v>496</v>
      </c>
      <c r="C5" s="4" t="s">
        <v>171</v>
      </c>
    </row>
    <row r="6" spans="1:15" x14ac:dyDescent="0.2">
      <c r="A6" s="5"/>
      <c r="B6" s="4" t="s">
        <v>490</v>
      </c>
      <c r="C6" s="4" t="s">
        <v>202</v>
      </c>
    </row>
    <row r="7" spans="1:15" x14ac:dyDescent="0.2">
      <c r="A7" s="5"/>
      <c r="B7" s="4" t="s">
        <v>772</v>
      </c>
      <c r="C7" s="27" t="s">
        <v>773</v>
      </c>
    </row>
    <row r="8" spans="1:15" x14ac:dyDescent="0.2">
      <c r="A8" s="5"/>
      <c r="B8" s="4" t="s">
        <v>905</v>
      </c>
      <c r="C8" s="28" t="s">
        <v>1191</v>
      </c>
    </row>
    <row r="9" spans="1:15" x14ac:dyDescent="0.2">
      <c r="A9" s="5"/>
      <c r="B9" s="4" t="s">
        <v>164</v>
      </c>
      <c r="C9" s="28" t="s">
        <v>775</v>
      </c>
    </row>
    <row r="10" spans="1:15" x14ac:dyDescent="0.2">
      <c r="A10" s="5"/>
      <c r="B10" s="4" t="s">
        <v>166</v>
      </c>
      <c r="C10" s="4" t="s">
        <v>776</v>
      </c>
    </row>
    <row r="11" spans="1:15" x14ac:dyDescent="0.2">
      <c r="A11" s="5"/>
      <c r="B11" s="4" t="s">
        <v>543</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365</v>
      </c>
      <c r="C13" s="29"/>
      <c r="D13" s="29"/>
      <c r="E13" s="29"/>
      <c r="F13" s="29"/>
      <c r="G13" s="29"/>
      <c r="H13" s="29"/>
      <c r="I13" s="29"/>
      <c r="J13" s="29"/>
      <c r="M13" s="6"/>
      <c r="N13" s="6"/>
      <c r="O13" s="6"/>
    </row>
    <row r="14" spans="1:15" x14ac:dyDescent="0.2">
      <c r="B14" s="4" t="s">
        <v>366</v>
      </c>
      <c r="C14" s="29"/>
      <c r="D14" s="29"/>
      <c r="E14" s="29"/>
      <c r="F14" s="29"/>
      <c r="G14" s="29"/>
      <c r="H14" s="29"/>
      <c r="I14" s="29"/>
      <c r="J14" s="29"/>
      <c r="M14" s="6"/>
      <c r="N14" s="6"/>
      <c r="O14" s="6"/>
    </row>
    <row r="15" spans="1:15" x14ac:dyDescent="0.2">
      <c r="B15" s="4" t="s">
        <v>540</v>
      </c>
      <c r="C15" s="7"/>
      <c r="D15" s="7">
        <v>697</v>
      </c>
      <c r="E15" s="7">
        <v>966</v>
      </c>
      <c r="F15" s="7">
        <v>1116</v>
      </c>
      <c r="G15" s="7">
        <v>1169</v>
      </c>
      <c r="H15" s="7">
        <v>1239</v>
      </c>
      <c r="I15" s="7">
        <v>1357</v>
      </c>
      <c r="J15" s="7">
        <v>1158</v>
      </c>
      <c r="K15" s="7">
        <f>Model!EJ16</f>
        <v>1096</v>
      </c>
      <c r="M15" s="6"/>
      <c r="N15" s="6"/>
      <c r="O15" s="6"/>
    </row>
    <row r="18" spans="2:3" x14ac:dyDescent="0.2">
      <c r="B18" s="4" t="s">
        <v>777</v>
      </c>
    </row>
    <row r="19" spans="2:3" s="4" customFormat="1" x14ac:dyDescent="0.2">
      <c r="C19" s="30" t="s">
        <v>778</v>
      </c>
    </row>
    <row r="20" spans="2:3" s="4" customFormat="1" x14ac:dyDescent="0.2">
      <c r="C20" s="4" t="s">
        <v>779</v>
      </c>
    </row>
    <row r="21" spans="2:3" s="4" customFormat="1" x14ac:dyDescent="0.2">
      <c r="C21" s="4" t="s">
        <v>780</v>
      </c>
    </row>
    <row r="22" spans="2:3" s="4" customFormat="1" x14ac:dyDescent="0.2">
      <c r="C22" s="4" t="s">
        <v>781</v>
      </c>
    </row>
    <row r="23" spans="2:3" s="4" customFormat="1" x14ac:dyDescent="0.2">
      <c r="C23" s="4" t="s">
        <v>782</v>
      </c>
    </row>
    <row r="24" spans="2:3" s="4" customFormat="1" x14ac:dyDescent="0.2"/>
    <row r="25" spans="2:3" s="4" customFormat="1" x14ac:dyDescent="0.2">
      <c r="C25" s="30" t="s">
        <v>783</v>
      </c>
    </row>
    <row r="26" spans="2:3" s="4" customFormat="1" x14ac:dyDescent="0.2">
      <c r="C26" s="4" t="s">
        <v>784</v>
      </c>
    </row>
    <row r="27" spans="2:3" s="4" customFormat="1" x14ac:dyDescent="0.2">
      <c r="C27" s="4" t="s">
        <v>785</v>
      </c>
    </row>
    <row r="28" spans="2:3" s="4" customFormat="1" x14ac:dyDescent="0.2">
      <c r="C28" s="4" t="s">
        <v>786</v>
      </c>
    </row>
    <row r="29" spans="2:3" s="4" customFormat="1" x14ac:dyDescent="0.2">
      <c r="C29" s="4" t="s">
        <v>787</v>
      </c>
    </row>
    <row r="33" spans="2:4" x14ac:dyDescent="0.2">
      <c r="B33" s="4" t="s">
        <v>543</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155</v>
      </c>
    </row>
    <row r="2" spans="1:3" x14ac:dyDescent="0.2">
      <c r="B2" s="4" t="s">
        <v>486</v>
      </c>
      <c r="C2" s="4" t="s">
        <v>332</v>
      </c>
    </row>
    <row r="3" spans="1:3" x14ac:dyDescent="0.2">
      <c r="B3" s="4" t="s">
        <v>487</v>
      </c>
      <c r="C3" s="4" t="s">
        <v>1178</v>
      </c>
    </row>
    <row r="4" spans="1:3" x14ac:dyDescent="0.2">
      <c r="B4" s="4" t="s">
        <v>160</v>
      </c>
      <c r="C4" s="4" t="s">
        <v>1179</v>
      </c>
    </row>
    <row r="5" spans="1:3" x14ac:dyDescent="0.2">
      <c r="B5" s="4" t="s">
        <v>161</v>
      </c>
      <c r="C5" s="4" t="s">
        <v>1180</v>
      </c>
    </row>
    <row r="6" spans="1:3" x14ac:dyDescent="0.2">
      <c r="B6" s="4" t="s">
        <v>490</v>
      </c>
      <c r="C6" s="4" t="s">
        <v>1031</v>
      </c>
    </row>
    <row r="7" spans="1:3" x14ac:dyDescent="0.2">
      <c r="B7" s="4" t="s">
        <v>496</v>
      </c>
      <c r="C7" s="4" t="s">
        <v>169</v>
      </c>
    </row>
    <row r="8" spans="1:3" x14ac:dyDescent="0.2">
      <c r="B8" s="4" t="s">
        <v>905</v>
      </c>
      <c r="C8" s="4" t="s">
        <v>575</v>
      </c>
    </row>
    <row r="9" spans="1:3" x14ac:dyDescent="0.2">
      <c r="B9" s="4" t="s">
        <v>777</v>
      </c>
    </row>
    <row r="11" spans="1:3" x14ac:dyDescent="0.2">
      <c r="C11" s="4" t="s">
        <v>1032</v>
      </c>
    </row>
    <row r="12" spans="1:3" x14ac:dyDescent="0.2">
      <c r="C12" s="4" t="s">
        <v>1033</v>
      </c>
    </row>
    <row r="13" spans="1:3" x14ac:dyDescent="0.2">
      <c r="C13" s="4" t="s">
        <v>1034</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155</v>
      </c>
    </row>
    <row r="2" spans="1:4" x14ac:dyDescent="0.2">
      <c r="B2" s="134" t="s">
        <v>486</v>
      </c>
      <c r="C2" s="134" t="s">
        <v>1505</v>
      </c>
    </row>
    <row r="3" spans="1:4" x14ac:dyDescent="0.2">
      <c r="B3" s="134" t="s">
        <v>487</v>
      </c>
      <c r="C3" s="134" t="s">
        <v>333</v>
      </c>
    </row>
    <row r="4" spans="1:4" x14ac:dyDescent="0.2">
      <c r="B4" s="134" t="s">
        <v>160</v>
      </c>
      <c r="C4" s="134" t="s">
        <v>208</v>
      </c>
    </row>
    <row r="5" spans="1:4" x14ac:dyDescent="0.2">
      <c r="B5" s="134" t="s">
        <v>496</v>
      </c>
      <c r="C5" s="134" t="s">
        <v>171</v>
      </c>
    </row>
    <row r="6" spans="1:4" x14ac:dyDescent="0.2">
      <c r="B6" s="134" t="s">
        <v>490</v>
      </c>
      <c r="C6" s="134" t="s">
        <v>747</v>
      </c>
    </row>
    <row r="7" spans="1:4" x14ac:dyDescent="0.2">
      <c r="B7" s="134" t="s">
        <v>772</v>
      </c>
      <c r="C7" s="134" t="s">
        <v>748</v>
      </c>
    </row>
    <row r="8" spans="1:4" x14ac:dyDescent="0.2">
      <c r="B8" s="134" t="s">
        <v>905</v>
      </c>
      <c r="C8" s="134" t="s">
        <v>1506</v>
      </c>
    </row>
    <row r="9" spans="1:4" x14ac:dyDescent="0.2">
      <c r="C9" s="134" t="s">
        <v>1508</v>
      </c>
    </row>
    <row r="10" spans="1:4" x14ac:dyDescent="0.2">
      <c r="B10" s="134" t="s">
        <v>777</v>
      </c>
    </row>
    <row r="11" spans="1:4" x14ac:dyDescent="0.2">
      <c r="C11" s="134" t="s">
        <v>749</v>
      </c>
    </row>
    <row r="12" spans="1:4" x14ac:dyDescent="0.2">
      <c r="C12" s="111" t="s">
        <v>750</v>
      </c>
    </row>
    <row r="13" spans="1:4" x14ac:dyDescent="0.2">
      <c r="C13" s="134" t="s">
        <v>751</v>
      </c>
    </row>
    <row r="14" spans="1:4" x14ac:dyDescent="0.2">
      <c r="C14" s="134" t="s">
        <v>537</v>
      </c>
      <c r="D14" s="134" t="s">
        <v>752</v>
      </c>
    </row>
    <row r="15" spans="1:4" x14ac:dyDescent="0.2">
      <c r="D15" s="134" t="s">
        <v>753</v>
      </c>
    </row>
    <row r="16" spans="1:4" x14ac:dyDescent="0.2">
      <c r="D16" s="134" t="s">
        <v>754</v>
      </c>
    </row>
    <row r="17" spans="2:4" x14ac:dyDescent="0.2">
      <c r="C17" s="134" t="s">
        <v>755</v>
      </c>
    </row>
    <row r="18" spans="2:4" x14ac:dyDescent="0.2">
      <c r="D18" s="134" t="s">
        <v>756</v>
      </c>
    </row>
    <row r="19" spans="2:4" x14ac:dyDescent="0.2">
      <c r="D19" s="134" t="s">
        <v>757</v>
      </c>
    </row>
    <row r="21" spans="2:4" x14ac:dyDescent="0.2">
      <c r="B21" s="135" t="s">
        <v>758</v>
      </c>
    </row>
    <row r="22" spans="2:4" x14ac:dyDescent="0.2">
      <c r="B22" s="135" t="s">
        <v>759</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155</v>
      </c>
    </row>
    <row r="2" spans="1:3" x14ac:dyDescent="0.2">
      <c r="B2" s="4" t="s">
        <v>486</v>
      </c>
      <c r="C2" s="4" t="s">
        <v>844</v>
      </c>
    </row>
    <row r="3" spans="1:3" x14ac:dyDescent="0.2">
      <c r="B3" s="4" t="s">
        <v>955</v>
      </c>
      <c r="C3" s="4" t="s">
        <v>850</v>
      </c>
    </row>
    <row r="4" spans="1:3" x14ac:dyDescent="0.2">
      <c r="B4" s="4" t="s">
        <v>160</v>
      </c>
      <c r="C4" s="4" t="s">
        <v>956</v>
      </c>
    </row>
    <row r="5" spans="1:3" x14ac:dyDescent="0.2">
      <c r="B5" s="4" t="s">
        <v>490</v>
      </c>
      <c r="C5" s="4" t="s">
        <v>861</v>
      </c>
    </row>
    <row r="6" spans="1:3" x14ac:dyDescent="0.2">
      <c r="B6" s="4" t="s">
        <v>164</v>
      </c>
    </row>
    <row r="7" spans="1:3" x14ac:dyDescent="0.2">
      <c r="B7" s="4" t="s">
        <v>772</v>
      </c>
      <c r="C7" s="4" t="s">
        <v>846</v>
      </c>
    </row>
    <row r="8" spans="1:3" x14ac:dyDescent="0.2">
      <c r="B8" s="4" t="s">
        <v>905</v>
      </c>
      <c r="C8" s="4" t="s">
        <v>1027</v>
      </c>
    </row>
    <row r="9" spans="1:3" x14ac:dyDescent="0.2">
      <c r="B9" s="4" t="s">
        <v>528</v>
      </c>
      <c r="C9" s="4" t="s">
        <v>874</v>
      </c>
    </row>
    <row r="10" spans="1:3" x14ac:dyDescent="0.2">
      <c r="B10" s="4" t="s">
        <v>494</v>
      </c>
      <c r="C10" s="4" t="s">
        <v>870</v>
      </c>
    </row>
    <row r="11" spans="1:3" x14ac:dyDescent="0.2">
      <c r="B11" s="4" t="s">
        <v>107</v>
      </c>
      <c r="C11" s="4" t="s">
        <v>845</v>
      </c>
    </row>
    <row r="12" spans="1:3" x14ac:dyDescent="0.2">
      <c r="B12" s="4" t="s">
        <v>166</v>
      </c>
      <c r="C12" s="4" t="s">
        <v>873</v>
      </c>
    </row>
    <row r="13" spans="1:3" x14ac:dyDescent="0.2">
      <c r="B13" s="4" t="s">
        <v>532</v>
      </c>
    </row>
    <row r="14" spans="1:3" x14ac:dyDescent="0.2">
      <c r="C14" s="30" t="s">
        <v>868</v>
      </c>
    </row>
    <row r="15" spans="1:3" x14ac:dyDescent="0.2">
      <c r="C15" s="4" t="s">
        <v>869</v>
      </c>
    </row>
    <row r="17" spans="3:3" x14ac:dyDescent="0.2">
      <c r="C17" s="30" t="s">
        <v>867</v>
      </c>
    </row>
    <row r="18" spans="3:3" x14ac:dyDescent="0.2">
      <c r="C18" s="4" t="s">
        <v>847</v>
      </c>
    </row>
    <row r="19" spans="3:3" x14ac:dyDescent="0.2">
      <c r="C19" s="4" t="s">
        <v>853</v>
      </c>
    </row>
    <row r="20" spans="3:3" x14ac:dyDescent="0.2">
      <c r="C20" s="4" t="s">
        <v>854</v>
      </c>
    </row>
    <row r="21" spans="3:3" x14ac:dyDescent="0.2">
      <c r="C21" s="4" t="s">
        <v>855</v>
      </c>
    </row>
    <row r="22" spans="3:3" x14ac:dyDescent="0.2">
      <c r="C22" s="4" t="s">
        <v>856</v>
      </c>
    </row>
    <row r="23" spans="3:3" x14ac:dyDescent="0.2">
      <c r="C23" s="4" t="s">
        <v>857</v>
      </c>
    </row>
    <row r="24" spans="3:3" x14ac:dyDescent="0.2">
      <c r="C24" s="4" t="s">
        <v>866</v>
      </c>
    </row>
    <row r="26" spans="3:3" x14ac:dyDescent="0.2">
      <c r="C26" s="30" t="s">
        <v>872</v>
      </c>
    </row>
    <row r="27" spans="3:3" x14ac:dyDescent="0.2">
      <c r="C27" s="30"/>
    </row>
    <row r="28" spans="3:3" x14ac:dyDescent="0.2">
      <c r="C28" s="30" t="s">
        <v>871</v>
      </c>
    </row>
    <row r="30" spans="3:3" x14ac:dyDescent="0.2">
      <c r="C30" s="30" t="s">
        <v>860</v>
      </c>
    </row>
    <row r="31" spans="3:3" x14ac:dyDescent="0.2">
      <c r="C31" s="4" t="s">
        <v>848</v>
      </c>
    </row>
    <row r="32" spans="3:3" x14ac:dyDescent="0.2">
      <c r="C32" s="4" t="s">
        <v>849</v>
      </c>
    </row>
    <row r="34" spans="3:3" x14ac:dyDescent="0.2">
      <c r="C34" s="30" t="s">
        <v>859</v>
      </c>
    </row>
    <row r="55" spans="3:3" x14ac:dyDescent="0.2">
      <c r="C55" s="4" t="s">
        <v>1030</v>
      </c>
    </row>
    <row r="57" spans="3:3" x14ac:dyDescent="0.2">
      <c r="C57" s="4" t="s">
        <v>858</v>
      </c>
    </row>
    <row r="59" spans="3:3" x14ac:dyDescent="0.2">
      <c r="C59" s="30" t="s">
        <v>862</v>
      </c>
    </row>
    <row r="60" spans="3:3" x14ac:dyDescent="0.2">
      <c r="C60" s="4" t="s">
        <v>863</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155</v>
      </c>
    </row>
    <row r="2" spans="1:3" x14ac:dyDescent="0.2">
      <c r="B2" s="93" t="s">
        <v>486</v>
      </c>
      <c r="C2" s="115" t="s">
        <v>207</v>
      </c>
    </row>
    <row r="3" spans="1:3" x14ac:dyDescent="0.2">
      <c r="B3" s="93" t="s">
        <v>487</v>
      </c>
      <c r="C3" s="115" t="s">
        <v>1164</v>
      </c>
    </row>
    <row r="4" spans="1:3" x14ac:dyDescent="0.2">
      <c r="B4" s="93" t="s">
        <v>490</v>
      </c>
      <c r="C4" s="115" t="s">
        <v>1165</v>
      </c>
    </row>
    <row r="5" spans="1:3" x14ac:dyDescent="0.2">
      <c r="B5" s="93" t="s">
        <v>644</v>
      </c>
      <c r="C5" s="115" t="s">
        <v>1166</v>
      </c>
    </row>
    <row r="6" spans="1:3" x14ac:dyDescent="0.2">
      <c r="B6" s="93" t="s">
        <v>496</v>
      </c>
      <c r="C6" s="115" t="s">
        <v>169</v>
      </c>
    </row>
    <row r="7" spans="1:3" x14ac:dyDescent="0.2">
      <c r="B7" s="93" t="s">
        <v>489</v>
      </c>
      <c r="C7" s="115" t="s">
        <v>704</v>
      </c>
    </row>
    <row r="8" spans="1:3" x14ac:dyDescent="0.2">
      <c r="B8" s="93" t="s">
        <v>160</v>
      </c>
      <c r="C8" s="115" t="s">
        <v>705</v>
      </c>
    </row>
    <row r="9" spans="1:3" x14ac:dyDescent="0.2">
      <c r="B9" s="93" t="s">
        <v>164</v>
      </c>
      <c r="C9" s="115" t="s">
        <v>706</v>
      </c>
    </row>
    <row r="10" spans="1:3" x14ac:dyDescent="0.2">
      <c r="B10" s="93" t="s">
        <v>537</v>
      </c>
      <c r="C10" s="116" t="s">
        <v>709</v>
      </c>
    </row>
    <row r="11" spans="1:3" x14ac:dyDescent="0.2">
      <c r="B11" s="93" t="s">
        <v>166</v>
      </c>
      <c r="C11" s="115" t="s">
        <v>710</v>
      </c>
    </row>
    <row r="12" spans="1:3" x14ac:dyDescent="0.2">
      <c r="B12" s="93" t="s">
        <v>772</v>
      </c>
      <c r="C12" s="115" t="s">
        <v>711</v>
      </c>
    </row>
    <row r="13" spans="1:3" x14ac:dyDescent="0.2">
      <c r="B13" s="93" t="s">
        <v>532</v>
      </c>
    </row>
    <row r="14" spans="1:3" x14ac:dyDescent="0.2">
      <c r="C14" s="115" t="s">
        <v>712</v>
      </c>
    </row>
    <row r="17" spans="3:16" x14ac:dyDescent="0.2">
      <c r="C17" s="115" t="s">
        <v>291</v>
      </c>
      <c r="D17" s="6" t="s">
        <v>292</v>
      </c>
      <c r="E17" s="6" t="s">
        <v>293</v>
      </c>
      <c r="F17" s="6" t="s">
        <v>897</v>
      </c>
      <c r="K17" s="6" t="s">
        <v>898</v>
      </c>
      <c r="P17" s="6" t="s">
        <v>899</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900</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5703125" style="110" customWidth="1"/>
    <col min="3" max="16384" width="9.140625" style="110"/>
  </cols>
  <sheetData>
    <row r="1" spans="1:31" ht="12.75" customHeight="1" x14ac:dyDescent="0.2">
      <c r="A1" s="116" t="s">
        <v>155</v>
      </c>
    </row>
    <row r="2" spans="1:31" ht="12.75" customHeight="1" x14ac:dyDescent="0.2">
      <c r="B2" s="110" t="s">
        <v>1085</v>
      </c>
    </row>
    <row r="3" spans="1:31" ht="12.75" customHeight="1" x14ac:dyDescent="0.2">
      <c r="B3" t="s">
        <v>1277</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233</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78</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79</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231</v>
      </c>
      <c r="D12" s="54">
        <v>2002</v>
      </c>
      <c r="E12" s="54">
        <v>2003</v>
      </c>
      <c r="F12" s="54">
        <v>2004</v>
      </c>
      <c r="G12" s="195" t="s">
        <v>768</v>
      </c>
      <c r="H12" s="195" t="s">
        <v>769</v>
      </c>
      <c r="I12" s="195" t="s">
        <v>770</v>
      </c>
      <c r="J12" s="196" t="s">
        <v>511</v>
      </c>
    </row>
    <row r="13" spans="1:31" ht="12.75" customHeight="1" x14ac:dyDescent="0.2">
      <c r="B13" s="201" t="s">
        <v>1092</v>
      </c>
      <c r="C13" s="200">
        <v>388</v>
      </c>
      <c r="D13" s="200">
        <v>405</v>
      </c>
      <c r="E13" s="200">
        <v>420</v>
      </c>
      <c r="F13" s="200">
        <v>440</v>
      </c>
      <c r="G13" s="202">
        <v>468</v>
      </c>
      <c r="H13" s="202">
        <v>490</v>
      </c>
      <c r="I13" s="202">
        <v>514</v>
      </c>
      <c r="J13" s="203">
        <v>542</v>
      </c>
      <c r="L13" t="s">
        <v>1279</v>
      </c>
    </row>
    <row r="14" spans="1:31" ht="12.75" customHeight="1" x14ac:dyDescent="0.2">
      <c r="B14" s="201" t="s">
        <v>1093</v>
      </c>
      <c r="C14" s="204"/>
      <c r="D14" s="204"/>
      <c r="E14" s="204"/>
      <c r="F14" s="204"/>
      <c r="G14" s="205">
        <v>638</v>
      </c>
      <c r="H14" s="205">
        <v>710</v>
      </c>
      <c r="I14" s="205">
        <v>774</v>
      </c>
      <c r="J14" s="206">
        <v>836</v>
      </c>
    </row>
    <row r="15" spans="1:31" ht="12.75" customHeight="1" x14ac:dyDescent="0.2">
      <c r="B15" s="201" t="s">
        <v>1094</v>
      </c>
      <c r="C15" s="204">
        <v>129</v>
      </c>
      <c r="D15" s="204">
        <v>152</v>
      </c>
      <c r="E15" s="204">
        <v>174</v>
      </c>
      <c r="F15" s="207">
        <v>198</v>
      </c>
      <c r="G15" s="205">
        <v>236</v>
      </c>
      <c r="H15" s="205">
        <v>268</v>
      </c>
      <c r="I15" s="205">
        <v>300</v>
      </c>
      <c r="J15" s="206">
        <v>336</v>
      </c>
    </row>
    <row r="16" spans="1:31" ht="12.75" customHeight="1" x14ac:dyDescent="0.2">
      <c r="B16" s="201" t="s">
        <v>380</v>
      </c>
      <c r="C16" s="208">
        <v>70</v>
      </c>
      <c r="D16" s="208">
        <v>74</v>
      </c>
      <c r="E16" s="208">
        <v>80</v>
      </c>
      <c r="F16" s="209">
        <v>86</v>
      </c>
      <c r="G16" s="210">
        <v>93</v>
      </c>
      <c r="H16" s="210">
        <v>98</v>
      </c>
      <c r="I16" s="210">
        <v>102</v>
      </c>
      <c r="J16" s="211">
        <v>106</v>
      </c>
    </row>
    <row r="17" spans="2:10" ht="12.75" customHeight="1" x14ac:dyDescent="0.2">
      <c r="B17" s="212" t="s">
        <v>1095</v>
      </c>
      <c r="C17" s="213"/>
      <c r="D17" s="213"/>
      <c r="E17" s="213"/>
      <c r="F17" s="213"/>
      <c r="G17" s="213"/>
      <c r="H17" s="213"/>
      <c r="I17" s="213"/>
      <c r="J17" s="214"/>
    </row>
    <row r="18" spans="2:10" ht="12.75" customHeight="1" x14ac:dyDescent="0.2">
      <c r="B18" s="215" t="s">
        <v>1096</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5" bestFit="1" customWidth="1"/>
    <col min="2" max="2" width="9.140625" style="76"/>
    <col min="3" max="3" width="28.5703125" customWidth="1"/>
    <col min="4" max="4" width="18.5703125" customWidth="1"/>
    <col min="5" max="5" width="10.140625" bestFit="1" customWidth="1"/>
    <col min="6" max="6" width="9.85546875" customWidth="1"/>
    <col min="7" max="7" width="17.85546875" customWidth="1"/>
  </cols>
  <sheetData>
    <row r="1" spans="1:8" x14ac:dyDescent="0.2">
      <c r="A1" s="116" t="s">
        <v>155</v>
      </c>
    </row>
    <row r="2" spans="1:8" x14ac:dyDescent="0.2">
      <c r="A2" s="116"/>
      <c r="B2" s="76" t="s">
        <v>1708</v>
      </c>
      <c r="C2" t="s">
        <v>1709</v>
      </c>
      <c r="D2" t="s">
        <v>1710</v>
      </c>
      <c r="E2" t="s">
        <v>73</v>
      </c>
      <c r="F2" t="s">
        <v>1362</v>
      </c>
      <c r="G2" t="s">
        <v>1712</v>
      </c>
      <c r="H2" t="s">
        <v>1714</v>
      </c>
    </row>
    <row r="3" spans="1:8" x14ac:dyDescent="0.2">
      <c r="A3" s="116"/>
      <c r="B3" s="76">
        <v>11384122</v>
      </c>
      <c r="C3" t="s">
        <v>1707</v>
      </c>
      <c r="H3">
        <v>1</v>
      </c>
    </row>
    <row r="4" spans="1:8" x14ac:dyDescent="0.2">
      <c r="A4" s="116"/>
      <c r="B4" s="76">
        <v>11384099</v>
      </c>
      <c r="C4" t="s">
        <v>1711</v>
      </c>
      <c r="D4" t="s">
        <v>1713</v>
      </c>
      <c r="E4" s="305">
        <v>43427</v>
      </c>
      <c r="F4" s="305">
        <v>44754</v>
      </c>
      <c r="G4" t="s">
        <v>1715</v>
      </c>
      <c r="H4">
        <v>3</v>
      </c>
    </row>
    <row r="5" spans="1:8" x14ac:dyDescent="0.2">
      <c r="A5" s="116"/>
      <c r="B5" s="76">
        <v>11384075</v>
      </c>
      <c r="C5" t="s">
        <v>1716</v>
      </c>
      <c r="D5" t="s">
        <v>1713</v>
      </c>
      <c r="E5" s="305">
        <v>43277</v>
      </c>
      <c r="F5" s="305">
        <v>44754</v>
      </c>
      <c r="G5" t="s">
        <v>1715</v>
      </c>
      <c r="H5">
        <v>3</v>
      </c>
    </row>
    <row r="6" spans="1:8" x14ac:dyDescent="0.2">
      <c r="A6" s="116"/>
      <c r="B6" s="76">
        <v>11377640</v>
      </c>
      <c r="C6" t="s">
        <v>1717</v>
      </c>
      <c r="E6" s="305"/>
      <c r="F6" s="305"/>
      <c r="H6">
        <v>1</v>
      </c>
    </row>
    <row r="7" spans="1:8" x14ac:dyDescent="0.2">
      <c r="A7" s="116"/>
      <c r="B7" s="76" t="s">
        <v>1718</v>
      </c>
      <c r="C7" t="s">
        <v>1719</v>
      </c>
      <c r="E7" s="305"/>
      <c r="F7" s="305"/>
      <c r="H7">
        <v>1</v>
      </c>
    </row>
    <row r="8" spans="1:8" x14ac:dyDescent="0.2">
      <c r="A8" s="116"/>
      <c r="B8" s="76">
        <v>11369642</v>
      </c>
      <c r="C8" t="s">
        <v>1720</v>
      </c>
      <c r="D8" t="s">
        <v>1721</v>
      </c>
      <c r="E8" s="305">
        <v>43690</v>
      </c>
      <c r="F8" s="305">
        <v>44740</v>
      </c>
      <c r="G8" t="s">
        <v>1722</v>
      </c>
      <c r="H8">
        <v>2</v>
      </c>
    </row>
    <row r="9" spans="1:8" x14ac:dyDescent="0.2">
      <c r="A9" s="116"/>
      <c r="B9" s="76">
        <v>11369612</v>
      </c>
      <c r="C9" t="s">
        <v>1723</v>
      </c>
      <c r="D9" t="s">
        <v>1724</v>
      </c>
      <c r="E9" s="305">
        <v>43438</v>
      </c>
      <c r="F9" s="305">
        <v>44740</v>
      </c>
      <c r="G9" t="s">
        <v>1725</v>
      </c>
      <c r="H9">
        <v>3</v>
      </c>
    </row>
    <row r="10" spans="1:8" x14ac:dyDescent="0.2">
      <c r="A10" s="116"/>
      <c r="B10" s="76">
        <v>11369606</v>
      </c>
      <c r="C10" t="s">
        <v>1726</v>
      </c>
      <c r="D10" t="s">
        <v>1713</v>
      </c>
      <c r="E10" s="305">
        <v>43818</v>
      </c>
      <c r="F10" s="305">
        <v>44740</v>
      </c>
      <c r="G10" t="s">
        <v>1727</v>
      </c>
      <c r="H10">
        <v>3</v>
      </c>
    </row>
    <row r="11" spans="1:8" x14ac:dyDescent="0.2">
      <c r="A11" s="116"/>
      <c r="B11" s="76">
        <v>11365244</v>
      </c>
      <c r="C11" t="s">
        <v>1728</v>
      </c>
      <c r="D11" t="s">
        <v>1721</v>
      </c>
      <c r="E11" s="305">
        <v>44049</v>
      </c>
      <c r="F11" s="305">
        <v>44733</v>
      </c>
      <c r="G11" t="s">
        <v>1729</v>
      </c>
      <c r="H11">
        <v>4</v>
      </c>
    </row>
    <row r="12" spans="1:8" x14ac:dyDescent="0.2">
      <c r="A12" s="116"/>
      <c r="B12" s="76">
        <v>11365222</v>
      </c>
      <c r="C12" t="s">
        <v>1730</v>
      </c>
      <c r="D12" t="s">
        <v>1731</v>
      </c>
      <c r="E12" s="305">
        <v>44056</v>
      </c>
      <c r="F12" s="305">
        <v>44733</v>
      </c>
      <c r="G12" t="s">
        <v>1732</v>
      </c>
      <c r="H12">
        <v>3</v>
      </c>
    </row>
    <row r="13" spans="1:8" x14ac:dyDescent="0.2">
      <c r="A13" s="116"/>
      <c r="B13" s="76">
        <v>11364310</v>
      </c>
      <c r="C13" t="s">
        <v>1733</v>
      </c>
      <c r="D13" t="s">
        <v>1734</v>
      </c>
      <c r="E13" s="305">
        <v>42950</v>
      </c>
      <c r="F13" s="305">
        <v>44733</v>
      </c>
      <c r="H13">
        <v>2</v>
      </c>
    </row>
    <row r="14" spans="1:8" x14ac:dyDescent="0.2">
      <c r="A14" s="116"/>
      <c r="B14" s="76">
        <v>11359029</v>
      </c>
      <c r="C14" t="s">
        <v>1735</v>
      </c>
      <c r="D14" t="s">
        <v>1736</v>
      </c>
      <c r="E14" s="305">
        <v>43927</v>
      </c>
      <c r="F14" s="305">
        <v>44726</v>
      </c>
      <c r="G14" t="s">
        <v>1737</v>
      </c>
      <c r="H14">
        <v>4</v>
      </c>
    </row>
    <row r="15" spans="1:8" x14ac:dyDescent="0.2">
      <c r="A15" s="116"/>
      <c r="B15" s="76">
        <v>11345739</v>
      </c>
      <c r="C15" t="s">
        <v>1738</v>
      </c>
      <c r="E15" s="305"/>
      <c r="F15" s="305"/>
    </row>
    <row r="16" spans="1:8" x14ac:dyDescent="0.2">
      <c r="B16" s="76">
        <v>8785605</v>
      </c>
      <c r="C16" t="s">
        <v>1637</v>
      </c>
    </row>
    <row r="17" spans="2:3" x14ac:dyDescent="0.2">
      <c r="B17" s="76">
        <v>8785486</v>
      </c>
      <c r="C17" t="s">
        <v>1638</v>
      </c>
    </row>
    <row r="18" spans="2:3" x14ac:dyDescent="0.2">
      <c r="B18" s="76">
        <v>8784810</v>
      </c>
      <c r="C18" t="s">
        <v>1639</v>
      </c>
    </row>
    <row r="19" spans="2:3" x14ac:dyDescent="0.2">
      <c r="B19" s="76">
        <v>8779158</v>
      </c>
      <c r="C19" t="s">
        <v>1640</v>
      </c>
    </row>
    <row r="20" spans="2:3" x14ac:dyDescent="0.2">
      <c r="B20" s="76">
        <v>8778966</v>
      </c>
      <c r="C20" t="s">
        <v>1641</v>
      </c>
    </row>
    <row r="21" spans="2:3" x14ac:dyDescent="0.2">
      <c r="B21" s="76">
        <v>8778956</v>
      </c>
      <c r="C21" t="s">
        <v>1642</v>
      </c>
    </row>
    <row r="22" spans="2:3" x14ac:dyDescent="0.2">
      <c r="B22" s="76">
        <v>8778920</v>
      </c>
      <c r="C22" t="s">
        <v>1643</v>
      </c>
    </row>
    <row r="23" spans="2:3" x14ac:dyDescent="0.2">
      <c r="B23" s="76">
        <v>8778919</v>
      </c>
      <c r="C23" t="s">
        <v>1644</v>
      </c>
    </row>
    <row r="24" spans="2:3" x14ac:dyDescent="0.2">
      <c r="B24" s="76">
        <v>8772504</v>
      </c>
      <c r="C24" t="s">
        <v>1645</v>
      </c>
    </row>
    <row r="25" spans="2:3" x14ac:dyDescent="0.2">
      <c r="B25" s="76">
        <v>8772494</v>
      </c>
      <c r="C25" t="s">
        <v>1646</v>
      </c>
    </row>
    <row r="26" spans="2:3" x14ac:dyDescent="0.2">
      <c r="B26" s="76">
        <v>8772325</v>
      </c>
      <c r="C26" t="s">
        <v>1647</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155</v>
      </c>
    </row>
    <row r="2" spans="1:3" x14ac:dyDescent="0.2">
      <c r="B2" s="4" t="s">
        <v>486</v>
      </c>
      <c r="C2" s="4" t="s">
        <v>525</v>
      </c>
    </row>
    <row r="3" spans="1:3" x14ac:dyDescent="0.2">
      <c r="B3" s="4" t="s">
        <v>487</v>
      </c>
      <c r="C3" s="4" t="s">
        <v>526</v>
      </c>
    </row>
    <row r="4" spans="1:3" x14ac:dyDescent="0.2">
      <c r="B4" s="4" t="s">
        <v>490</v>
      </c>
      <c r="C4" s="4" t="s">
        <v>1159</v>
      </c>
    </row>
    <row r="5" spans="1:3" x14ac:dyDescent="0.2">
      <c r="C5" s="4" t="s">
        <v>1160</v>
      </c>
    </row>
    <row r="6" spans="1:3" x14ac:dyDescent="0.2">
      <c r="C6" s="4" t="s">
        <v>527</v>
      </c>
    </row>
    <row r="7" spans="1:3" x14ac:dyDescent="0.2">
      <c r="B7" s="4" t="s">
        <v>528</v>
      </c>
      <c r="C7" s="4" t="s">
        <v>529</v>
      </c>
    </row>
    <row r="8" spans="1:3" x14ac:dyDescent="0.2">
      <c r="B8" s="4" t="s">
        <v>496</v>
      </c>
      <c r="C8" s="4" t="s">
        <v>171</v>
      </c>
    </row>
    <row r="9" spans="1:3" x14ac:dyDescent="0.2">
      <c r="B9" s="4" t="s">
        <v>489</v>
      </c>
      <c r="C9" s="4" t="s">
        <v>530</v>
      </c>
    </row>
    <row r="10" spans="1:3" x14ac:dyDescent="0.2">
      <c r="B10" s="4" t="s">
        <v>532</v>
      </c>
      <c r="C10" s="4" t="s">
        <v>533</v>
      </c>
    </row>
    <row r="11" spans="1:3" x14ac:dyDescent="0.2">
      <c r="B11" s="4" t="s">
        <v>164</v>
      </c>
      <c r="C11" s="24" t="s">
        <v>534</v>
      </c>
    </row>
    <row r="12" spans="1:3" x14ac:dyDescent="0.2">
      <c r="C12" s="24" t="s">
        <v>535</v>
      </c>
    </row>
    <row r="13" spans="1:3" x14ac:dyDescent="0.2">
      <c r="C13" s="24" t="s">
        <v>536</v>
      </c>
    </row>
    <row r="14" spans="1:3" x14ac:dyDescent="0.2">
      <c r="B14" s="4" t="s">
        <v>537</v>
      </c>
      <c r="C14" s="4" t="s">
        <v>538</v>
      </c>
    </row>
    <row r="15" spans="1:3" x14ac:dyDescent="0.2">
      <c r="B15" s="4" t="s">
        <v>166</v>
      </c>
      <c r="C15" s="4" t="s">
        <v>539</v>
      </c>
    </row>
    <row r="17" spans="2:34" x14ac:dyDescent="0.2">
      <c r="C17" s="6" t="s">
        <v>274</v>
      </c>
      <c r="D17" s="6" t="s">
        <v>275</v>
      </c>
      <c r="E17" s="6" t="s">
        <v>276</v>
      </c>
      <c r="F17" s="6" t="s">
        <v>277</v>
      </c>
      <c r="G17" s="6" t="s">
        <v>278</v>
      </c>
      <c r="H17" s="6" t="s">
        <v>279</v>
      </c>
      <c r="I17" s="6" t="s">
        <v>280</v>
      </c>
      <c r="J17" s="6" t="s">
        <v>281</v>
      </c>
      <c r="K17" s="6" t="s">
        <v>282</v>
      </c>
      <c r="L17" s="6" t="s">
        <v>283</v>
      </c>
      <c r="M17" s="6" t="s">
        <v>284</v>
      </c>
      <c r="N17" s="6" t="s">
        <v>285</v>
      </c>
      <c r="O17" s="6" t="s">
        <v>286</v>
      </c>
      <c r="P17" s="6" t="s">
        <v>287</v>
      </c>
      <c r="Q17" s="6" t="s">
        <v>288</v>
      </c>
      <c r="R17" s="6" t="s">
        <v>289</v>
      </c>
      <c r="S17" s="6" t="s">
        <v>290</v>
      </c>
      <c r="T17" s="6" t="s">
        <v>291</v>
      </c>
      <c r="U17" s="6" t="s">
        <v>292</v>
      </c>
      <c r="V17" s="6" t="s">
        <v>293</v>
      </c>
      <c r="W17" s="6" t="s">
        <v>294</v>
      </c>
      <c r="X17" s="6" t="s">
        <v>295</v>
      </c>
      <c r="Y17" s="6" t="s">
        <v>296</v>
      </c>
      <c r="Z17" s="6" t="s">
        <v>297</v>
      </c>
      <c r="AA17" s="6" t="s">
        <v>298</v>
      </c>
      <c r="AB17" s="6" t="s">
        <v>299</v>
      </c>
      <c r="AC17" s="6" t="s">
        <v>300</v>
      </c>
      <c r="AD17" s="6" t="s">
        <v>301</v>
      </c>
      <c r="AE17" s="6" t="s">
        <v>302</v>
      </c>
      <c r="AF17" s="6" t="s">
        <v>303</v>
      </c>
      <c r="AG17" s="6" t="s">
        <v>304</v>
      </c>
      <c r="AH17" s="6" t="s">
        <v>305</v>
      </c>
    </row>
    <row r="18" spans="2:34" x14ac:dyDescent="0.2">
      <c r="B18" s="4" t="s">
        <v>365</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366</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540</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541</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365</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366</v>
      </c>
      <c r="C26" s="7">
        <f>D26/1.1899</f>
        <v>437.01151357256913</v>
      </c>
      <c r="D26" s="19">
        <v>520</v>
      </c>
      <c r="E26" s="19">
        <v>604.9</v>
      </c>
      <c r="F26" s="19">
        <v>741.9</v>
      </c>
      <c r="G26" s="19">
        <v>1059</v>
      </c>
      <c r="H26" s="19">
        <v>1339</v>
      </c>
      <c r="I26" s="19">
        <v>1606</v>
      </c>
      <c r="J26" s="19"/>
      <c r="K26" s="19"/>
      <c r="L26" s="19"/>
      <c r="M26" s="19"/>
      <c r="N26" s="19"/>
    </row>
    <row r="27" spans="2:34" x14ac:dyDescent="0.2">
      <c r="B27" s="4" t="s">
        <v>540</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541</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542</v>
      </c>
    </row>
    <row r="33" spans="2:5" x14ac:dyDescent="0.2">
      <c r="B33" s="4" t="s">
        <v>543</v>
      </c>
      <c r="C33" s="6"/>
      <c r="D33" s="6" t="s">
        <v>544</v>
      </c>
      <c r="E33" s="6" t="s">
        <v>545</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155</v>
      </c>
    </row>
    <row r="2" spans="1:13" x14ac:dyDescent="0.2">
      <c r="A2" s="5"/>
      <c r="B2" s="4" t="s">
        <v>486</v>
      </c>
      <c r="C2" s="4" t="s">
        <v>186</v>
      </c>
    </row>
    <row r="3" spans="1:13" x14ac:dyDescent="0.2">
      <c r="A3" s="5"/>
      <c r="B3" s="4" t="s">
        <v>487</v>
      </c>
      <c r="C3" s="4" t="s">
        <v>1153</v>
      </c>
    </row>
    <row r="4" spans="1:13" x14ac:dyDescent="0.2">
      <c r="A4" s="5"/>
      <c r="B4" s="4" t="s">
        <v>160</v>
      </c>
      <c r="C4" s="4" t="s">
        <v>1154</v>
      </c>
    </row>
    <row r="5" spans="1:13" x14ac:dyDescent="0.2">
      <c r="A5" s="5"/>
      <c r="B5" s="4" t="s">
        <v>489</v>
      </c>
      <c r="C5" s="4" t="s">
        <v>1155</v>
      </c>
    </row>
    <row r="6" spans="1:13" x14ac:dyDescent="0.2">
      <c r="A6" s="5"/>
      <c r="B6" s="4" t="s">
        <v>490</v>
      </c>
      <c r="C6" s="4" t="s">
        <v>806</v>
      </c>
    </row>
    <row r="7" spans="1:13" x14ac:dyDescent="0.2">
      <c r="A7" s="5"/>
      <c r="B7" s="4"/>
      <c r="C7" s="4" t="s">
        <v>807</v>
      </c>
    </row>
    <row r="8" spans="1:13" x14ac:dyDescent="0.2">
      <c r="A8" s="5"/>
      <c r="B8" s="4"/>
      <c r="C8" s="4" t="s">
        <v>808</v>
      </c>
    </row>
    <row r="9" spans="1:13" x14ac:dyDescent="0.2">
      <c r="A9" s="5"/>
      <c r="B9" s="4" t="s">
        <v>164</v>
      </c>
      <c r="C9" s="4" t="s">
        <v>809</v>
      </c>
    </row>
    <row r="10" spans="1:13" x14ac:dyDescent="0.2">
      <c r="A10" s="5"/>
      <c r="B10" s="4"/>
      <c r="C10" s="4" t="s">
        <v>76</v>
      </c>
    </row>
    <row r="11" spans="1:13" x14ac:dyDescent="0.2">
      <c r="A11" s="5"/>
      <c r="B11" s="4" t="s">
        <v>494</v>
      </c>
      <c r="C11" s="4" t="s">
        <v>810</v>
      </c>
    </row>
    <row r="12" spans="1:13" x14ac:dyDescent="0.2">
      <c r="A12" s="5"/>
      <c r="B12" s="4" t="s">
        <v>496</v>
      </c>
      <c r="C12" s="4" t="s">
        <v>811</v>
      </c>
    </row>
    <row r="13" spans="1:13" x14ac:dyDescent="0.2">
      <c r="A13" s="5"/>
      <c r="B13" s="4" t="s">
        <v>166</v>
      </c>
      <c r="C13" s="4" t="s">
        <v>812</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365</v>
      </c>
      <c r="D16" s="33"/>
      <c r="E16" s="33"/>
      <c r="F16" s="33"/>
      <c r="G16" s="33"/>
      <c r="H16" s="33"/>
      <c r="I16" s="33"/>
      <c r="J16" s="33"/>
      <c r="K16" s="33"/>
    </row>
    <row r="17" spans="2:11" x14ac:dyDescent="0.2">
      <c r="B17" s="20" t="s">
        <v>366</v>
      </c>
      <c r="D17" s="33"/>
      <c r="E17" s="33"/>
      <c r="F17" s="33"/>
      <c r="G17" s="33"/>
      <c r="H17" s="33"/>
      <c r="I17" s="33"/>
      <c r="J17" s="33"/>
      <c r="K17" s="33"/>
    </row>
    <row r="18" spans="2:11" x14ac:dyDescent="0.2">
      <c r="B18" s="20" t="s">
        <v>540</v>
      </c>
      <c r="D18" s="34"/>
      <c r="E18" s="34"/>
      <c r="F18" s="34"/>
      <c r="G18" s="34"/>
      <c r="H18" s="34"/>
      <c r="I18" s="34"/>
      <c r="J18" s="34"/>
      <c r="K18" s="34"/>
    </row>
    <row r="20" spans="2:11" x14ac:dyDescent="0.2">
      <c r="B20" s="4" t="s">
        <v>813</v>
      </c>
    </row>
    <row r="21" spans="2:11" x14ac:dyDescent="0.2">
      <c r="B21" s="4" t="s">
        <v>814</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
  <sheetViews>
    <sheetView workbookViewId="0">
      <pane xSplit="2" ySplit="2" topLeftCell="C49" activePane="bottomRight" state="frozen"/>
      <selection pane="topRight" activeCell="C1" sqref="C1"/>
      <selection pane="bottomLeft" activeCell="A11" sqref="A11"/>
      <selection pane="bottomRight" activeCell="B99" sqref="B99:G99"/>
    </sheetView>
  </sheetViews>
  <sheetFormatPr defaultColWidth="9.140625" defaultRowHeight="12.75" x14ac:dyDescent="0.2"/>
  <cols>
    <col min="1" max="1" width="5" bestFit="1" customWidth="1"/>
    <col min="2" max="2" width="18.85546875" customWidth="1"/>
    <col min="3" max="3" width="13.140625" bestFit="1" customWidth="1"/>
    <col min="4" max="4" width="13.5703125" customWidth="1"/>
    <col min="5" max="5" width="22.42578125" customWidth="1"/>
    <col min="6" max="6" width="12.42578125" customWidth="1"/>
  </cols>
  <sheetData>
    <row r="1" spans="1:11" x14ac:dyDescent="0.2">
      <c r="A1" s="172" t="s">
        <v>155</v>
      </c>
    </row>
    <row r="2" spans="1:11" x14ac:dyDescent="0.2">
      <c r="B2" t="s">
        <v>1699</v>
      </c>
      <c r="C2" t="s">
        <v>1280</v>
      </c>
      <c r="D2" t="s">
        <v>1700</v>
      </c>
      <c r="E2" t="s">
        <v>160</v>
      </c>
      <c r="F2" t="s">
        <v>1701</v>
      </c>
      <c r="G2" t="s">
        <v>772</v>
      </c>
      <c r="H2" t="s">
        <v>322</v>
      </c>
      <c r="I2" t="s">
        <v>1781</v>
      </c>
      <c r="J2" t="s">
        <v>496</v>
      </c>
      <c r="K2" t="s">
        <v>317</v>
      </c>
    </row>
    <row r="3" spans="1:11" x14ac:dyDescent="0.2">
      <c r="B3" t="s">
        <v>1767</v>
      </c>
      <c r="C3" t="s">
        <v>1543</v>
      </c>
      <c r="D3" t="s">
        <v>1616</v>
      </c>
      <c r="E3" t="s">
        <v>195</v>
      </c>
      <c r="F3" t="s">
        <v>774</v>
      </c>
      <c r="G3" t="s">
        <v>1706</v>
      </c>
      <c r="J3" t="s">
        <v>169</v>
      </c>
    </row>
    <row r="4" spans="1:11" x14ac:dyDescent="0.2">
      <c r="B4" t="s">
        <v>12</v>
      </c>
      <c r="D4" s="321"/>
      <c r="E4" t="s">
        <v>1756</v>
      </c>
      <c r="F4" t="s">
        <v>14</v>
      </c>
      <c r="G4" t="s">
        <v>17</v>
      </c>
      <c r="H4" s="321" t="s">
        <v>16</v>
      </c>
      <c r="I4" t="s">
        <v>13</v>
      </c>
      <c r="J4" t="s">
        <v>169</v>
      </c>
    </row>
    <row r="5" spans="1:11" x14ac:dyDescent="0.2">
      <c r="B5" t="s">
        <v>1058</v>
      </c>
      <c r="H5" t="s">
        <v>1780</v>
      </c>
      <c r="I5" t="s">
        <v>1060</v>
      </c>
    </row>
    <row r="6" spans="1:11" x14ac:dyDescent="0.2">
      <c r="B6" t="s">
        <v>1739</v>
      </c>
      <c r="C6" t="s">
        <v>1591</v>
      </c>
      <c r="D6" t="s">
        <v>1740</v>
      </c>
      <c r="E6" t="s">
        <v>1742</v>
      </c>
      <c r="G6" t="s">
        <v>1741</v>
      </c>
    </row>
    <row r="7" spans="1:11" x14ac:dyDescent="0.2">
      <c r="B7" t="s">
        <v>185</v>
      </c>
      <c r="C7" t="s">
        <v>1795</v>
      </c>
      <c r="D7" t="s">
        <v>1787</v>
      </c>
      <c r="E7" t="s">
        <v>170</v>
      </c>
      <c r="F7" t="s">
        <v>1280</v>
      </c>
    </row>
    <row r="8" spans="1:11" x14ac:dyDescent="0.2">
      <c r="B8" t="s">
        <v>1622</v>
      </c>
      <c r="C8" t="s">
        <v>840</v>
      </c>
      <c r="D8" t="s">
        <v>841</v>
      </c>
      <c r="E8" t="s">
        <v>1554</v>
      </c>
    </row>
    <row r="9" spans="1:11" x14ac:dyDescent="0.2">
      <c r="B9" t="s">
        <v>1605</v>
      </c>
      <c r="C9" t="s">
        <v>1601</v>
      </c>
      <c r="E9" t="s">
        <v>187</v>
      </c>
      <c r="F9" t="s">
        <v>1782</v>
      </c>
      <c r="H9" s="253"/>
    </row>
    <row r="10" spans="1:11" x14ac:dyDescent="0.2">
      <c r="B10" t="s">
        <v>525</v>
      </c>
      <c r="C10" t="s">
        <v>526</v>
      </c>
      <c r="D10" s="321" t="s">
        <v>1787</v>
      </c>
      <c r="E10" t="s">
        <v>548</v>
      </c>
      <c r="F10" t="s">
        <v>1280</v>
      </c>
      <c r="G10" s="3">
        <v>1</v>
      </c>
      <c r="H10">
        <v>1993</v>
      </c>
      <c r="J10" t="s">
        <v>171</v>
      </c>
    </row>
    <row r="11" spans="1:11" x14ac:dyDescent="0.2">
      <c r="B11" t="s">
        <v>1595</v>
      </c>
      <c r="C11" t="s">
        <v>954</v>
      </c>
      <c r="D11" t="s">
        <v>1743</v>
      </c>
      <c r="E11" t="s">
        <v>1625</v>
      </c>
    </row>
    <row r="12" spans="1:11" x14ac:dyDescent="0.2">
      <c r="B12" t="s">
        <v>1751</v>
      </c>
      <c r="C12" t="s">
        <v>1750</v>
      </c>
      <c r="D12" s="254" t="s">
        <v>241</v>
      </c>
      <c r="E12" t="s">
        <v>1748</v>
      </c>
    </row>
    <row r="13" spans="1:11" x14ac:dyDescent="0.2">
      <c r="B13" t="s">
        <v>1598</v>
      </c>
      <c r="C13" t="s">
        <v>1174</v>
      </c>
      <c r="E13" t="s">
        <v>1617</v>
      </c>
    </row>
    <row r="14" spans="1:11" x14ac:dyDescent="0.2">
      <c r="B14" t="s">
        <v>1760</v>
      </c>
      <c r="C14" t="s">
        <v>1586</v>
      </c>
      <c r="D14" t="s">
        <v>1761</v>
      </c>
      <c r="E14" t="s">
        <v>1762</v>
      </c>
      <c r="F14" t="s">
        <v>1783</v>
      </c>
    </row>
    <row r="15" spans="1:11" x14ac:dyDescent="0.2">
      <c r="B15" t="s">
        <v>1865</v>
      </c>
      <c r="C15" t="s">
        <v>1861</v>
      </c>
      <c r="D15" t="s">
        <v>1862</v>
      </c>
      <c r="E15" t="s">
        <v>195</v>
      </c>
    </row>
    <row r="16" spans="1:11" x14ac:dyDescent="0.2">
      <c r="B16" t="s">
        <v>1831</v>
      </c>
      <c r="C16" t="s">
        <v>1580</v>
      </c>
      <c r="D16" t="s">
        <v>1553</v>
      </c>
      <c r="E16" t="s">
        <v>1552</v>
      </c>
    </row>
    <row r="17" spans="2:9" x14ac:dyDescent="0.2">
      <c r="B17" t="s">
        <v>1589</v>
      </c>
      <c r="C17" t="s">
        <v>1270</v>
      </c>
      <c r="E17" t="s">
        <v>1624</v>
      </c>
    </row>
    <row r="18" spans="2:9" x14ac:dyDescent="0.2">
      <c r="B18" t="s">
        <v>1623</v>
      </c>
      <c r="C18" t="s">
        <v>1327</v>
      </c>
      <c r="E18" t="s">
        <v>1592</v>
      </c>
      <c r="F18" t="s">
        <v>1280</v>
      </c>
    </row>
    <row r="19" spans="2:9" x14ac:dyDescent="0.2">
      <c r="B19" t="s">
        <v>1062</v>
      </c>
      <c r="D19" t="s">
        <v>1059</v>
      </c>
      <c r="E19" t="s">
        <v>1061</v>
      </c>
    </row>
    <row r="20" spans="2:9" x14ac:dyDescent="0.2">
      <c r="B20" t="s">
        <v>1063</v>
      </c>
      <c r="D20" t="s">
        <v>1059</v>
      </c>
      <c r="E20" t="s">
        <v>1061</v>
      </c>
    </row>
    <row r="21" spans="2:9" x14ac:dyDescent="0.2">
      <c r="B21" t="s">
        <v>1064</v>
      </c>
      <c r="D21" t="s">
        <v>1059</v>
      </c>
      <c r="E21" t="s">
        <v>1061</v>
      </c>
    </row>
    <row r="22" spans="2:9" x14ac:dyDescent="0.2">
      <c r="C22" t="s">
        <v>546</v>
      </c>
      <c r="D22" s="321" t="s">
        <v>547</v>
      </c>
      <c r="E22" t="s">
        <v>548</v>
      </c>
    </row>
    <row r="23" spans="2:9" x14ac:dyDescent="0.2">
      <c r="C23" t="s">
        <v>549</v>
      </c>
      <c r="D23" s="321" t="s">
        <v>550</v>
      </c>
      <c r="E23" t="s">
        <v>548</v>
      </c>
    </row>
    <row r="24" spans="2:9" x14ac:dyDescent="0.2">
      <c r="C24" t="s">
        <v>551</v>
      </c>
      <c r="D24" s="321" t="s">
        <v>552</v>
      </c>
      <c r="E24" t="s">
        <v>548</v>
      </c>
    </row>
    <row r="25" spans="2:9" x14ac:dyDescent="0.2">
      <c r="C25" t="s">
        <v>553</v>
      </c>
      <c r="D25" s="321" t="s">
        <v>554</v>
      </c>
      <c r="E25" t="s">
        <v>548</v>
      </c>
    </row>
    <row r="26" spans="2:9" x14ac:dyDescent="0.2">
      <c r="C26" t="s">
        <v>555</v>
      </c>
      <c r="D26" s="321" t="s">
        <v>556</v>
      </c>
      <c r="E26" t="s">
        <v>548</v>
      </c>
    </row>
    <row r="27" spans="2:9" x14ac:dyDescent="0.2">
      <c r="B27" t="s">
        <v>247</v>
      </c>
      <c r="C27" t="s">
        <v>19</v>
      </c>
    </row>
    <row r="28" spans="2:9" x14ac:dyDescent="0.2">
      <c r="B28" t="s">
        <v>435</v>
      </c>
    </row>
    <row r="29" spans="2:9" x14ac:dyDescent="0.2">
      <c r="B29" t="s">
        <v>436</v>
      </c>
    </row>
    <row r="30" spans="2:9" x14ac:dyDescent="0.2">
      <c r="B30" s="2" t="s">
        <v>570</v>
      </c>
      <c r="C30" t="s">
        <v>187</v>
      </c>
      <c r="D30" s="254" t="s">
        <v>188</v>
      </c>
      <c r="E30" s="277">
        <v>1</v>
      </c>
      <c r="F30" s="277" t="s">
        <v>206</v>
      </c>
      <c r="G30" t="s">
        <v>573</v>
      </c>
    </row>
    <row r="31" spans="2:9" x14ac:dyDescent="0.2">
      <c r="B31" s="2" t="s">
        <v>200</v>
      </c>
      <c r="C31" t="s">
        <v>201</v>
      </c>
      <c r="D31" s="254" t="s">
        <v>202</v>
      </c>
      <c r="E31" s="277" t="s">
        <v>203</v>
      </c>
      <c r="F31" s="277" t="s">
        <v>171</v>
      </c>
      <c r="G31" t="s">
        <v>24</v>
      </c>
      <c r="I31" s="254">
        <v>2013</v>
      </c>
    </row>
    <row r="32" spans="2:9" x14ac:dyDescent="0.2">
      <c r="B32" s="322" t="s">
        <v>568</v>
      </c>
      <c r="C32" t="s">
        <v>564</v>
      </c>
      <c r="D32" s="254" t="s">
        <v>74</v>
      </c>
      <c r="E32" s="277" t="s">
        <v>565</v>
      </c>
      <c r="F32" s="277" t="s">
        <v>566</v>
      </c>
      <c r="G32" t="s">
        <v>567</v>
      </c>
      <c r="I32" s="254" t="s">
        <v>1186</v>
      </c>
    </row>
    <row r="33" spans="2:11" x14ac:dyDescent="0.2">
      <c r="B33" s="2" t="s">
        <v>569</v>
      </c>
      <c r="C33" t="s">
        <v>183</v>
      </c>
      <c r="D33" s="254" t="s">
        <v>184</v>
      </c>
      <c r="E33" s="277">
        <v>1</v>
      </c>
      <c r="F33" s="277" t="s">
        <v>171</v>
      </c>
      <c r="G33" t="s">
        <v>662</v>
      </c>
      <c r="I33" s="314" t="s">
        <v>22</v>
      </c>
    </row>
    <row r="34" spans="2:11" x14ac:dyDescent="0.2">
      <c r="B34" s="322" t="s">
        <v>1488</v>
      </c>
      <c r="C34" t="s">
        <v>197</v>
      </c>
      <c r="D34" s="254" t="s">
        <v>198</v>
      </c>
      <c r="E34" s="254" t="s">
        <v>199</v>
      </c>
      <c r="F34" s="254" t="s">
        <v>171</v>
      </c>
      <c r="G34" t="s">
        <v>1489</v>
      </c>
      <c r="I34" s="314" t="s">
        <v>23</v>
      </c>
    </row>
    <row r="35" spans="2:11" x14ac:dyDescent="0.2">
      <c r="B35" s="323" t="s">
        <v>242</v>
      </c>
      <c r="C35" t="s">
        <v>1549</v>
      </c>
      <c r="D35" s="254"/>
      <c r="E35" s="277" t="s">
        <v>1347</v>
      </c>
      <c r="F35" s="254" t="s">
        <v>171</v>
      </c>
      <c r="H35" s="254">
        <v>2001</v>
      </c>
      <c r="I35" s="254" t="s">
        <v>22</v>
      </c>
    </row>
    <row r="36" spans="2:11" x14ac:dyDescent="0.2">
      <c r="B36" s="2" t="s">
        <v>1507</v>
      </c>
      <c r="C36" t="s">
        <v>187</v>
      </c>
      <c r="D36" s="254" t="s">
        <v>875</v>
      </c>
      <c r="E36" s="277" t="s">
        <v>631</v>
      </c>
      <c r="F36" s="254" t="s">
        <v>171</v>
      </c>
      <c r="G36" t="s">
        <v>458</v>
      </c>
      <c r="I36" s="254" t="s">
        <v>876</v>
      </c>
    </row>
    <row r="37" spans="2:11" x14ac:dyDescent="0.2">
      <c r="B37" s="2" t="s">
        <v>660</v>
      </c>
      <c r="C37" t="s">
        <v>665</v>
      </c>
      <c r="D37" s="254" t="s">
        <v>666</v>
      </c>
      <c r="E37" s="277">
        <v>1</v>
      </c>
      <c r="F37" s="254" t="s">
        <v>169</v>
      </c>
      <c r="G37" t="s">
        <v>667</v>
      </c>
      <c r="I37" s="254">
        <v>2014</v>
      </c>
    </row>
    <row r="38" spans="2:11" x14ac:dyDescent="0.2">
      <c r="B38" s="2" t="s">
        <v>209</v>
      </c>
      <c r="C38" t="s">
        <v>212</v>
      </c>
      <c r="D38" s="254" t="s">
        <v>668</v>
      </c>
      <c r="E38" s="277">
        <v>1</v>
      </c>
      <c r="F38" s="254" t="s">
        <v>664</v>
      </c>
      <c r="G38" t="s">
        <v>669</v>
      </c>
      <c r="I38" s="254" t="s">
        <v>664</v>
      </c>
    </row>
    <row r="39" spans="2:11" x14ac:dyDescent="0.2">
      <c r="B39" s="2" t="s">
        <v>15</v>
      </c>
      <c r="D39" s="254"/>
      <c r="E39" s="254"/>
      <c r="I39" s="254" t="s">
        <v>22</v>
      </c>
    </row>
    <row r="40" spans="2:11" x14ac:dyDescent="0.2">
      <c r="B40" s="2" t="s">
        <v>577</v>
      </c>
      <c r="C40" t="s">
        <v>187</v>
      </c>
      <c r="D40" s="254"/>
      <c r="E40" s="254" t="s">
        <v>578</v>
      </c>
      <c r="F40" s="254" t="s">
        <v>171</v>
      </c>
      <c r="I40" s="254" t="s">
        <v>579</v>
      </c>
    </row>
    <row r="41" spans="2:11" x14ac:dyDescent="0.2">
      <c r="B41" s="2" t="s">
        <v>576</v>
      </c>
      <c r="C41" t="s">
        <v>223</v>
      </c>
      <c r="D41" s="254" t="s">
        <v>224</v>
      </c>
      <c r="E41" s="277">
        <v>1</v>
      </c>
      <c r="F41" s="254" t="s">
        <v>169</v>
      </c>
      <c r="G41" s="254"/>
      <c r="H41" s="254"/>
      <c r="I41" s="254" t="s">
        <v>23</v>
      </c>
    </row>
    <row r="42" spans="2:11" x14ac:dyDescent="0.2">
      <c r="B42" s="315" t="s">
        <v>1627</v>
      </c>
      <c r="C42" t="s">
        <v>197</v>
      </c>
      <c r="D42" s="254" t="s">
        <v>198</v>
      </c>
      <c r="E42" s="277" t="s">
        <v>260</v>
      </c>
      <c r="F42" s="254" t="s">
        <v>171</v>
      </c>
      <c r="G42" t="s">
        <v>1628</v>
      </c>
      <c r="I42" s="313"/>
    </row>
    <row r="43" spans="2:11" x14ac:dyDescent="0.2">
      <c r="B43" s="311" t="s">
        <v>879</v>
      </c>
      <c r="C43" t="s">
        <v>195</v>
      </c>
      <c r="D43" s="254" t="s">
        <v>196</v>
      </c>
      <c r="E43" s="277" t="s">
        <v>661</v>
      </c>
      <c r="F43" s="277" t="s">
        <v>169</v>
      </c>
      <c r="G43" s="76"/>
      <c r="H43" s="313" t="s">
        <v>663</v>
      </c>
    </row>
    <row r="44" spans="2:11" x14ac:dyDescent="0.2">
      <c r="C44" s="254"/>
      <c r="D44" s="254"/>
      <c r="H44" t="s">
        <v>165</v>
      </c>
      <c r="I44" s="254" t="s">
        <v>1781</v>
      </c>
      <c r="J44" t="s">
        <v>496</v>
      </c>
      <c r="K44" t="s">
        <v>317</v>
      </c>
    </row>
    <row r="45" spans="2:11" x14ac:dyDescent="0.2">
      <c r="B45" t="s">
        <v>1615</v>
      </c>
    </row>
    <row r="46" spans="2:11" x14ac:dyDescent="0.2">
      <c r="B46" t="s">
        <v>1606</v>
      </c>
      <c r="C46" t="s">
        <v>1585</v>
      </c>
      <c r="D46" t="s">
        <v>1611</v>
      </c>
      <c r="E46" t="s">
        <v>1703</v>
      </c>
      <c r="F46" t="s">
        <v>1702</v>
      </c>
      <c r="G46" t="s">
        <v>1547</v>
      </c>
    </row>
    <row r="47" spans="2:11" x14ac:dyDescent="0.2">
      <c r="B47" t="s">
        <v>1597</v>
      </c>
    </row>
    <row r="48" spans="2:11" x14ac:dyDescent="0.2">
      <c r="B48" t="s">
        <v>1603</v>
      </c>
    </row>
    <row r="49" spans="2:11" x14ac:dyDescent="0.2">
      <c r="D49" t="s">
        <v>1611</v>
      </c>
      <c r="E49" t="s">
        <v>195</v>
      </c>
    </row>
    <row r="50" spans="2:11" x14ac:dyDescent="0.2">
      <c r="B50" t="s">
        <v>1596</v>
      </c>
      <c r="E50" t="s">
        <v>1609</v>
      </c>
    </row>
    <row r="51" spans="2:11" x14ac:dyDescent="0.2">
      <c r="B51" t="s">
        <v>1704</v>
      </c>
      <c r="C51" t="s">
        <v>1705</v>
      </c>
      <c r="D51" t="s">
        <v>1753</v>
      </c>
      <c r="E51" t="s">
        <v>1752</v>
      </c>
      <c r="G51" s="322"/>
      <c r="H51" s="254"/>
      <c r="I51" s="254"/>
    </row>
    <row r="52" spans="2:11" x14ac:dyDescent="0.2">
      <c r="B52" t="s">
        <v>1754</v>
      </c>
      <c r="C52" t="s">
        <v>1755</v>
      </c>
      <c r="D52" t="s">
        <v>1757</v>
      </c>
      <c r="E52" t="s">
        <v>1756</v>
      </c>
      <c r="G52" s="322"/>
      <c r="H52" s="254"/>
      <c r="I52" s="254"/>
    </row>
    <row r="53" spans="2:11" x14ac:dyDescent="0.2">
      <c r="B53" t="s">
        <v>1307</v>
      </c>
    </row>
    <row r="54" spans="2:11" x14ac:dyDescent="0.2">
      <c r="B54" t="s">
        <v>243</v>
      </c>
      <c r="D54" t="s">
        <v>1785</v>
      </c>
      <c r="E54" t="s">
        <v>1786</v>
      </c>
      <c r="J54" t="s">
        <v>1567</v>
      </c>
    </row>
    <row r="55" spans="2:11" x14ac:dyDescent="0.2">
      <c r="B55" t="s">
        <v>251</v>
      </c>
      <c r="D55" t="s">
        <v>252</v>
      </c>
      <c r="E55" t="s">
        <v>1829</v>
      </c>
      <c r="H55" t="s">
        <v>213</v>
      </c>
      <c r="J55" t="s">
        <v>171</v>
      </c>
    </row>
    <row r="56" spans="2:11" x14ac:dyDescent="0.2">
      <c r="B56" t="s">
        <v>1570</v>
      </c>
      <c r="E56" t="s">
        <v>1571</v>
      </c>
    </row>
    <row r="57" spans="2:11" x14ac:dyDescent="0.2">
      <c r="B57" t="s">
        <v>318</v>
      </c>
      <c r="D57" t="s">
        <v>1834</v>
      </c>
      <c r="E57" t="s">
        <v>1835</v>
      </c>
    </row>
    <row r="58" spans="2:11" x14ac:dyDescent="0.2">
      <c r="B58" t="s">
        <v>236</v>
      </c>
    </row>
    <row r="59" spans="2:11" x14ac:dyDescent="0.2">
      <c r="B59" t="s">
        <v>1613</v>
      </c>
      <c r="D59" t="s">
        <v>837</v>
      </c>
    </row>
    <row r="60" spans="2:11" x14ac:dyDescent="0.2">
      <c r="B60" t="s">
        <v>1434</v>
      </c>
      <c r="D60" t="s">
        <v>1564</v>
      </c>
      <c r="E60" t="s">
        <v>1789</v>
      </c>
      <c r="F60" t="s">
        <v>1702</v>
      </c>
      <c r="G60" t="s">
        <v>711</v>
      </c>
      <c r="H60" t="s">
        <v>213</v>
      </c>
      <c r="J60" t="s">
        <v>171</v>
      </c>
      <c r="K60" t="s">
        <v>1788</v>
      </c>
    </row>
    <row r="61" spans="2:11" x14ac:dyDescent="0.2">
      <c r="B61" t="s">
        <v>1604</v>
      </c>
    </row>
    <row r="62" spans="2:11" x14ac:dyDescent="0.2">
      <c r="B62" t="s">
        <v>1620</v>
      </c>
    </row>
    <row r="63" spans="2:11" x14ac:dyDescent="0.2">
      <c r="B63" t="s">
        <v>240</v>
      </c>
      <c r="C63" t="s">
        <v>170</v>
      </c>
      <c r="D63" t="s">
        <v>1830</v>
      </c>
      <c r="E63" t="s">
        <v>170</v>
      </c>
    </row>
    <row r="64" spans="2:11" x14ac:dyDescent="0.2">
      <c r="B64" t="s">
        <v>1590</v>
      </c>
      <c r="E64" t="s">
        <v>1594</v>
      </c>
    </row>
    <row r="65" spans="2:6" x14ac:dyDescent="0.2">
      <c r="B65" t="s">
        <v>1437</v>
      </c>
    </row>
    <row r="66" spans="2:6" x14ac:dyDescent="0.2">
      <c r="B66" t="s">
        <v>1577</v>
      </c>
      <c r="E66" t="s">
        <v>1578</v>
      </c>
    </row>
    <row r="67" spans="2:6" x14ac:dyDescent="0.2">
      <c r="B67" t="s">
        <v>1326</v>
      </c>
      <c r="D67" t="s">
        <v>1776</v>
      </c>
      <c r="E67" t="s">
        <v>1775</v>
      </c>
    </row>
    <row r="68" spans="2:6" x14ac:dyDescent="0.2">
      <c r="B68" t="s">
        <v>1572</v>
      </c>
    </row>
    <row r="69" spans="2:6" x14ac:dyDescent="0.2">
      <c r="B69" t="s">
        <v>1335</v>
      </c>
      <c r="E69" t="s">
        <v>1602</v>
      </c>
    </row>
    <row r="70" spans="2:6" x14ac:dyDescent="0.2">
      <c r="B70" t="s">
        <v>1435</v>
      </c>
      <c r="D70" t="s">
        <v>1579</v>
      </c>
      <c r="E70" t="s">
        <v>1588</v>
      </c>
    </row>
    <row r="71" spans="2:6" x14ac:dyDescent="0.2">
      <c r="B71" t="s">
        <v>1610</v>
      </c>
      <c r="E71" t="s">
        <v>1619</v>
      </c>
    </row>
    <row r="72" spans="2:6" x14ac:dyDescent="0.2">
      <c r="B72" t="s">
        <v>1576</v>
      </c>
    </row>
    <row r="73" spans="2:6" x14ac:dyDescent="0.2">
      <c r="B73" t="s">
        <v>1600</v>
      </c>
      <c r="E73" t="s">
        <v>238</v>
      </c>
    </row>
    <row r="74" spans="2:6" x14ac:dyDescent="0.2">
      <c r="B74" t="s">
        <v>1621</v>
      </c>
      <c r="E74" t="s">
        <v>319</v>
      </c>
    </row>
    <row r="75" spans="2:6" x14ac:dyDescent="0.2">
      <c r="B75" t="s">
        <v>1612</v>
      </c>
      <c r="E75" t="s">
        <v>1609</v>
      </c>
    </row>
    <row r="76" spans="2:6" x14ac:dyDescent="0.2">
      <c r="B76" t="s">
        <v>1608</v>
      </c>
      <c r="E76" t="s">
        <v>1433</v>
      </c>
    </row>
    <row r="77" spans="2:6" x14ac:dyDescent="0.2">
      <c r="B77" t="s">
        <v>1769</v>
      </c>
      <c r="C77" t="s">
        <v>1766</v>
      </c>
      <c r="D77" t="s">
        <v>1770</v>
      </c>
      <c r="E77" t="s">
        <v>1618</v>
      </c>
      <c r="F77" t="s">
        <v>1771</v>
      </c>
    </row>
    <row r="78" spans="2:6" x14ac:dyDescent="0.2">
      <c r="B78" t="s">
        <v>1558</v>
      </c>
      <c r="C78" t="s">
        <v>1832</v>
      </c>
      <c r="D78" t="s">
        <v>1833</v>
      </c>
      <c r="E78" t="s">
        <v>1549</v>
      </c>
    </row>
    <row r="79" spans="2:6" x14ac:dyDescent="0.2">
      <c r="B79" t="s">
        <v>1614</v>
      </c>
    </row>
    <row r="80" spans="2:6" x14ac:dyDescent="0.2">
      <c r="B80" t="s">
        <v>1768</v>
      </c>
      <c r="C80" t="s">
        <v>1607</v>
      </c>
    </row>
    <row r="81" spans="2:7" x14ac:dyDescent="0.2">
      <c r="B81" t="s">
        <v>1581</v>
      </c>
      <c r="C81" t="s">
        <v>1582</v>
      </c>
    </row>
    <row r="82" spans="2:7" x14ac:dyDescent="0.2">
      <c r="B82" t="s">
        <v>1583</v>
      </c>
      <c r="D82" t="s">
        <v>1584</v>
      </c>
    </row>
    <row r="83" spans="2:7" x14ac:dyDescent="0.2">
      <c r="B83" t="s">
        <v>225</v>
      </c>
      <c r="E83" t="s">
        <v>215</v>
      </c>
    </row>
    <row r="84" spans="2:7" x14ac:dyDescent="0.2">
      <c r="B84" t="s">
        <v>1593</v>
      </c>
    </row>
    <row r="85" spans="2:7" x14ac:dyDescent="0.2">
      <c r="B85" t="s">
        <v>245</v>
      </c>
      <c r="E85" t="s">
        <v>246</v>
      </c>
    </row>
    <row r="86" spans="2:7" x14ac:dyDescent="0.2">
      <c r="C86" t="s">
        <v>1548</v>
      </c>
      <c r="E86" t="s">
        <v>1549</v>
      </c>
      <c r="G86" t="s">
        <v>173</v>
      </c>
    </row>
    <row r="87" spans="2:7" x14ac:dyDescent="0.2">
      <c r="C87" t="s">
        <v>1586</v>
      </c>
      <c r="E87" t="s">
        <v>1587</v>
      </c>
    </row>
    <row r="88" spans="2:7" x14ac:dyDescent="0.2">
      <c r="C88" t="s">
        <v>1599</v>
      </c>
      <c r="E88" t="s">
        <v>1626</v>
      </c>
    </row>
    <row r="90" spans="2:7" x14ac:dyDescent="0.2">
      <c r="B90" t="s">
        <v>1236</v>
      </c>
    </row>
    <row r="91" spans="2:7" x14ac:dyDescent="0.2">
      <c r="B91" t="s">
        <v>1237</v>
      </c>
    </row>
    <row r="92" spans="2:7" x14ac:dyDescent="0.2">
      <c r="B92" t="s">
        <v>1238</v>
      </c>
    </row>
    <row r="93" spans="2:7" x14ac:dyDescent="0.2">
      <c r="B93" t="s">
        <v>1307</v>
      </c>
    </row>
    <row r="94" spans="2:7" x14ac:dyDescent="0.2">
      <c r="B94" t="s">
        <v>1340</v>
      </c>
    </row>
    <row r="95" spans="2:7" x14ac:dyDescent="0.2">
      <c r="B95" t="s">
        <v>1341</v>
      </c>
    </row>
    <row r="96" spans="2:7" x14ac:dyDescent="0.2">
      <c r="B96" t="s">
        <v>1342</v>
      </c>
    </row>
    <row r="97" spans="2:7" x14ac:dyDescent="0.2">
      <c r="B97" t="s">
        <v>1343</v>
      </c>
    </row>
    <row r="98" spans="2:7" x14ac:dyDescent="0.2">
      <c r="B98" s="310" t="s">
        <v>1763</v>
      </c>
      <c r="C98" s="254"/>
      <c r="D98" s="254" t="s">
        <v>1764</v>
      </c>
      <c r="E98" s="254" t="s">
        <v>1765</v>
      </c>
      <c r="F98" s="254" t="s">
        <v>171</v>
      </c>
      <c r="G98" s="331" t="s">
        <v>711</v>
      </c>
    </row>
    <row r="99" spans="2:7" x14ac:dyDescent="0.2">
      <c r="B99" s="310" t="s">
        <v>1772</v>
      </c>
      <c r="C99" s="254" t="s">
        <v>1773</v>
      </c>
      <c r="D99" s="254"/>
      <c r="E99" s="254" t="s">
        <v>213</v>
      </c>
      <c r="F99" s="254"/>
      <c r="G99" s="331" t="s">
        <v>1774</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 ref="B43"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5"/>
  <sheetViews>
    <sheetView tabSelected="1" zoomScale="130" zoomScaleNormal="130" workbookViewId="0"/>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9" width="24" customWidth="1"/>
    <col min="10" max="10" width="23.42578125" customWidth="1"/>
    <col min="11" max="11" width="17.85546875" customWidth="1"/>
    <col min="12" max="12" width="9.85546875" customWidth="1"/>
    <col min="13" max="13" width="7.42578125" customWidth="1"/>
    <col min="14" max="14" width="11.5703125" customWidth="1"/>
    <col min="15" max="15" width="2.85546875" customWidth="1"/>
    <col min="16" max="16" width="7.28515625" customWidth="1"/>
    <col min="18" max="18" width="6.42578125" customWidth="1"/>
  </cols>
  <sheetData>
    <row r="1" spans="2:21" ht="10.5" customHeight="1" x14ac:dyDescent="0.2"/>
    <row r="2" spans="2:21" x14ac:dyDescent="0.2">
      <c r="B2" s="306" t="s">
        <v>159</v>
      </c>
      <c r="C2" s="324" t="s">
        <v>160</v>
      </c>
      <c r="D2" s="307" t="s">
        <v>161</v>
      </c>
      <c r="E2" s="307" t="s">
        <v>162</v>
      </c>
      <c r="F2" s="307" t="s">
        <v>163</v>
      </c>
      <c r="G2" s="334" t="s">
        <v>774</v>
      </c>
      <c r="H2" s="329" t="s">
        <v>164</v>
      </c>
      <c r="I2" s="306" t="s">
        <v>159</v>
      </c>
      <c r="J2" s="307" t="s">
        <v>160</v>
      </c>
      <c r="K2" s="307" t="s">
        <v>161</v>
      </c>
      <c r="L2" s="307" t="s">
        <v>165</v>
      </c>
      <c r="M2" s="307" t="s">
        <v>163</v>
      </c>
      <c r="N2" s="329" t="s">
        <v>162</v>
      </c>
      <c r="P2" t="s">
        <v>156</v>
      </c>
      <c r="Q2" s="292">
        <v>165</v>
      </c>
      <c r="R2" s="254"/>
    </row>
    <row r="3" spans="2:21" x14ac:dyDescent="0.2">
      <c r="B3" s="308" t="s">
        <v>531</v>
      </c>
      <c r="C3" t="s">
        <v>178</v>
      </c>
      <c r="D3" s="254" t="s">
        <v>1792</v>
      </c>
      <c r="E3" s="254" t="s">
        <v>1425</v>
      </c>
      <c r="F3" s="254" t="s">
        <v>399</v>
      </c>
      <c r="G3" s="163">
        <v>40081</v>
      </c>
      <c r="H3" s="325" t="s">
        <v>1951</v>
      </c>
      <c r="I3" s="310" t="s">
        <v>1758</v>
      </c>
      <c r="J3" s="254" t="s">
        <v>1759</v>
      </c>
      <c r="K3" s="254"/>
      <c r="L3" s="254"/>
      <c r="M3" s="254"/>
      <c r="N3" s="331" t="s">
        <v>1774</v>
      </c>
      <c r="P3" t="s">
        <v>261</v>
      </c>
      <c r="Q3" s="79">
        <v>2430</v>
      </c>
      <c r="R3" s="76" t="s">
        <v>1899</v>
      </c>
    </row>
    <row r="4" spans="2:21" x14ac:dyDescent="0.2">
      <c r="B4" s="311" t="s">
        <v>1680</v>
      </c>
      <c r="C4" t="s">
        <v>195</v>
      </c>
      <c r="D4" s="254" t="s">
        <v>1793</v>
      </c>
      <c r="E4" s="277" t="s">
        <v>1784</v>
      </c>
      <c r="F4" s="254" t="s">
        <v>169</v>
      </c>
      <c r="G4" s="163">
        <v>42324</v>
      </c>
      <c r="H4" s="313" t="s">
        <v>961</v>
      </c>
      <c r="I4" s="310" t="s">
        <v>1905</v>
      </c>
      <c r="J4" s="254" t="s">
        <v>1941</v>
      </c>
      <c r="K4" s="254" t="s">
        <v>1907</v>
      </c>
      <c r="L4" s="254" t="s">
        <v>1765</v>
      </c>
      <c r="M4" s="254"/>
      <c r="N4" s="331"/>
      <c r="P4" t="s">
        <v>263</v>
      </c>
      <c r="Q4" s="79">
        <f>Q3*Q2</f>
        <v>400950</v>
      </c>
      <c r="R4" s="254"/>
    </row>
    <row r="5" spans="2:21" x14ac:dyDescent="0.2">
      <c r="B5" s="308" t="s">
        <v>1863</v>
      </c>
      <c r="C5" t="s">
        <v>195</v>
      </c>
      <c r="D5" s="254" t="s">
        <v>1864</v>
      </c>
      <c r="E5" s="277" t="s">
        <v>1784</v>
      </c>
      <c r="F5" s="254" t="s">
        <v>399</v>
      </c>
      <c r="H5" s="313" t="s">
        <v>961</v>
      </c>
      <c r="I5" s="310" t="s">
        <v>1924</v>
      </c>
      <c r="J5" s="254" t="s">
        <v>1925</v>
      </c>
      <c r="K5" s="254"/>
      <c r="L5" s="254" t="s">
        <v>213</v>
      </c>
      <c r="M5" s="254"/>
      <c r="N5" s="331"/>
      <c r="P5" t="s">
        <v>158</v>
      </c>
      <c r="Q5" s="79">
        <f>+Model!DG145</f>
        <v>26218</v>
      </c>
      <c r="R5" s="76" t="s">
        <v>1899</v>
      </c>
    </row>
    <row r="6" spans="2:21" x14ac:dyDescent="0.2">
      <c r="B6" s="326" t="s">
        <v>1913</v>
      </c>
      <c r="C6" t="s">
        <v>195</v>
      </c>
      <c r="D6" s="254" t="s">
        <v>1911</v>
      </c>
      <c r="E6" s="277" t="s">
        <v>1910</v>
      </c>
      <c r="F6" s="254" t="s">
        <v>169</v>
      </c>
      <c r="G6" s="76"/>
      <c r="H6" s="313"/>
      <c r="I6" s="310" t="s">
        <v>1890</v>
      </c>
      <c r="J6" s="254" t="s">
        <v>256</v>
      </c>
      <c r="K6" s="254" t="s">
        <v>1891</v>
      </c>
      <c r="L6" s="254" t="s">
        <v>213</v>
      </c>
      <c r="M6" s="254" t="s">
        <v>171</v>
      </c>
      <c r="N6" s="331"/>
      <c r="P6" t="s">
        <v>264</v>
      </c>
      <c r="Q6" s="79">
        <f>Model!DG164+Model!DG157</f>
        <v>33632</v>
      </c>
      <c r="R6" s="76" t="s">
        <v>1899</v>
      </c>
    </row>
    <row r="7" spans="2:21" x14ac:dyDescent="0.2">
      <c r="B7" s="311" t="s">
        <v>842</v>
      </c>
      <c r="C7" t="s">
        <v>170</v>
      </c>
      <c r="D7" s="254" t="s">
        <v>1787</v>
      </c>
      <c r="E7" s="277" t="s">
        <v>173</v>
      </c>
      <c r="F7" s="277" t="s">
        <v>1275</v>
      </c>
      <c r="G7" s="76"/>
      <c r="H7" s="313" t="s">
        <v>1276</v>
      </c>
      <c r="I7" s="310" t="s">
        <v>1914</v>
      </c>
      <c r="J7" s="254" t="s">
        <v>195</v>
      </c>
      <c r="K7" s="254" t="s">
        <v>1915</v>
      </c>
      <c r="L7" s="338"/>
      <c r="M7" s="338"/>
      <c r="N7" s="312"/>
      <c r="P7" t="s">
        <v>265</v>
      </c>
      <c r="Q7" s="79">
        <f>Q4-Q5+Q6</f>
        <v>408364</v>
      </c>
      <c r="R7" s="254"/>
    </row>
    <row r="8" spans="2:21" x14ac:dyDescent="0.2">
      <c r="B8" s="311" t="s">
        <v>192</v>
      </c>
      <c r="C8" t="s">
        <v>1424</v>
      </c>
      <c r="D8" s="254" t="s">
        <v>193</v>
      </c>
      <c r="E8" s="277" t="s">
        <v>1487</v>
      </c>
      <c r="F8" s="254" t="s">
        <v>171</v>
      </c>
      <c r="G8" s="76">
        <v>2011</v>
      </c>
      <c r="H8" s="313"/>
      <c r="I8" s="310" t="s">
        <v>1917</v>
      </c>
      <c r="J8" s="254" t="s">
        <v>246</v>
      </c>
      <c r="K8" s="254" t="s">
        <v>1918</v>
      </c>
      <c r="L8" s="338"/>
      <c r="M8" s="338"/>
      <c r="N8" s="332"/>
      <c r="R8" s="254"/>
    </row>
    <row r="9" spans="2:21" x14ac:dyDescent="0.2">
      <c r="B9" s="311" t="s">
        <v>1566</v>
      </c>
      <c r="C9" t="s">
        <v>1849</v>
      </c>
      <c r="D9" s="254" t="s">
        <v>1740</v>
      </c>
      <c r="E9" s="277" t="s">
        <v>1796</v>
      </c>
      <c r="F9" s="277" t="s">
        <v>171</v>
      </c>
      <c r="G9" s="76">
        <v>2013</v>
      </c>
      <c r="H9" s="313"/>
      <c r="I9" s="310" t="s">
        <v>1919</v>
      </c>
      <c r="J9" s="254" t="s">
        <v>1592</v>
      </c>
      <c r="K9" s="254" t="s">
        <v>1920</v>
      </c>
      <c r="L9" s="254" t="s">
        <v>239</v>
      </c>
      <c r="M9" s="339"/>
      <c r="N9" s="333"/>
      <c r="Q9" s="292"/>
      <c r="R9" s="254"/>
    </row>
    <row r="10" spans="2:21" x14ac:dyDescent="0.2">
      <c r="B10" s="311" t="s">
        <v>179</v>
      </c>
      <c r="C10" t="s">
        <v>180</v>
      </c>
      <c r="D10" s="254" t="s">
        <v>1794</v>
      </c>
      <c r="E10" s="277" t="s">
        <v>1483</v>
      </c>
      <c r="F10" s="277" t="s">
        <v>169</v>
      </c>
      <c r="G10" s="76"/>
      <c r="H10" s="313" t="s">
        <v>961</v>
      </c>
      <c r="I10" s="310" t="s">
        <v>1921</v>
      </c>
      <c r="J10" s="254" t="s">
        <v>1592</v>
      </c>
      <c r="K10" s="254" t="s">
        <v>1922</v>
      </c>
      <c r="L10" s="254"/>
      <c r="M10" s="254"/>
      <c r="N10" s="331"/>
      <c r="P10" t="s">
        <v>1870</v>
      </c>
      <c r="Q10" s="3"/>
      <c r="R10" s="254"/>
    </row>
    <row r="11" spans="2:21" x14ac:dyDescent="0.2">
      <c r="B11" s="311" t="s">
        <v>733</v>
      </c>
      <c r="C11" t="s">
        <v>625</v>
      </c>
      <c r="D11" s="254" t="s">
        <v>1794</v>
      </c>
      <c r="E11" s="277" t="s">
        <v>1484</v>
      </c>
      <c r="F11" s="254" t="s">
        <v>399</v>
      </c>
      <c r="G11" s="76"/>
      <c r="H11" s="313" t="s">
        <v>961</v>
      </c>
      <c r="I11" s="310" t="s">
        <v>1923</v>
      </c>
      <c r="J11" s="254" t="s">
        <v>1926</v>
      </c>
      <c r="N11" s="309"/>
      <c r="P11" t="s">
        <v>1873</v>
      </c>
      <c r="R11" s="254"/>
      <c r="S11" s="254"/>
      <c r="T11" s="254"/>
      <c r="U11" s="254"/>
    </row>
    <row r="12" spans="2:21" x14ac:dyDescent="0.2">
      <c r="B12" s="326" t="s">
        <v>1690</v>
      </c>
      <c r="C12" t="s">
        <v>178</v>
      </c>
      <c r="D12" s="254" t="s">
        <v>1553</v>
      </c>
      <c r="E12" s="277">
        <v>1</v>
      </c>
      <c r="F12" s="254" t="s">
        <v>399</v>
      </c>
      <c r="G12" s="76"/>
      <c r="H12" s="313" t="s">
        <v>961</v>
      </c>
      <c r="I12" s="310" t="s">
        <v>1927</v>
      </c>
      <c r="J12" s="254" t="s">
        <v>1940</v>
      </c>
      <c r="K12" s="254" t="s">
        <v>1939</v>
      </c>
      <c r="N12" s="309"/>
    </row>
    <row r="13" spans="2:21" x14ac:dyDescent="0.2">
      <c r="B13" s="311" t="s">
        <v>26</v>
      </c>
      <c r="C13" t="s">
        <v>168</v>
      </c>
      <c r="D13" s="254" t="s">
        <v>25</v>
      </c>
      <c r="E13" s="277">
        <v>1</v>
      </c>
      <c r="F13" s="277" t="s">
        <v>399</v>
      </c>
      <c r="H13" s="309" t="s">
        <v>1184</v>
      </c>
      <c r="I13" s="310" t="s">
        <v>1928</v>
      </c>
      <c r="J13" s="254" t="s">
        <v>178</v>
      </c>
      <c r="K13" s="254" t="s">
        <v>1553</v>
      </c>
      <c r="L13" s="254" t="s">
        <v>213</v>
      </c>
      <c r="M13" s="254" t="s">
        <v>171</v>
      </c>
      <c r="N13" s="309" t="s">
        <v>1929</v>
      </c>
    </row>
    <row r="14" spans="2:21" x14ac:dyDescent="0.2">
      <c r="B14" s="311" t="s">
        <v>571</v>
      </c>
      <c r="C14" t="s">
        <v>189</v>
      </c>
      <c r="D14" s="254" t="s">
        <v>190</v>
      </c>
      <c r="E14" s="277">
        <v>1</v>
      </c>
      <c r="F14" s="277" t="s">
        <v>171</v>
      </c>
      <c r="G14" s="76"/>
      <c r="H14" s="313" t="s">
        <v>191</v>
      </c>
      <c r="I14" s="310" t="s">
        <v>1550</v>
      </c>
      <c r="J14" s="254" t="s">
        <v>1333</v>
      </c>
      <c r="K14" s="254" t="s">
        <v>1551</v>
      </c>
      <c r="L14" s="254" t="s">
        <v>213</v>
      </c>
      <c r="M14" s="254" t="s">
        <v>399</v>
      </c>
      <c r="N14" s="331">
        <v>1</v>
      </c>
    </row>
    <row r="15" spans="2:21" x14ac:dyDescent="0.2">
      <c r="B15" s="311" t="s">
        <v>1557</v>
      </c>
      <c r="C15" t="s">
        <v>226</v>
      </c>
      <c r="D15" s="254" t="s">
        <v>841</v>
      </c>
      <c r="E15" s="277" t="s">
        <v>227</v>
      </c>
      <c r="F15" s="277" t="s">
        <v>171</v>
      </c>
      <c r="G15" s="76"/>
      <c r="H15" s="313"/>
      <c r="I15" s="310" t="s">
        <v>1942</v>
      </c>
      <c r="J15" s="254" t="s">
        <v>1943</v>
      </c>
      <c r="K15" s="254" t="s">
        <v>1944</v>
      </c>
      <c r="L15" s="254"/>
      <c r="M15" s="254"/>
      <c r="N15" s="331"/>
    </row>
    <row r="16" spans="2:21" x14ac:dyDescent="0.2">
      <c r="B16" s="311" t="s">
        <v>1817</v>
      </c>
      <c r="C16" t="s">
        <v>1818</v>
      </c>
      <c r="D16" s="254" t="s">
        <v>1819</v>
      </c>
      <c r="E16" s="277" t="s">
        <v>1828</v>
      </c>
      <c r="F16" s="277" t="s">
        <v>171</v>
      </c>
      <c r="G16" s="163">
        <v>44273</v>
      </c>
      <c r="H16" s="313"/>
      <c r="I16" s="310" t="s">
        <v>1432</v>
      </c>
      <c r="J16" s="254" t="s">
        <v>1433</v>
      </c>
      <c r="K16" s="254"/>
      <c r="L16" s="254" t="s">
        <v>213</v>
      </c>
      <c r="M16" s="254"/>
      <c r="N16" s="309"/>
    </row>
    <row r="17" spans="2:14" x14ac:dyDescent="0.2">
      <c r="B17" s="330" t="s">
        <v>1883</v>
      </c>
      <c r="C17" t="s">
        <v>1884</v>
      </c>
      <c r="D17" s="254" t="s">
        <v>1764</v>
      </c>
      <c r="E17" s="277"/>
      <c r="F17" s="277" t="s">
        <v>171</v>
      </c>
      <c r="G17" s="76"/>
      <c r="H17" s="313"/>
      <c r="I17" s="310" t="s">
        <v>1334</v>
      </c>
      <c r="J17" s="254" t="s">
        <v>244</v>
      </c>
      <c r="K17" s="254"/>
      <c r="L17" s="254" t="s">
        <v>213</v>
      </c>
      <c r="M17" s="254"/>
      <c r="N17" s="309"/>
    </row>
    <row r="18" spans="2:14" x14ac:dyDescent="0.2">
      <c r="B18" s="308" t="s">
        <v>177</v>
      </c>
      <c r="C18" t="s">
        <v>170</v>
      </c>
      <c r="D18" s="254" t="s">
        <v>1787</v>
      </c>
      <c r="E18" s="277" t="s">
        <v>1281</v>
      </c>
      <c r="F18" s="277" t="s">
        <v>1275</v>
      </c>
      <c r="G18" s="76"/>
      <c r="H18" s="313" t="s">
        <v>1282</v>
      </c>
      <c r="I18" s="310" t="s">
        <v>320</v>
      </c>
      <c r="J18" s="254" t="s">
        <v>321</v>
      </c>
      <c r="K18" s="254" t="s">
        <v>1436</v>
      </c>
      <c r="L18" s="254" t="s">
        <v>213</v>
      </c>
      <c r="M18" s="254"/>
      <c r="N18" s="309"/>
    </row>
    <row r="19" spans="2:14" x14ac:dyDescent="0.2">
      <c r="B19" s="308" t="s">
        <v>1486</v>
      </c>
      <c r="C19" t="s">
        <v>215</v>
      </c>
      <c r="D19" s="254" t="s">
        <v>218</v>
      </c>
      <c r="E19" s="277">
        <v>1</v>
      </c>
      <c r="F19" s="254" t="s">
        <v>171</v>
      </c>
      <c r="G19" s="76"/>
      <c r="H19" s="309" t="s">
        <v>1431</v>
      </c>
      <c r="I19" s="310" t="s">
        <v>1933</v>
      </c>
      <c r="J19" s="254" t="s">
        <v>1934</v>
      </c>
      <c r="K19" s="254"/>
      <c r="L19" s="254"/>
      <c r="M19" s="254"/>
      <c r="N19" s="309"/>
    </row>
    <row r="20" spans="2:14" x14ac:dyDescent="0.2">
      <c r="B20" s="311" t="s">
        <v>214</v>
      </c>
      <c r="C20" t="s">
        <v>215</v>
      </c>
      <c r="D20" s="254" t="s">
        <v>198</v>
      </c>
      <c r="E20" s="277">
        <v>1</v>
      </c>
      <c r="F20" s="254" t="s">
        <v>171</v>
      </c>
      <c r="G20" s="76"/>
      <c r="H20" s="313">
        <v>2015</v>
      </c>
      <c r="I20" s="310" t="s">
        <v>1963</v>
      </c>
      <c r="J20" s="254" t="s">
        <v>1965</v>
      </c>
      <c r="K20" s="254" t="s">
        <v>1964</v>
      </c>
      <c r="L20" s="254" t="s">
        <v>1765</v>
      </c>
      <c r="M20" s="254"/>
      <c r="N20" s="309"/>
    </row>
    <row r="21" spans="2:14" x14ac:dyDescent="0.2">
      <c r="B21" s="311" t="s">
        <v>217</v>
      </c>
      <c r="C21" t="s">
        <v>215</v>
      </c>
      <c r="D21" s="254" t="s">
        <v>218</v>
      </c>
      <c r="E21" s="277">
        <v>1</v>
      </c>
      <c r="F21" s="254" t="s">
        <v>171</v>
      </c>
      <c r="G21" s="76"/>
      <c r="H21" s="313" t="s">
        <v>23</v>
      </c>
      <c r="I21" s="310" t="s">
        <v>1935</v>
      </c>
      <c r="J21" s="254" t="s">
        <v>843</v>
      </c>
      <c r="K21" s="254"/>
      <c r="L21" s="254"/>
      <c r="M21" s="254"/>
      <c r="N21" s="309"/>
    </row>
    <row r="22" spans="2:14" x14ac:dyDescent="0.2">
      <c r="B22" s="308" t="s">
        <v>1485</v>
      </c>
      <c r="C22" t="s">
        <v>843</v>
      </c>
      <c r="D22" s="254" t="s">
        <v>878</v>
      </c>
      <c r="E22" s="277">
        <v>1</v>
      </c>
      <c r="F22" s="254" t="s">
        <v>171</v>
      </c>
      <c r="G22" s="76">
        <v>2011</v>
      </c>
      <c r="H22" s="313" t="s">
        <v>877</v>
      </c>
      <c r="I22" s="310" t="s">
        <v>1936</v>
      </c>
      <c r="J22" s="254" t="s">
        <v>1938</v>
      </c>
      <c r="K22" s="254" t="s">
        <v>1937</v>
      </c>
      <c r="L22" s="254"/>
      <c r="M22" s="254"/>
      <c r="N22" s="309"/>
    </row>
    <row r="23" spans="2:14" x14ac:dyDescent="0.2">
      <c r="B23" s="326" t="s">
        <v>1885</v>
      </c>
      <c r="C23" t="s">
        <v>843</v>
      </c>
      <c r="E23" s="277">
        <v>1</v>
      </c>
      <c r="F23" s="254" t="s">
        <v>171</v>
      </c>
      <c r="G23" s="76"/>
      <c r="H23" s="313"/>
      <c r="I23" s="310" t="s">
        <v>1931</v>
      </c>
      <c r="J23" s="254" t="s">
        <v>1932</v>
      </c>
      <c r="K23" s="254"/>
      <c r="L23" s="254"/>
      <c r="M23" s="254"/>
      <c r="N23" s="309"/>
    </row>
    <row r="24" spans="2:14" x14ac:dyDescent="0.2">
      <c r="B24" s="326" t="s">
        <v>1908</v>
      </c>
      <c r="C24" t="s">
        <v>1909</v>
      </c>
      <c r="D24" s="254" t="s">
        <v>1912</v>
      </c>
      <c r="E24" s="277">
        <v>1</v>
      </c>
      <c r="F24" s="254" t="s">
        <v>1567</v>
      </c>
      <c r="G24" s="76"/>
      <c r="H24" s="313"/>
      <c r="I24" s="310" t="s">
        <v>1930</v>
      </c>
      <c r="J24" s="254"/>
      <c r="K24" s="254"/>
      <c r="L24" s="254"/>
      <c r="M24" s="254"/>
      <c r="N24" s="309"/>
    </row>
    <row r="25" spans="2:14" x14ac:dyDescent="0.2">
      <c r="B25" s="326" t="s">
        <v>1916</v>
      </c>
      <c r="E25" s="277"/>
      <c r="F25" s="254"/>
      <c r="G25" s="76"/>
      <c r="H25" s="313"/>
      <c r="I25" s="310" t="s">
        <v>1437</v>
      </c>
      <c r="J25" s="254" t="s">
        <v>170</v>
      </c>
      <c r="K25" s="254" t="s">
        <v>1565</v>
      </c>
      <c r="L25" s="254" t="s">
        <v>213</v>
      </c>
      <c r="M25" s="254"/>
      <c r="N25" s="313"/>
    </row>
    <row r="26" spans="2:14" x14ac:dyDescent="0.2">
      <c r="B26" s="310" t="s">
        <v>1747</v>
      </c>
      <c r="C26" t="s">
        <v>1748</v>
      </c>
      <c r="D26" s="254" t="s">
        <v>1749</v>
      </c>
      <c r="E26" s="254" t="s">
        <v>711</v>
      </c>
      <c r="F26" s="254" t="s">
        <v>171</v>
      </c>
      <c r="G26" s="163">
        <v>41261</v>
      </c>
      <c r="H26" s="309"/>
      <c r="I26" s="310" t="s">
        <v>1539</v>
      </c>
      <c r="J26" s="254" t="s">
        <v>1540</v>
      </c>
      <c r="K26" s="254" t="s">
        <v>1541</v>
      </c>
      <c r="L26" s="254" t="s">
        <v>213</v>
      </c>
      <c r="M26" s="254" t="s">
        <v>171</v>
      </c>
      <c r="N26" s="313" t="s">
        <v>1542</v>
      </c>
    </row>
    <row r="27" spans="2:14" x14ac:dyDescent="0.2">
      <c r="B27" s="327" t="s">
        <v>1906</v>
      </c>
      <c r="C27" s="316"/>
      <c r="D27" s="317"/>
      <c r="E27" s="318"/>
      <c r="F27" s="317"/>
      <c r="G27" s="335"/>
      <c r="H27" s="328"/>
      <c r="I27" s="310" t="s">
        <v>1435</v>
      </c>
      <c r="J27" s="254" t="s">
        <v>170</v>
      </c>
      <c r="K27" s="254"/>
      <c r="L27" s="254" t="s">
        <v>213</v>
      </c>
      <c r="M27" s="254"/>
      <c r="N27" s="309"/>
    </row>
    <row r="28" spans="2:14" x14ac:dyDescent="0.2">
      <c r="I28" s="310" t="s">
        <v>1336</v>
      </c>
      <c r="J28" s="254" t="s">
        <v>1337</v>
      </c>
      <c r="K28" s="254"/>
      <c r="L28" s="254" t="s">
        <v>239</v>
      </c>
      <c r="M28" s="254"/>
      <c r="N28" s="309"/>
    </row>
    <row r="29" spans="2:14" x14ac:dyDescent="0.2">
      <c r="I29" s="310" t="s">
        <v>834</v>
      </c>
      <c r="J29" s="254" t="s">
        <v>238</v>
      </c>
      <c r="K29" s="254" t="s">
        <v>835</v>
      </c>
      <c r="L29" s="254" t="s">
        <v>239</v>
      </c>
      <c r="M29" s="254"/>
      <c r="N29" s="331">
        <v>1</v>
      </c>
    </row>
    <row r="30" spans="2:14" x14ac:dyDescent="0.2">
      <c r="I30" s="310" t="s">
        <v>1335</v>
      </c>
      <c r="J30" s="254"/>
      <c r="K30" s="254"/>
      <c r="L30" s="254" t="s">
        <v>239</v>
      </c>
      <c r="M30" s="254"/>
      <c r="N30" s="331"/>
    </row>
    <row r="31" spans="2:14" x14ac:dyDescent="0.2">
      <c r="B31" s="2" t="s">
        <v>228</v>
      </c>
      <c r="C31" s="2" t="s">
        <v>229</v>
      </c>
      <c r="D31" s="172" t="s">
        <v>230</v>
      </c>
      <c r="E31" s="172" t="s">
        <v>235</v>
      </c>
      <c r="F31" s="172" t="s">
        <v>234</v>
      </c>
      <c r="G31" s="172"/>
      <c r="H31" s="172"/>
      <c r="I31" s="310" t="s">
        <v>1408</v>
      </c>
      <c r="J31" s="254" t="s">
        <v>237</v>
      </c>
      <c r="K31" s="254" t="s">
        <v>1410</v>
      </c>
      <c r="L31" s="254" t="s">
        <v>239</v>
      </c>
      <c r="M31" s="254" t="s">
        <v>1411</v>
      </c>
      <c r="N31" s="331">
        <v>1</v>
      </c>
    </row>
    <row r="32" spans="2:14" x14ac:dyDescent="0.2">
      <c r="B32" s="2" t="s">
        <v>232</v>
      </c>
      <c r="C32" s="2" t="s">
        <v>248</v>
      </c>
      <c r="D32" s="172" t="s">
        <v>1339</v>
      </c>
      <c r="I32" s="310" t="s">
        <v>1409</v>
      </c>
      <c r="J32" s="254" t="s">
        <v>237</v>
      </c>
      <c r="K32" s="254" t="s">
        <v>1410</v>
      </c>
      <c r="L32" s="254" t="s">
        <v>239</v>
      </c>
      <c r="M32" s="254" t="s">
        <v>1411</v>
      </c>
      <c r="N32" s="331">
        <v>1</v>
      </c>
    </row>
    <row r="33" spans="2:14" x14ac:dyDescent="0.2">
      <c r="B33" s="2"/>
      <c r="C33" s="2"/>
      <c r="I33" s="310" t="s">
        <v>1344</v>
      </c>
      <c r="J33" s="254"/>
      <c r="K33" s="254"/>
      <c r="L33" s="254" t="s">
        <v>239</v>
      </c>
      <c r="M33" s="254" t="s">
        <v>1345</v>
      </c>
      <c r="N33" s="331">
        <v>1</v>
      </c>
    </row>
    <row r="34" spans="2:14" x14ac:dyDescent="0.2">
      <c r="C34" s="2"/>
      <c r="E34" s="248"/>
      <c r="I34" s="310" t="s">
        <v>836</v>
      </c>
      <c r="J34" s="254" t="s">
        <v>238</v>
      </c>
      <c r="K34" s="254" t="s">
        <v>837</v>
      </c>
      <c r="L34" s="254" t="s">
        <v>239</v>
      </c>
      <c r="M34" s="254"/>
      <c r="N34" s="309"/>
    </row>
    <row r="35" spans="2:14" x14ac:dyDescent="0.2">
      <c r="E35" s="248"/>
      <c r="I35" s="310" t="s">
        <v>838</v>
      </c>
      <c r="J35" s="254" t="s">
        <v>238</v>
      </c>
      <c r="K35" s="254" t="s">
        <v>839</v>
      </c>
      <c r="L35" s="254" t="s">
        <v>239</v>
      </c>
      <c r="M35" s="254"/>
      <c r="N35" s="309"/>
    </row>
    <row r="36" spans="2:14" x14ac:dyDescent="0.2">
      <c r="E36" s="248"/>
      <c r="I36" s="310" t="s">
        <v>1888</v>
      </c>
      <c r="J36" s="254" t="s">
        <v>195</v>
      </c>
      <c r="K36" s="254" t="s">
        <v>1889</v>
      </c>
      <c r="L36" s="254"/>
      <c r="M36" s="254"/>
      <c r="N36" s="309"/>
    </row>
    <row r="37" spans="2:14" x14ac:dyDescent="0.2">
      <c r="E37" s="248"/>
      <c r="I37" s="310" t="s">
        <v>1886</v>
      </c>
      <c r="J37" s="254" t="s">
        <v>1887</v>
      </c>
      <c r="K37" s="254"/>
      <c r="L37" s="254" t="s">
        <v>239</v>
      </c>
      <c r="M37" s="254"/>
      <c r="N37" s="309"/>
    </row>
    <row r="38" spans="2:14" x14ac:dyDescent="0.2">
      <c r="E38" s="248"/>
      <c r="I38" s="310" t="s">
        <v>249</v>
      </c>
      <c r="J38" s="254" t="s">
        <v>170</v>
      </c>
      <c r="K38" s="254" t="s">
        <v>250</v>
      </c>
      <c r="L38" s="254" t="s">
        <v>239</v>
      </c>
      <c r="M38" s="254"/>
      <c r="N38" s="309"/>
    </row>
    <row r="39" spans="2:14" x14ac:dyDescent="0.2">
      <c r="E39" s="248"/>
      <c r="I39" s="310" t="s">
        <v>20</v>
      </c>
      <c r="J39" s="254" t="s">
        <v>226</v>
      </c>
      <c r="K39" s="254" t="s">
        <v>1341</v>
      </c>
      <c r="L39" s="254" t="s">
        <v>239</v>
      </c>
      <c r="M39" s="254" t="s">
        <v>399</v>
      </c>
      <c r="N39" s="331">
        <v>1</v>
      </c>
    </row>
    <row r="40" spans="2:14" x14ac:dyDescent="0.2">
      <c r="E40" s="248"/>
      <c r="I40" s="310" t="s">
        <v>253</v>
      </c>
      <c r="J40" s="254" t="s">
        <v>226</v>
      </c>
      <c r="K40" s="254"/>
      <c r="L40" s="254" t="s">
        <v>239</v>
      </c>
      <c r="M40" s="254" t="s">
        <v>171</v>
      </c>
      <c r="N40" s="313" t="s">
        <v>254</v>
      </c>
    </row>
    <row r="41" spans="2:14" x14ac:dyDescent="0.2">
      <c r="E41" s="248"/>
      <c r="I41" s="310" t="s">
        <v>255</v>
      </c>
      <c r="J41" s="254" t="s">
        <v>256</v>
      </c>
      <c r="K41" s="254" t="s">
        <v>257</v>
      </c>
      <c r="L41" s="254" t="s">
        <v>239</v>
      </c>
      <c r="M41" s="254"/>
      <c r="N41" s="309"/>
    </row>
    <row r="42" spans="2:14" x14ac:dyDescent="0.2">
      <c r="E42" s="248"/>
      <c r="I42" s="319" t="s">
        <v>258</v>
      </c>
      <c r="J42" s="317" t="s">
        <v>259</v>
      </c>
      <c r="K42" s="317"/>
      <c r="L42" s="317" t="s">
        <v>239</v>
      </c>
      <c r="M42" s="317" t="s">
        <v>171</v>
      </c>
      <c r="N42" s="320"/>
    </row>
    <row r="43" spans="2:14" x14ac:dyDescent="0.2">
      <c r="E43" s="248"/>
    </row>
    <row r="44" spans="2:14" x14ac:dyDescent="0.2">
      <c r="E44" s="248"/>
      <c r="I44" t="s">
        <v>1871</v>
      </c>
    </row>
    <row r="45" spans="2:14" x14ac:dyDescent="0.2">
      <c r="E45" s="248"/>
      <c r="I45" t="s">
        <v>1872</v>
      </c>
    </row>
    <row r="46" spans="2:14" x14ac:dyDescent="0.2">
      <c r="E46" s="248"/>
      <c r="I46" t="s">
        <v>1875</v>
      </c>
    </row>
    <row r="47" spans="2:14" x14ac:dyDescent="0.2">
      <c r="E47" s="248"/>
      <c r="I47" t="s">
        <v>1843</v>
      </c>
    </row>
    <row r="48" spans="2:14" x14ac:dyDescent="0.2">
      <c r="E48" s="248"/>
      <c r="I48" t="s">
        <v>1859</v>
      </c>
    </row>
    <row r="49" spans="5:9" x14ac:dyDescent="0.2">
      <c r="E49" s="248"/>
      <c r="I49" t="s">
        <v>1860</v>
      </c>
    </row>
    <row r="50" spans="5:9" x14ac:dyDescent="0.2">
      <c r="E50" s="248"/>
      <c r="I50" t="s">
        <v>1877</v>
      </c>
    </row>
    <row r="51" spans="5:9" x14ac:dyDescent="0.2">
      <c r="I51" t="s">
        <v>1878</v>
      </c>
    </row>
    <row r="53" spans="5:9" x14ac:dyDescent="0.2">
      <c r="I53" s="1" t="s">
        <v>1876</v>
      </c>
    </row>
    <row r="54" spans="5:9" x14ac:dyDescent="0.2">
      <c r="I54" t="s">
        <v>1791</v>
      </c>
    </row>
    <row r="55" spans="5:9" x14ac:dyDescent="0.2">
      <c r="E55" s="248"/>
      <c r="I55" t="s">
        <v>1816</v>
      </c>
    </row>
  </sheetData>
  <phoneticPr fontId="11" type="noConversion"/>
  <hyperlinks>
    <hyperlink ref="B10" location="Remicade!A1" display="Remicade (infliximab)" xr:uid="{00000000-0004-0000-0600-000000000000}"/>
    <hyperlink ref="B14"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31" location="Cordis!A1" display="Cordis" xr:uid="{00000000-0004-0000-0600-00000B000000}"/>
    <hyperlink ref="C31" location="Vision!A1" display="Vision" xr:uid="{00000000-0004-0000-0600-00000C000000}"/>
    <hyperlink ref="B32" location="Consumer!A1" display="Consumer" xr:uid="{00000000-0004-0000-0600-00000D000000}"/>
    <hyperlink ref="C32" location="Acquisitions!A1" display="Acquisitions" xr:uid="{00000000-0004-0000-0600-00000E000000}"/>
    <hyperlink ref="F31" location="EndoSurgery!A1" display="EndoSurgery" xr:uid="{00000000-0004-0000-0600-000013000000}"/>
    <hyperlink ref="E31" location="DePuy!A1" display="DePuy" xr:uid="{00000000-0004-0000-0600-000014000000}"/>
    <hyperlink ref="B3" location="Stelara!A1" display="Stelara (ustekinumab)" xr:uid="{00000000-0004-0000-0600-000016000000}"/>
    <hyperlink ref="B11" location="Simponi!A1" display="Simponi (golimumab)" xr:uid="{00000000-0004-0000-0600-000017000000}"/>
    <hyperlink ref="B13" location="Procrit!A1" display="Procrit" xr:uid="{00000000-0004-0000-0600-000018000000}"/>
    <hyperlink ref="D31" location="Ethicon!A1" display="Ethicon" xr:uid="{00000000-0004-0000-0600-000019000000}"/>
    <hyperlink ref="B7" location="Sustenna!A1" display="Invega Sustenna (paliperidone palmitate)" xr:uid="{00000000-0004-0000-0600-00001B000000}"/>
    <hyperlink ref="B22" location="abiraterone!A1" display="abiraterone" xr:uid="{00000000-0004-0000-0600-00001D000000}"/>
    <hyperlink ref="D32" location="'Old Drugs'!A1" display="Failures" xr:uid="{00000000-0004-0000-0600-00001E000000}"/>
    <hyperlink ref="B19" location="riplivirine!A1" display="TMC278 (riplivirine)" xr:uid="{00000000-0004-0000-0600-00001F000000}"/>
    <hyperlink ref="B8" location="Xarelto!A1" display="Xarelto (rivaroxaban)" xr:uid="{00000000-0004-0000-0600-000020000000}"/>
    <hyperlink ref="B16"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1"/>
  <sheetViews>
    <sheetView zoomScale="175" zoomScaleNormal="175" workbookViewId="0">
      <pane xSplit="2" ySplit="2" topLeftCell="DA70" activePane="bottomRight" state="frozen"/>
      <selection pane="topRight" activeCell="Q1" sqref="Q1"/>
      <selection pane="bottomLeft" activeCell="A3" sqref="A3"/>
      <selection pane="bottomRight" activeCell="DG74" sqref="DG74"/>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5703125" style="76" bestFit="1" customWidth="1"/>
    <col min="30" max="30" width="6.85546875" style="76" bestFit="1" customWidth="1"/>
    <col min="31" max="31" width="6.5703125" style="76" bestFit="1" customWidth="1"/>
    <col min="32" max="118" width="7.5703125" style="76" customWidth="1"/>
    <col min="120" max="124" width="1.28515625" style="76" customWidth="1"/>
    <col min="125" max="141" width="0.5703125" style="76" customWidth="1"/>
    <col min="142" max="151" width="7.85546875" style="76" customWidth="1"/>
    <col min="152" max="166" width="8.42578125" customWidth="1"/>
    <col min="167" max="167" width="11.28515625" bestFit="1" customWidth="1"/>
    <col min="168" max="168" width="10.7109375" customWidth="1"/>
    <col min="169" max="169" width="10.5703125" customWidth="1"/>
    <col min="170" max="170" width="8.42578125" customWidth="1"/>
  </cols>
  <sheetData>
    <row r="1" spans="1:169" ht="12.75" customHeight="1" x14ac:dyDescent="0.2">
      <c r="A1" s="2" t="s">
        <v>155</v>
      </c>
      <c r="EV1" s="254"/>
      <c r="EW1" s="254"/>
      <c r="EX1" s="254"/>
      <c r="EY1" s="254"/>
      <c r="EZ1" s="254"/>
      <c r="FA1" s="254"/>
      <c r="FB1" s="254"/>
      <c r="FC1" s="254"/>
      <c r="FD1" s="254"/>
      <c r="FE1" s="254"/>
      <c r="FF1" s="254"/>
      <c r="FG1" s="254"/>
      <c r="FH1" s="254"/>
      <c r="FI1" s="254"/>
      <c r="FJ1" s="254"/>
    </row>
    <row r="2" spans="1:169" ht="12.75" customHeight="1" x14ac:dyDescent="0.2">
      <c r="B2" s="266"/>
      <c r="C2" s="76" t="s">
        <v>266</v>
      </c>
      <c r="D2" s="76" t="s">
        <v>267</v>
      </c>
      <c r="E2" s="76" t="s">
        <v>268</v>
      </c>
      <c r="F2" s="76" t="s">
        <v>269</v>
      </c>
      <c r="G2" s="76" t="s">
        <v>270</v>
      </c>
      <c r="H2" s="76" t="s">
        <v>271</v>
      </c>
      <c r="I2" s="76" t="s">
        <v>272</v>
      </c>
      <c r="J2" s="76" t="s">
        <v>273</v>
      </c>
      <c r="K2" s="76" t="s">
        <v>274</v>
      </c>
      <c r="L2" s="76" t="s">
        <v>275</v>
      </c>
      <c r="M2" s="76" t="s">
        <v>276</v>
      </c>
      <c r="N2" s="76" t="s">
        <v>277</v>
      </c>
      <c r="O2" s="76" t="s">
        <v>278</v>
      </c>
      <c r="P2" s="76" t="s">
        <v>279</v>
      </c>
      <c r="Q2" s="76" t="s">
        <v>280</v>
      </c>
      <c r="R2" s="76" t="s">
        <v>281</v>
      </c>
      <c r="S2" s="76" t="s">
        <v>282</v>
      </c>
      <c r="T2" s="76" t="s">
        <v>283</v>
      </c>
      <c r="U2" s="76" t="s">
        <v>284</v>
      </c>
      <c r="V2" s="76" t="s">
        <v>285</v>
      </c>
      <c r="W2" s="76" t="s">
        <v>286</v>
      </c>
      <c r="X2" s="76" t="s">
        <v>287</v>
      </c>
      <c r="Y2" s="76" t="s">
        <v>288</v>
      </c>
      <c r="Z2" s="76" t="s">
        <v>289</v>
      </c>
      <c r="AA2" s="76" t="s">
        <v>290</v>
      </c>
      <c r="AB2" s="76" t="s">
        <v>291</v>
      </c>
      <c r="AC2" s="76" t="s">
        <v>292</v>
      </c>
      <c r="AD2" s="76" t="s">
        <v>293</v>
      </c>
      <c r="AE2" s="76" t="s">
        <v>294</v>
      </c>
      <c r="AF2" s="76" t="s">
        <v>295</v>
      </c>
      <c r="AG2" s="76" t="s">
        <v>296</v>
      </c>
      <c r="AH2" s="76" t="s">
        <v>297</v>
      </c>
      <c r="AI2" s="76" t="s">
        <v>298</v>
      </c>
      <c r="AJ2" s="76" t="s">
        <v>299</v>
      </c>
      <c r="AK2" s="76" t="s">
        <v>300</v>
      </c>
      <c r="AL2" s="76" t="s">
        <v>301</v>
      </c>
      <c r="AM2" s="76" t="s">
        <v>302</v>
      </c>
      <c r="AN2" s="76" t="s">
        <v>303</v>
      </c>
      <c r="AO2" s="76" t="s">
        <v>304</v>
      </c>
      <c r="AP2" s="76" t="s">
        <v>305</v>
      </c>
      <c r="AQ2" s="76" t="s">
        <v>306</v>
      </c>
      <c r="AR2" s="76" t="s">
        <v>307</v>
      </c>
      <c r="AS2" s="76" t="s">
        <v>308</v>
      </c>
      <c r="AT2" s="76" t="s">
        <v>309</v>
      </c>
      <c r="AU2" s="76" t="s">
        <v>262</v>
      </c>
      <c r="AV2" s="76" t="s">
        <v>310</v>
      </c>
      <c r="AW2" s="76" t="s">
        <v>311</v>
      </c>
      <c r="AX2" s="76" t="s">
        <v>312</v>
      </c>
      <c r="AY2" s="76" t="s">
        <v>313</v>
      </c>
      <c r="AZ2" s="76" t="s">
        <v>314</v>
      </c>
      <c r="BA2" s="76" t="s">
        <v>315</v>
      </c>
      <c r="BB2" s="76" t="s">
        <v>316</v>
      </c>
      <c r="BC2" s="76" t="s">
        <v>1303</v>
      </c>
      <c r="BD2" s="76" t="s">
        <v>1304</v>
      </c>
      <c r="BE2" s="76" t="s">
        <v>1305</v>
      </c>
      <c r="BF2" s="76" t="s">
        <v>1306</v>
      </c>
      <c r="BG2" s="76" t="s">
        <v>1446</v>
      </c>
      <c r="BH2" s="76" t="s">
        <v>1447</v>
      </c>
      <c r="BI2" s="76" t="s">
        <v>1448</v>
      </c>
      <c r="BJ2" s="76" t="s">
        <v>1449</v>
      </c>
      <c r="BK2" s="76" t="s">
        <v>1490</v>
      </c>
      <c r="BL2" s="76" t="s">
        <v>1491</v>
      </c>
      <c r="BM2" s="76" t="s">
        <v>1492</v>
      </c>
      <c r="BN2" s="76" t="s">
        <v>1493</v>
      </c>
      <c r="BO2" s="76" t="s">
        <v>1533</v>
      </c>
      <c r="BP2" s="76" t="s">
        <v>1534</v>
      </c>
      <c r="BQ2" s="76" t="s">
        <v>1535</v>
      </c>
      <c r="BR2" s="76" t="s">
        <v>1536</v>
      </c>
      <c r="BS2" s="76" t="s">
        <v>1560</v>
      </c>
      <c r="BT2" s="76" t="s">
        <v>1561</v>
      </c>
      <c r="BU2" s="76" t="s">
        <v>1562</v>
      </c>
      <c r="BV2" s="76" t="s">
        <v>1563</v>
      </c>
      <c r="BW2" s="76" t="s">
        <v>1633</v>
      </c>
      <c r="BX2" s="76" t="s">
        <v>1634</v>
      </c>
      <c r="BY2" s="76" t="s">
        <v>1635</v>
      </c>
      <c r="BZ2" s="76" t="s">
        <v>1636</v>
      </c>
      <c r="CA2" s="76" t="s">
        <v>1648</v>
      </c>
      <c r="CB2" s="76" t="s">
        <v>1649</v>
      </c>
      <c r="CC2" s="76" t="s">
        <v>1650</v>
      </c>
      <c r="CD2" s="76" t="s">
        <v>1651</v>
      </c>
      <c r="CE2" s="76" t="s">
        <v>1652</v>
      </c>
      <c r="CF2" s="76" t="s">
        <v>1653</v>
      </c>
      <c r="CG2" s="76" t="s">
        <v>1654</v>
      </c>
      <c r="CH2" s="76" t="s">
        <v>1655</v>
      </c>
      <c r="CI2" s="76" t="s">
        <v>1657</v>
      </c>
      <c r="CJ2" s="76" t="s">
        <v>1658</v>
      </c>
      <c r="CK2" s="76" t="s">
        <v>1659</v>
      </c>
      <c r="CL2" s="76" t="s">
        <v>1660</v>
      </c>
      <c r="CM2" s="76" t="s">
        <v>1656</v>
      </c>
      <c r="CN2" s="76" t="s">
        <v>1661</v>
      </c>
      <c r="CO2" s="76" t="s">
        <v>1662</v>
      </c>
      <c r="CP2" s="76" t="s">
        <v>1663</v>
      </c>
      <c r="CQ2" s="76" t="s">
        <v>1664</v>
      </c>
      <c r="CR2" s="76" t="s">
        <v>1665</v>
      </c>
      <c r="CS2" s="76" t="s">
        <v>1666</v>
      </c>
      <c r="CT2" s="76" t="s">
        <v>1667</v>
      </c>
      <c r="CU2" s="76" t="s">
        <v>1668</v>
      </c>
      <c r="CV2" s="76" t="s">
        <v>1669</v>
      </c>
      <c r="CW2" s="76" t="s">
        <v>1670</v>
      </c>
      <c r="CX2" s="76" t="s">
        <v>1671</v>
      </c>
      <c r="CY2" s="76" t="s">
        <v>1672</v>
      </c>
      <c r="CZ2" s="76" t="s">
        <v>1673</v>
      </c>
      <c r="DA2" s="76" t="s">
        <v>1674</v>
      </c>
      <c r="DB2" s="76" t="s">
        <v>1675</v>
      </c>
      <c r="DC2" s="76" t="s">
        <v>1676</v>
      </c>
      <c r="DD2" s="76" t="s">
        <v>1677</v>
      </c>
      <c r="DE2" s="76" t="s">
        <v>1678</v>
      </c>
      <c r="DF2" s="76" t="s">
        <v>1679</v>
      </c>
      <c r="DG2" s="76" t="s">
        <v>1899</v>
      </c>
      <c r="DH2" s="76" t="s">
        <v>1900</v>
      </c>
      <c r="DI2" s="76" t="s">
        <v>1901</v>
      </c>
      <c r="DJ2" s="76" t="s">
        <v>1902</v>
      </c>
      <c r="DK2" s="76" t="s">
        <v>1959</v>
      </c>
      <c r="DL2" s="76" t="s">
        <v>1960</v>
      </c>
      <c r="DM2" s="76" t="s">
        <v>1961</v>
      </c>
      <c r="DN2" s="76" t="s">
        <v>1962</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
      <c r="B3" t="s">
        <v>727</v>
      </c>
      <c r="C3" s="76"/>
      <c r="D3" s="76"/>
      <c r="E3" s="76"/>
      <c r="F3" s="76"/>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v>
      </c>
      <c r="DF3" s="243">
        <v>429</v>
      </c>
      <c r="DG3" s="243">
        <v>434</v>
      </c>
      <c r="DH3" s="243">
        <f t="shared" ref="DH3" si="8">+DD3*0.8</f>
        <v>369.6</v>
      </c>
      <c r="DI3" s="243">
        <f t="shared" ref="DI3" si="9">+DE3*0.8</f>
        <v>368.8</v>
      </c>
      <c r="DJ3" s="243">
        <f t="shared" ref="DJ3" si="10">+DF3*0.8</f>
        <v>343.20000000000005</v>
      </c>
      <c r="DK3" s="243">
        <f t="shared" ref="DK3" si="11">+DG3*0.8</f>
        <v>347.20000000000005</v>
      </c>
      <c r="DL3" s="243">
        <f t="shared" ref="DL3" si="12">+DH3*0.8</f>
        <v>295.68</v>
      </c>
      <c r="DM3" s="243">
        <f t="shared" ref="DM3" si="13">+DI3*0.8</f>
        <v>295.04000000000002</v>
      </c>
      <c r="DN3" s="243">
        <f t="shared" ref="DN3" si="14">+DJ3*0.8</f>
        <v>274.56000000000006</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c r="ES3" s="235">
        <f>SUM(CI3:CL3)</f>
        <v>5326</v>
      </c>
      <c r="ET3" s="235">
        <f>SUM(CM3:CP3)</f>
        <v>4380</v>
      </c>
      <c r="EU3" s="235">
        <f>SUM(CQ3:CT3)</f>
        <v>3747</v>
      </c>
      <c r="EV3" s="235">
        <f>SUM(CU3:CX3)</f>
        <v>3190</v>
      </c>
      <c r="EW3" s="235">
        <f>SUM(CY3:DB3)</f>
        <v>2343</v>
      </c>
      <c r="EX3" s="235">
        <f>SUM(DC3:DF3)</f>
        <v>1839</v>
      </c>
      <c r="EY3" s="235">
        <f>SUM(DG3:DJ3)</f>
        <v>1515.6000000000001</v>
      </c>
      <c r="EZ3" s="235">
        <f t="shared" ref="EZ3" si="15">EY3*0.95</f>
        <v>1439.8200000000002</v>
      </c>
      <c r="FA3" s="235">
        <f t="shared" ref="FA3" si="16">EZ3*0.95</f>
        <v>1367.8290000000002</v>
      </c>
      <c r="FB3" s="235">
        <f t="shared" ref="FB3" si="17">FA3*0.95</f>
        <v>1299.4375500000001</v>
      </c>
      <c r="FC3" s="235">
        <f t="shared" ref="FC3" si="18">FB3*0.95</f>
        <v>1234.4656725</v>
      </c>
      <c r="FD3" s="235">
        <f t="shared" ref="FD3" si="19">FC3*0.95</f>
        <v>1172.742388875</v>
      </c>
      <c r="FE3" s="235">
        <f t="shared" ref="FE3:FJ3" si="20">FD3*0.95</f>
        <v>1114.10526943125</v>
      </c>
      <c r="FF3" s="235">
        <f t="shared" si="20"/>
        <v>1058.4000059596874</v>
      </c>
      <c r="FG3" s="235">
        <f t="shared" si="20"/>
        <v>1005.480005661703</v>
      </c>
      <c r="FH3" s="235">
        <f t="shared" si="20"/>
        <v>955.20600537861776</v>
      </c>
      <c r="FI3" s="235">
        <f t="shared" si="20"/>
        <v>907.44570510968686</v>
      </c>
      <c r="FJ3" s="235">
        <f t="shared" si="20"/>
        <v>862.07341985420248</v>
      </c>
      <c r="FL3"/>
      <c r="FM3"/>
    </row>
    <row r="4" spans="1:169" ht="12.75" customHeight="1" x14ac:dyDescent="0.2">
      <c r="B4" t="s">
        <v>733</v>
      </c>
      <c r="AE4" s="243"/>
      <c r="AF4" s="243"/>
      <c r="AG4" s="243"/>
      <c r="AH4" s="243"/>
      <c r="AI4" s="243"/>
      <c r="AJ4" s="243"/>
      <c r="AK4" s="243"/>
      <c r="AL4" s="243"/>
      <c r="AM4" s="243"/>
      <c r="AN4" s="243"/>
      <c r="AO4" s="243"/>
      <c r="AP4" s="243"/>
      <c r="AQ4" s="243"/>
      <c r="AR4" s="243"/>
      <c r="AS4" s="243"/>
      <c r="AT4" s="243"/>
      <c r="AU4" s="243"/>
      <c r="AV4" s="243"/>
      <c r="AW4" s="243"/>
      <c r="AX4" s="243"/>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v>
      </c>
      <c r="DF4" s="243">
        <v>502</v>
      </c>
      <c r="DG4" s="243">
        <v>554</v>
      </c>
      <c r="DH4" s="243">
        <f t="shared" ref="DH4:DJ4" si="21">+DC4*0.95</f>
        <v>510.15</v>
      </c>
      <c r="DI4" s="243">
        <f t="shared" si="21"/>
        <v>502.54999999999995</v>
      </c>
      <c r="DJ4" s="243">
        <f t="shared" si="21"/>
        <v>597.54999999999995</v>
      </c>
      <c r="DK4" s="243">
        <f t="shared" ref="DK4" si="22">+DF4*0.95</f>
        <v>476.9</v>
      </c>
      <c r="DL4" s="243">
        <f t="shared" ref="DL4" si="23">+DG4*0.95</f>
        <v>526.29999999999995</v>
      </c>
      <c r="DM4" s="243">
        <f t="shared" ref="DM4" si="24">+DH4*0.95</f>
        <v>484.64249999999998</v>
      </c>
      <c r="DN4" s="243">
        <f t="shared" ref="DN4" si="25">+DI4*0.95</f>
        <v>477.42249999999996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6">EP4*1.05</f>
        <v>1370.9850000000001</v>
      </c>
      <c r="ER4" s="235"/>
      <c r="ES4" s="235">
        <f>SUM(CI4:CL4)</f>
        <v>2084</v>
      </c>
      <c r="ET4" s="235">
        <f>SUM(CM4:CP4)</f>
        <v>2188</v>
      </c>
      <c r="EU4" s="235">
        <f>SUM(CQ4:CT4)</f>
        <v>2243</v>
      </c>
      <c r="EV4" s="235">
        <f t="shared" ref="EV4:EV7" si="27">SUM(CU4:CX4)</f>
        <v>2276</v>
      </c>
      <c r="EW4" s="235">
        <f>SUM(CY4:DB4)</f>
        <v>2183</v>
      </c>
      <c r="EX4" s="235">
        <f>SUM(DC4:DF4)</f>
        <v>2197</v>
      </c>
      <c r="EY4" s="235">
        <f t="shared" ref="EY4:EY47" si="28">SUM(DG4:DJ4)</f>
        <v>2164.25</v>
      </c>
      <c r="EZ4" s="235">
        <f t="shared" ref="EZ4:FJ4" si="29">EY4*1.01</f>
        <v>2185.8924999999999</v>
      </c>
      <c r="FA4" s="235">
        <f t="shared" si="29"/>
        <v>2207.7514249999999</v>
      </c>
      <c r="FB4" s="235">
        <f t="shared" si="29"/>
        <v>2229.8289392500001</v>
      </c>
      <c r="FC4" s="235">
        <f t="shared" si="29"/>
        <v>2252.1272286425001</v>
      </c>
      <c r="FD4" s="235">
        <f t="shared" si="29"/>
        <v>2274.6485009289249</v>
      </c>
      <c r="FE4" s="235">
        <f t="shared" si="29"/>
        <v>2297.3949859382142</v>
      </c>
      <c r="FF4" s="235">
        <f t="shared" si="29"/>
        <v>2320.3689357975964</v>
      </c>
      <c r="FG4" s="235">
        <f t="shared" si="29"/>
        <v>2343.5726251555725</v>
      </c>
      <c r="FH4" s="235">
        <f t="shared" si="29"/>
        <v>2367.0083514071284</v>
      </c>
      <c r="FI4" s="235">
        <f t="shared" si="29"/>
        <v>2390.6784349211998</v>
      </c>
      <c r="FJ4" s="235">
        <f t="shared" si="29"/>
        <v>2414.5852192704119</v>
      </c>
      <c r="FK4" s="254"/>
    </row>
    <row r="5" spans="1:169" ht="12.75" customHeight="1" x14ac:dyDescent="0.2">
      <c r="B5" t="s">
        <v>1690</v>
      </c>
      <c r="AE5" s="243"/>
      <c r="AF5" s="243"/>
      <c r="AG5" s="243"/>
      <c r="AH5" s="243"/>
      <c r="AI5" s="243"/>
      <c r="AJ5" s="243"/>
      <c r="AK5" s="243"/>
      <c r="AL5" s="243"/>
      <c r="AM5" s="243"/>
      <c r="AN5" s="243"/>
      <c r="AO5" s="243"/>
      <c r="AP5" s="243"/>
      <c r="AQ5" s="243"/>
      <c r="AR5" s="243"/>
      <c r="AS5" s="243"/>
      <c r="AT5" s="243"/>
      <c r="AU5" s="243"/>
      <c r="AV5" s="243"/>
      <c r="AW5" s="243"/>
      <c r="AX5" s="243"/>
      <c r="BS5" s="243"/>
      <c r="BT5" s="243"/>
      <c r="BU5" s="243"/>
      <c r="BV5" s="243"/>
      <c r="BW5" s="243"/>
      <c r="BX5" s="243"/>
      <c r="BY5" s="243"/>
      <c r="BZ5" s="243"/>
      <c r="CA5" s="243"/>
      <c r="CB5" s="243"/>
      <c r="CC5" s="243"/>
      <c r="CD5" s="243"/>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v>
      </c>
      <c r="DF5" s="243">
        <v>910</v>
      </c>
      <c r="DG5" s="243">
        <v>808</v>
      </c>
      <c r="DH5" s="243">
        <f t="shared" ref="DH5:DJ5" si="30">++DD5*1.25</f>
        <v>882.5</v>
      </c>
      <c r="DI5" s="243">
        <f t="shared" si="30"/>
        <v>1113.75</v>
      </c>
      <c r="DJ5" s="243">
        <f t="shared" si="30"/>
        <v>1137.5</v>
      </c>
      <c r="DK5" s="243">
        <f t="shared" ref="DK5" si="31">++DG5*1.25</f>
        <v>1010</v>
      </c>
      <c r="DL5" s="243">
        <f t="shared" ref="DL5" si="32">++DH5*1.25</f>
        <v>1103.125</v>
      </c>
      <c r="DM5" s="243">
        <f t="shared" ref="DM5" si="33">++DI5*1.25</f>
        <v>1392.1875</v>
      </c>
      <c r="DN5" s="243">
        <f t="shared" ref="DN5" si="34">++DJ5*1.25</f>
        <v>1421.875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f>SUM(CI5:CL5)</f>
        <v>544</v>
      </c>
      <c r="ET5" s="235">
        <f>SUM(CM5:CP5)</f>
        <v>1012</v>
      </c>
      <c r="EU5" s="235">
        <f>SUM(CQ5:CT5)</f>
        <v>1347</v>
      </c>
      <c r="EV5" s="235">
        <f t="shared" si="27"/>
        <v>2127</v>
      </c>
      <c r="EW5" s="235">
        <f>SUM(CY5:DB5)</f>
        <v>2668</v>
      </c>
      <c r="EX5" s="235">
        <f>SUM(DC5:DF5)</f>
        <v>3147</v>
      </c>
      <c r="EY5" s="235">
        <f t="shared" si="28"/>
        <v>3941.75</v>
      </c>
      <c r="EZ5" s="235">
        <f>+EY5*1.05</f>
        <v>4138.8375000000005</v>
      </c>
      <c r="FA5" s="235">
        <f t="shared" ref="FA5:FJ5" si="35">+EZ5*1.05</f>
        <v>4345.779375000001</v>
      </c>
      <c r="FB5" s="235">
        <f t="shared" si="35"/>
        <v>4563.0683437500011</v>
      </c>
      <c r="FC5" s="235">
        <f t="shared" si="35"/>
        <v>4791.2217609375011</v>
      </c>
      <c r="FD5" s="235">
        <f t="shared" si="35"/>
        <v>5030.782848984376</v>
      </c>
      <c r="FE5" s="235">
        <f t="shared" si="35"/>
        <v>5282.321991433595</v>
      </c>
      <c r="FF5" s="235">
        <f t="shared" si="35"/>
        <v>5546.4380910052751</v>
      </c>
      <c r="FG5" s="235">
        <f t="shared" si="35"/>
        <v>5823.7599955555388</v>
      </c>
      <c r="FH5" s="235">
        <f t="shared" si="35"/>
        <v>6114.9479953333157</v>
      </c>
      <c r="FI5" s="235">
        <f t="shared" si="35"/>
        <v>6420.6953950999814</v>
      </c>
      <c r="FJ5" s="235">
        <f t="shared" si="35"/>
        <v>6741.730164854981</v>
      </c>
      <c r="FK5" s="254"/>
    </row>
    <row r="6" spans="1:169" x14ac:dyDescent="0.2">
      <c r="B6" t="s">
        <v>531</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v>
      </c>
      <c r="DF6" s="243">
        <v>2753</v>
      </c>
      <c r="DG6" s="243">
        <v>2451</v>
      </c>
      <c r="DH6" s="243">
        <f>+DD6*0.9</f>
        <v>2517.3000000000002</v>
      </c>
      <c r="DI6" s="243">
        <f>+DE6*0.9</f>
        <v>2577.6</v>
      </c>
      <c r="DJ6" s="243">
        <f>+DF6*0.9</f>
        <v>2477.7000000000003</v>
      </c>
      <c r="DK6" s="243">
        <f t="shared" ref="DK6:DN6" si="36">+DG6*0.9</f>
        <v>2205.9</v>
      </c>
      <c r="DL6" s="243">
        <f t="shared" si="36"/>
        <v>2265.5700000000002</v>
      </c>
      <c r="DM6" s="243">
        <f t="shared" si="36"/>
        <v>2319.84</v>
      </c>
      <c r="DN6" s="243">
        <f t="shared" si="36"/>
        <v>2229.9300000000003</v>
      </c>
      <c r="EI6" s="235"/>
      <c r="EJ6" s="235"/>
      <c r="EK6" s="235"/>
      <c r="EL6" s="235">
        <f>SUM(BG6:BJ6)</f>
        <v>738</v>
      </c>
      <c r="EM6" s="235">
        <f>SUM(BK6:BN6)</f>
        <v>1025</v>
      </c>
      <c r="EN6" s="235">
        <f>SUM(BO6:BR6)</f>
        <v>1504</v>
      </c>
      <c r="EO6" s="235">
        <f>SUM(BS6:BV6)</f>
        <v>2072</v>
      </c>
      <c r="EP6" s="235">
        <f t="shared" ref="EP6" si="37">EO6*1.15</f>
        <v>2382.7999999999997</v>
      </c>
      <c r="EQ6" s="235"/>
      <c r="ER6" s="235"/>
      <c r="ES6" s="235">
        <f>SUM(CI6:CL6)</f>
        <v>5156</v>
      </c>
      <c r="ET6" s="235">
        <f>SUM(CM6:CP6)</f>
        <v>6361</v>
      </c>
      <c r="EU6" s="235">
        <f>SUM(CQ6:CT6)</f>
        <v>7707</v>
      </c>
      <c r="EV6" s="235">
        <f t="shared" si="27"/>
        <v>9134</v>
      </c>
      <c r="EW6" s="235">
        <f>SUM(CY6:DB6)</f>
        <v>9722</v>
      </c>
      <c r="EX6" s="235">
        <f>SUM(DC6:DF6)</f>
        <v>10858</v>
      </c>
      <c r="EY6" s="235">
        <f t="shared" si="28"/>
        <v>10023.6</v>
      </c>
      <c r="EZ6" s="235">
        <f>+EY6*0.8</f>
        <v>8018.880000000001</v>
      </c>
      <c r="FA6" s="235">
        <f t="shared" ref="FA6:FJ6" si="38">+EZ6*0.8</f>
        <v>6415.1040000000012</v>
      </c>
      <c r="FB6" s="235">
        <f t="shared" si="38"/>
        <v>5132.0832000000009</v>
      </c>
      <c r="FC6" s="235">
        <f t="shared" si="38"/>
        <v>4105.6665600000006</v>
      </c>
      <c r="FD6" s="235">
        <f t="shared" si="38"/>
        <v>3284.5332480000006</v>
      </c>
      <c r="FE6" s="235">
        <f t="shared" si="38"/>
        <v>2627.6265984000006</v>
      </c>
      <c r="FF6" s="235">
        <f t="shared" si="38"/>
        <v>2102.1012787200007</v>
      </c>
      <c r="FG6" s="235">
        <f t="shared" si="38"/>
        <v>1681.6810229760006</v>
      </c>
      <c r="FH6" s="235">
        <f t="shared" si="38"/>
        <v>1345.3448183808005</v>
      </c>
      <c r="FI6" s="235">
        <f t="shared" si="38"/>
        <v>1076.2758547046403</v>
      </c>
      <c r="FJ6" s="235">
        <f t="shared" si="38"/>
        <v>861.02068376371233</v>
      </c>
    </row>
    <row r="7" spans="1:169" x14ac:dyDescent="0.2">
      <c r="B7" t="s">
        <v>1684</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f t="shared" ref="DH7:DJ7" si="39">+DG7</f>
        <v>0</v>
      </c>
      <c r="DI7" s="243">
        <f t="shared" si="39"/>
        <v>0</v>
      </c>
      <c r="DJ7" s="243">
        <f t="shared" si="39"/>
        <v>0</v>
      </c>
      <c r="DK7" s="243">
        <f t="shared" ref="DK7" si="40">+DJ7</f>
        <v>0</v>
      </c>
      <c r="DL7" s="243">
        <f t="shared" ref="DL7" si="41">+DK7</f>
        <v>0</v>
      </c>
      <c r="DM7" s="243">
        <f t="shared" ref="DM7" si="42">+DL7</f>
        <v>0</v>
      </c>
      <c r="DN7" s="243">
        <f t="shared" ref="DN7" si="43">+DM7</f>
        <v>0</v>
      </c>
      <c r="EI7" s="235"/>
      <c r="EJ7" s="235"/>
      <c r="EK7" s="235"/>
      <c r="EL7" s="235"/>
      <c r="EM7" s="235"/>
      <c r="EN7" s="235"/>
      <c r="EO7" s="235"/>
      <c r="EP7" s="235"/>
      <c r="EQ7" s="235"/>
      <c r="ER7" s="235"/>
      <c r="ES7" s="235">
        <f>SUM(CI7:CL7)</f>
        <v>10</v>
      </c>
      <c r="ET7" s="235">
        <f>SUM(CM7:CP7)</f>
        <v>10</v>
      </c>
      <c r="EU7" s="235">
        <f>SUM(CQ7:CT7)</f>
        <v>11</v>
      </c>
      <c r="EV7" s="235">
        <f t="shared" si="27"/>
        <v>25</v>
      </c>
      <c r="EW7" s="235">
        <f>SUM(CY7:DB7)</f>
        <v>17</v>
      </c>
      <c r="EX7" s="235">
        <f>SUM(DC7:DF7)</f>
        <v>11</v>
      </c>
      <c r="EY7" s="235">
        <f t="shared" si="28"/>
        <v>0</v>
      </c>
      <c r="EZ7" s="235">
        <f t="shared" ref="EZ7:FJ7" si="44">+EY7</f>
        <v>0</v>
      </c>
      <c r="FA7" s="235">
        <f t="shared" si="44"/>
        <v>0</v>
      </c>
      <c r="FB7" s="235">
        <f t="shared" si="44"/>
        <v>0</v>
      </c>
      <c r="FC7" s="235">
        <f t="shared" si="44"/>
        <v>0</v>
      </c>
      <c r="FD7" s="235">
        <f t="shared" si="44"/>
        <v>0</v>
      </c>
      <c r="FE7" s="235">
        <f t="shared" si="44"/>
        <v>0</v>
      </c>
      <c r="FF7" s="235">
        <f t="shared" si="44"/>
        <v>0</v>
      </c>
      <c r="FG7" s="235">
        <f t="shared" si="44"/>
        <v>0</v>
      </c>
      <c r="FH7" s="235">
        <f t="shared" si="44"/>
        <v>0</v>
      </c>
      <c r="FI7" s="235">
        <f t="shared" si="44"/>
        <v>0</v>
      </c>
      <c r="FJ7" s="235">
        <f t="shared" si="44"/>
        <v>0</v>
      </c>
    </row>
    <row r="8" spans="1:169" s="254" customFormat="1" x14ac:dyDescent="0.2">
      <c r="B8" t="s">
        <v>728</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640</v>
      </c>
      <c r="AR8" s="237" t="s">
        <v>639</v>
      </c>
      <c r="AS8" s="237" t="s">
        <v>638</v>
      </c>
      <c r="AT8" s="237" t="s">
        <v>637</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121</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635</v>
      </c>
      <c r="EI8" s="272" t="s">
        <v>1476</v>
      </c>
      <c r="EJ8" s="272" t="s">
        <v>1477</v>
      </c>
      <c r="EK8" s="237" t="s">
        <v>1478</v>
      </c>
      <c r="EL8" s="236" t="s">
        <v>1479</v>
      </c>
      <c r="EM8" s="76"/>
      <c r="EN8" s="76"/>
      <c r="EO8" s="76"/>
      <c r="EP8" s="76"/>
      <c r="EQ8" s="76"/>
      <c r="ER8" s="76"/>
      <c r="ES8" s="76"/>
      <c r="ET8" s="76"/>
      <c r="EU8" s="76"/>
      <c r="EX8" s="235">
        <f>SUM(DC8:DF8)</f>
        <v>0</v>
      </c>
      <c r="EY8" s="235">
        <f t="shared" si="28"/>
        <v>0</v>
      </c>
    </row>
    <row r="9" spans="1:169" s="254" customFormat="1" x14ac:dyDescent="0.2">
      <c r="B9" t="s">
        <v>323</v>
      </c>
      <c r="C9" s="76"/>
      <c r="D9" s="76"/>
      <c r="E9" s="76"/>
      <c r="F9" s="76"/>
      <c r="G9" s="76"/>
      <c r="H9" s="76"/>
      <c r="I9" s="76"/>
      <c r="J9" s="76"/>
      <c r="K9" s="76"/>
      <c r="L9" s="76"/>
      <c r="M9" s="76"/>
      <c r="N9" s="76"/>
      <c r="O9" s="76"/>
      <c r="P9" s="76"/>
      <c r="Q9" s="76"/>
      <c r="R9" s="76"/>
      <c r="S9" s="76"/>
      <c r="T9" s="76"/>
      <c r="U9" s="76"/>
      <c r="V9" s="76"/>
      <c r="W9" s="76"/>
      <c r="X9" s="76"/>
      <c r="Y9" s="76"/>
      <c r="Z9" s="76"/>
      <c r="AA9" s="236" t="s">
        <v>927</v>
      </c>
      <c r="AB9" s="236" t="s">
        <v>928</v>
      </c>
      <c r="AC9" s="237" t="s">
        <v>929</v>
      </c>
      <c r="AD9" s="237" t="s">
        <v>930</v>
      </c>
      <c r="AE9" s="237" t="s">
        <v>939</v>
      </c>
      <c r="AF9" s="237" t="s">
        <v>940</v>
      </c>
      <c r="AG9" s="238" t="s">
        <v>940</v>
      </c>
      <c r="AH9" s="238" t="s">
        <v>941</v>
      </c>
      <c r="AI9" s="238" t="s">
        <v>944</v>
      </c>
      <c r="AJ9" s="237" t="s">
        <v>945</v>
      </c>
      <c r="AK9" s="237" t="s">
        <v>946</v>
      </c>
      <c r="AL9" s="237" t="s">
        <v>947</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932</v>
      </c>
      <c r="EE9" s="244" t="s">
        <v>938</v>
      </c>
      <c r="EF9" s="244" t="s">
        <v>943</v>
      </c>
      <c r="EG9" s="235"/>
      <c r="EH9" s="235">
        <f>SUM(AQ9:AT9)</f>
        <v>3420</v>
      </c>
      <c r="EI9" s="235">
        <f>SUM(AU9:AX9)</f>
        <v>2126</v>
      </c>
      <c r="EJ9" s="235">
        <f>SUM(AY9:BB9)</f>
        <v>899</v>
      </c>
      <c r="EK9" s="235">
        <f t="shared" ref="EK9:EK18" si="45">SUM(BC9:BF9)</f>
        <v>527</v>
      </c>
      <c r="EL9" s="235">
        <f t="shared" ref="EL9" si="46">SUM(BG9:BJ9)</f>
        <v>542</v>
      </c>
      <c r="EM9" s="76"/>
      <c r="EN9" s="76"/>
      <c r="EO9" s="76"/>
      <c r="EP9" s="76"/>
      <c r="EQ9" s="76"/>
      <c r="ER9" s="76"/>
      <c r="ES9" s="76"/>
      <c r="ET9" s="76"/>
      <c r="EU9" s="76"/>
      <c r="EX9" s="235">
        <f>SUM(DC9:DF9)</f>
        <v>0</v>
      </c>
      <c r="EY9" s="235">
        <f t="shared" si="28"/>
        <v>0</v>
      </c>
      <c r="FM9"/>
    </row>
    <row r="10" spans="1:169" s="254" customFormat="1" x14ac:dyDescent="0.2">
      <c r="B10" t="s">
        <v>1273</v>
      </c>
      <c r="C10" s="76"/>
      <c r="D10" s="76"/>
      <c r="E10" s="76"/>
      <c r="F10" s="76"/>
      <c r="G10" s="76"/>
      <c r="H10" s="76"/>
      <c r="I10" s="76"/>
      <c r="J10" s="76"/>
      <c r="K10" s="76"/>
      <c r="L10" s="76"/>
      <c r="M10" s="76"/>
      <c r="N10" s="76"/>
      <c r="O10" s="76"/>
      <c r="P10" s="76"/>
      <c r="Q10" s="76"/>
      <c r="R10" s="76"/>
      <c r="S10" s="76"/>
      <c r="T10" s="76"/>
      <c r="U10" s="76"/>
      <c r="V10" s="76"/>
      <c r="W10" s="76"/>
      <c r="X10" s="76"/>
      <c r="Y10" s="236" t="s">
        <v>988</v>
      </c>
      <c r="Z10" s="236" t="s">
        <v>989</v>
      </c>
      <c r="AA10" s="237" t="s">
        <v>923</v>
      </c>
      <c r="AB10" s="237" t="s">
        <v>924</v>
      </c>
      <c r="AC10" s="237" t="s">
        <v>925</v>
      </c>
      <c r="AD10" s="237" t="s">
        <v>926</v>
      </c>
      <c r="AE10" s="237" t="s">
        <v>933</v>
      </c>
      <c r="AF10" s="237" t="s">
        <v>934</v>
      </c>
      <c r="AG10" s="238" t="s">
        <v>935</v>
      </c>
      <c r="AH10" s="238" t="s">
        <v>936</v>
      </c>
      <c r="AI10" s="237" t="s">
        <v>948</v>
      </c>
      <c r="AJ10" s="237" t="s">
        <v>949</v>
      </c>
      <c r="AK10" s="237" t="s">
        <v>950</v>
      </c>
      <c r="AL10" s="237" t="s">
        <v>951</v>
      </c>
      <c r="AM10" s="237" t="s">
        <v>991</v>
      </c>
      <c r="AN10" s="237" t="s">
        <v>992</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990</v>
      </c>
      <c r="ED10" s="244" t="s">
        <v>931</v>
      </c>
      <c r="EE10" s="244" t="s">
        <v>937</v>
      </c>
      <c r="EF10" s="244" t="s">
        <v>942</v>
      </c>
      <c r="EG10" s="235"/>
      <c r="EH10" s="235">
        <f>SUM(AQ10:AT10)</f>
        <v>1128</v>
      </c>
      <c r="EI10" s="235">
        <f>SUM(AU10:AX10)</f>
        <v>1309</v>
      </c>
      <c r="EJ10" s="235">
        <f>SUM(AY10:BB10)</f>
        <v>1425</v>
      </c>
      <c r="EK10" s="235">
        <f t="shared" si="45"/>
        <v>1500</v>
      </c>
      <c r="EL10" s="235">
        <f>SUM(BG10:BJ10)</f>
        <v>1583</v>
      </c>
      <c r="EM10" s="235">
        <f>SUM(BK10:BN10)</f>
        <v>1425</v>
      </c>
      <c r="EN10" s="235">
        <f>SUM(BO10:BR10)</f>
        <v>1318</v>
      </c>
      <c r="EO10" s="235">
        <f>SUM(BS10:BV10)</f>
        <v>1190</v>
      </c>
      <c r="EP10" s="235">
        <f t="shared" ref="EP10:EQ10" si="47">+EO10*0.95</f>
        <v>1130.5</v>
      </c>
      <c r="EQ10" s="235">
        <f t="shared" si="47"/>
        <v>1073.9749999999999</v>
      </c>
      <c r="ER10" s="235"/>
      <c r="ES10" s="235">
        <f>SUM(CI10:CL10)</f>
        <v>737</v>
      </c>
      <c r="ET10" s="235">
        <f>SUM(CM10:CP10)</f>
        <v>688</v>
      </c>
      <c r="EU10" s="235">
        <f>SUM(CQ10:CT10)</f>
        <v>642</v>
      </c>
      <c r="EV10" s="235">
        <f t="shared" ref="EV10:EV14" si="48">SUM(CU10:CX10)</f>
        <v>592</v>
      </c>
      <c r="EW10" s="235">
        <f>SUM(CY10:DB10)</f>
        <v>513</v>
      </c>
      <c r="EX10" s="235"/>
      <c r="EY10" s="235"/>
      <c r="EZ10" s="235"/>
      <c r="FA10" s="235"/>
      <c r="FB10" s="235"/>
      <c r="FC10" s="235"/>
      <c r="FD10" s="235"/>
      <c r="FE10" s="235"/>
      <c r="FF10" s="235"/>
      <c r="FG10" s="235"/>
      <c r="FH10" s="235"/>
      <c r="FI10" s="235"/>
      <c r="FJ10" s="235"/>
      <c r="FM10"/>
    </row>
    <row r="11" spans="1:169" s="254" customFormat="1" x14ac:dyDescent="0.2">
      <c r="B11" t="s">
        <v>851</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641</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f t="shared" ref="DH11:DJ11" si="49">DD11*1.01</f>
        <v>1041.31</v>
      </c>
      <c r="DI11" s="243">
        <f t="shared" si="49"/>
        <v>1039.29</v>
      </c>
      <c r="DJ11" s="243">
        <f t="shared" si="49"/>
        <v>1021.11</v>
      </c>
      <c r="DK11" s="243">
        <f t="shared" ref="DK11" si="50">DG11*1.01</f>
        <v>1066.56</v>
      </c>
      <c r="DL11" s="243">
        <f t="shared" ref="DL11" si="51">DH11*1.01</f>
        <v>1051.7230999999999</v>
      </c>
      <c r="DM11" s="243">
        <f t="shared" ref="DM11" si="52">DI11*1.01</f>
        <v>1049.6829</v>
      </c>
      <c r="DN11" s="243">
        <f t="shared" ref="DN11" si="53">DJ11*1.01</f>
        <v>1031.3211000000001</v>
      </c>
      <c r="DP11" s="235"/>
      <c r="DQ11" s="235"/>
      <c r="DR11" s="235"/>
      <c r="DS11" s="235"/>
      <c r="DT11" s="235"/>
      <c r="DU11" s="235"/>
      <c r="DV11" s="235"/>
      <c r="DW11" s="235"/>
      <c r="DX11" s="235"/>
      <c r="DY11" s="235"/>
      <c r="DZ11" s="235"/>
      <c r="EA11" s="235"/>
      <c r="EB11" s="235"/>
      <c r="EC11" s="235"/>
      <c r="ED11" s="235"/>
      <c r="EE11" s="235"/>
      <c r="EF11" s="235"/>
      <c r="EG11" s="244" t="s">
        <v>952</v>
      </c>
      <c r="EH11" s="244" t="s">
        <v>922</v>
      </c>
      <c r="EI11" s="235">
        <f>SUM(AU11:AX11)</f>
        <v>326</v>
      </c>
      <c r="EJ11" s="235">
        <f>SUM(AY11:BB11)</f>
        <v>393</v>
      </c>
      <c r="EK11" s="235">
        <f t="shared" si="45"/>
        <v>424</v>
      </c>
      <c r="EL11" s="235">
        <f>SUM(BG11:BJ11)</f>
        <v>600</v>
      </c>
      <c r="EM11" s="235">
        <f>SUM(BK11:BN11)</f>
        <v>1346</v>
      </c>
      <c r="EN11" s="235">
        <f>SUM(BO11:BR11)</f>
        <v>1831</v>
      </c>
      <c r="EO11" s="235">
        <f>SUM(BS11:BV11)</f>
        <v>2228</v>
      </c>
      <c r="EP11" s="235">
        <f t="shared" ref="EP11:EQ11" si="54">+EO11*1.02</f>
        <v>2272.56</v>
      </c>
      <c r="EQ11" s="235">
        <f t="shared" si="54"/>
        <v>2318.0111999999999</v>
      </c>
      <c r="ER11" s="235"/>
      <c r="ES11" s="235">
        <f>SUM(CI11:CL11)</f>
        <v>2928</v>
      </c>
      <c r="ET11" s="235">
        <f>SUM(CM11:CP11)</f>
        <v>3330</v>
      </c>
      <c r="EU11" s="235">
        <f>SUM(CQ11:CT11)</f>
        <v>3653</v>
      </c>
      <c r="EV11" s="235">
        <f t="shared" si="48"/>
        <v>4022</v>
      </c>
      <c r="EW11" s="235">
        <f>SUM(CY11:DB11)</f>
        <v>4141</v>
      </c>
      <c r="EX11" s="235">
        <f>SUM(DC11:DF11)</f>
        <v>4115</v>
      </c>
      <c r="EY11" s="235">
        <f t="shared" si="28"/>
        <v>4157.71</v>
      </c>
      <c r="EZ11" s="235">
        <f>+EY11*0.8</f>
        <v>3326.1680000000001</v>
      </c>
      <c r="FA11" s="235">
        <f t="shared" ref="FA11:FJ11" si="55">+EZ11*0.8</f>
        <v>2660.9344000000001</v>
      </c>
      <c r="FB11" s="235">
        <f t="shared" si="55"/>
        <v>2128.7475200000003</v>
      </c>
      <c r="FC11" s="235">
        <f t="shared" si="55"/>
        <v>1702.9980160000005</v>
      </c>
      <c r="FD11" s="235">
        <f t="shared" si="55"/>
        <v>1362.3984128000004</v>
      </c>
      <c r="FE11" s="235">
        <f t="shared" si="55"/>
        <v>1089.9187302400003</v>
      </c>
      <c r="FF11" s="235">
        <f t="shared" si="55"/>
        <v>871.93498419200023</v>
      </c>
      <c r="FG11" s="235">
        <f t="shared" si="55"/>
        <v>697.54798735360021</v>
      </c>
      <c r="FH11" s="235">
        <f t="shared" si="55"/>
        <v>558.03838988288021</v>
      </c>
      <c r="FI11" s="235">
        <f t="shared" si="55"/>
        <v>446.43071190630417</v>
      </c>
      <c r="FJ11" s="235">
        <f t="shared" si="55"/>
        <v>357.14456952504338</v>
      </c>
      <c r="FM11"/>
    </row>
    <row r="12" spans="1:169" s="254" customFormat="1" x14ac:dyDescent="0.2">
      <c r="B12" t="s">
        <v>572</v>
      </c>
      <c r="C12" s="76"/>
      <c r="D12" s="76"/>
      <c r="E12" s="76"/>
      <c r="F12" s="76"/>
      <c r="G12" s="76"/>
      <c r="H12" s="76"/>
      <c r="I12" s="76"/>
      <c r="J12" s="76"/>
      <c r="K12" s="76"/>
      <c r="L12" s="76"/>
      <c r="M12" s="76"/>
      <c r="N12" s="76"/>
      <c r="O12" s="76"/>
      <c r="P12" s="76"/>
      <c r="Q12" s="76"/>
      <c r="R12" s="76"/>
      <c r="S12" s="236" t="s">
        <v>641</v>
      </c>
      <c r="T12" s="236" t="s">
        <v>405</v>
      </c>
      <c r="U12" s="236" t="s">
        <v>406</v>
      </c>
      <c r="V12" s="236" t="s">
        <v>407</v>
      </c>
      <c r="W12" s="236" t="s">
        <v>408</v>
      </c>
      <c r="X12" s="236" t="s">
        <v>409</v>
      </c>
      <c r="Y12" s="236" t="s">
        <v>408</v>
      </c>
      <c r="Z12" s="236" t="s">
        <v>410</v>
      </c>
      <c r="AA12" s="236" t="s">
        <v>411</v>
      </c>
      <c r="AB12" s="236" t="s">
        <v>412</v>
      </c>
      <c r="AC12" s="236" t="s">
        <v>413</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f t="shared" ref="DH12:DJ14" si="56">DD12</f>
        <v>208</v>
      </c>
      <c r="DI12" s="243">
        <f t="shared" si="56"/>
        <v>189</v>
      </c>
      <c r="DJ12" s="243">
        <f t="shared" si="56"/>
        <v>180</v>
      </c>
      <c r="DK12" s="243">
        <f t="shared" ref="DK12:DK14" si="57">DG12</f>
        <v>177</v>
      </c>
      <c r="DL12" s="243">
        <f t="shared" ref="DL12:DL14" si="58">DH12</f>
        <v>208</v>
      </c>
      <c r="DM12" s="243">
        <f t="shared" ref="DM12:DM14" si="59">DI12</f>
        <v>189</v>
      </c>
      <c r="DN12" s="243">
        <f t="shared" ref="DN12:DN14" si="60">DJ12</f>
        <v>180</v>
      </c>
      <c r="DP12" s="244" t="s">
        <v>121</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c r="ES12" s="235">
        <f t="shared" ref="ES12:ES14" si="61">SUM(CI12:CL12)</f>
        <v>663</v>
      </c>
      <c r="ET12" s="235">
        <f t="shared" ref="ET12:ET13" si="62">SUM(CM12:CP12)</f>
        <v>696</v>
      </c>
      <c r="EU12" s="235">
        <f t="shared" ref="EU12" si="63">SUM(CQ12:CT12)</f>
        <v>622</v>
      </c>
      <c r="EV12" s="235">
        <f t="shared" ref="EV12" si="64">SUM(CU12:CX12)</f>
        <v>667</v>
      </c>
      <c r="EW12" s="235">
        <f t="shared" ref="EW12" si="65">SUM(CY12:DB12)</f>
        <v>644</v>
      </c>
      <c r="EX12" s="235">
        <f>SUM(DC12:DF12)</f>
        <v>783</v>
      </c>
      <c r="EY12" s="235">
        <f t="shared" si="28"/>
        <v>754</v>
      </c>
      <c r="EZ12" s="235">
        <f t="shared" ref="EZ12" si="66">EY12*0.5</f>
        <v>377</v>
      </c>
      <c r="FA12" s="235">
        <f t="shared" ref="FA12" si="67">EZ12*0.5</f>
        <v>188.5</v>
      </c>
      <c r="FB12" s="235">
        <f t="shared" ref="FB12" si="68">FA12*0.5</f>
        <v>94.25</v>
      </c>
      <c r="FC12" s="235">
        <f t="shared" ref="FC12" si="69">FB12*0.5</f>
        <v>47.125</v>
      </c>
      <c r="FD12" s="235">
        <f t="shared" ref="FD12" si="70">FC12*0.5</f>
        <v>23.5625</v>
      </c>
      <c r="FE12" s="235">
        <f t="shared" ref="FE12:FJ12" si="71">FD12*0.5</f>
        <v>11.78125</v>
      </c>
      <c r="FF12" s="235">
        <f t="shared" si="71"/>
        <v>5.890625</v>
      </c>
      <c r="FG12" s="235">
        <f t="shared" si="71"/>
        <v>2.9453125</v>
      </c>
      <c r="FH12" s="235">
        <f t="shared" si="71"/>
        <v>1.47265625</v>
      </c>
      <c r="FI12" s="235">
        <f t="shared" si="71"/>
        <v>0.736328125</v>
      </c>
      <c r="FJ12" s="235">
        <f t="shared" si="71"/>
        <v>0.3681640625</v>
      </c>
      <c r="FM12"/>
    </row>
    <row r="13" spans="1:169" s="254" customFormat="1" x14ac:dyDescent="0.2">
      <c r="B13" t="s">
        <v>1903</v>
      </c>
      <c r="C13" s="76"/>
      <c r="D13" s="76"/>
      <c r="E13" s="76"/>
      <c r="F13" s="76"/>
      <c r="G13" s="76"/>
      <c r="H13" s="76"/>
      <c r="I13" s="76"/>
      <c r="J13" s="76"/>
      <c r="K13" s="76"/>
      <c r="L13" s="76"/>
      <c r="M13" s="76"/>
      <c r="N13" s="76"/>
      <c r="O13" s="76"/>
      <c r="P13" s="76"/>
      <c r="Q13" s="76"/>
      <c r="R13" s="76"/>
      <c r="S13" s="236"/>
      <c r="T13" s="236"/>
      <c r="U13" s="236"/>
      <c r="V13" s="236"/>
      <c r="W13" s="236"/>
      <c r="X13" s="236"/>
      <c r="Y13" s="236"/>
      <c r="Z13" s="236"/>
      <c r="AA13" s="236"/>
      <c r="AB13" s="236"/>
      <c r="AC13" s="236"/>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c r="CJ13" s="243"/>
      <c r="CK13" s="243"/>
      <c r="CL13" s="243"/>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f t="shared" ref="DH13:DJ13" si="72">DG13+15</f>
        <v>240</v>
      </c>
      <c r="DI13" s="243">
        <f t="shared" si="72"/>
        <v>255</v>
      </c>
      <c r="DJ13" s="243">
        <f t="shared" si="72"/>
        <v>270</v>
      </c>
      <c r="DK13" s="243">
        <f t="shared" ref="DK13" si="73">DJ13+15</f>
        <v>285</v>
      </c>
      <c r="DL13" s="243">
        <f t="shared" ref="DL13" si="74">DK13+15</f>
        <v>300</v>
      </c>
      <c r="DM13" s="243">
        <f t="shared" ref="DM13" si="75">DL13+15</f>
        <v>315</v>
      </c>
      <c r="DN13" s="243">
        <f t="shared" ref="DN13" si="76">DM13+15</f>
        <v>330</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f t="shared" si="61"/>
        <v>0</v>
      </c>
      <c r="ET13" s="235">
        <f t="shared" si="62"/>
        <v>0</v>
      </c>
      <c r="EU13" s="235">
        <v>0</v>
      </c>
      <c r="EV13" s="235">
        <v>224</v>
      </c>
      <c r="EW13" s="235">
        <v>374</v>
      </c>
      <c r="EX13" s="235">
        <f>SUM(DC13:DF13)</f>
        <v>689</v>
      </c>
      <c r="EY13" s="235">
        <f t="shared" si="28"/>
        <v>990</v>
      </c>
      <c r="EZ13" s="235"/>
      <c r="FA13" s="235"/>
      <c r="FB13" s="235"/>
      <c r="FC13" s="235"/>
      <c r="FD13" s="235"/>
      <c r="FE13" s="235"/>
      <c r="FF13" s="235"/>
      <c r="FG13" s="235"/>
      <c r="FH13" s="235"/>
      <c r="FI13" s="235"/>
      <c r="FJ13" s="235"/>
      <c r="FM13"/>
    </row>
    <row r="14" spans="1:169" s="254" customFormat="1" x14ac:dyDescent="0.2">
      <c r="B14" t="s">
        <v>1687</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f t="shared" si="56"/>
        <v>386</v>
      </c>
      <c r="DI14" s="243">
        <f t="shared" si="56"/>
        <v>340</v>
      </c>
      <c r="DJ14" s="243">
        <f t="shared" si="56"/>
        <v>404</v>
      </c>
      <c r="DK14" s="243">
        <f t="shared" ref="DK14:DK16" si="77">DG14</f>
        <v>345</v>
      </c>
      <c r="DL14" s="243">
        <f t="shared" ref="DL14:DL16" si="78">DH14</f>
        <v>386</v>
      </c>
      <c r="DM14" s="243">
        <f t="shared" ref="DM14:DM16" si="79">DI14</f>
        <v>340</v>
      </c>
      <c r="DN14" s="243">
        <f t="shared" ref="DN14:DN16" si="80">DJ14</f>
        <v>404</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f t="shared" si="61"/>
        <v>1749</v>
      </c>
      <c r="ET14" s="235">
        <f>SUM(CM14:CP14)</f>
        <v>1614</v>
      </c>
      <c r="EU14" s="235">
        <f>SUM(CQ14:CT14)</f>
        <v>1632</v>
      </c>
      <c r="EV14" s="235">
        <f t="shared" si="48"/>
        <v>1719</v>
      </c>
      <c r="EW14" s="235">
        <f>SUM(CY14:DB14)</f>
        <v>1624</v>
      </c>
      <c r="EX14" s="235">
        <f>SUM(DC14:DF14)</f>
        <v>1553</v>
      </c>
      <c r="EY14" s="235">
        <f t="shared" si="28"/>
        <v>1475</v>
      </c>
      <c r="EZ14" s="235">
        <f t="shared" ref="EZ14:FJ14" si="81">+EY14*0.9</f>
        <v>1327.5</v>
      </c>
      <c r="FA14" s="235">
        <f t="shared" si="81"/>
        <v>1194.75</v>
      </c>
      <c r="FB14" s="235">
        <f t="shared" si="81"/>
        <v>1075.2750000000001</v>
      </c>
      <c r="FC14" s="235">
        <f t="shared" si="81"/>
        <v>967.74750000000006</v>
      </c>
      <c r="FD14" s="235">
        <f t="shared" si="81"/>
        <v>870.97275000000002</v>
      </c>
      <c r="FE14" s="235">
        <f t="shared" si="81"/>
        <v>783.87547500000005</v>
      </c>
      <c r="FF14" s="235">
        <f t="shared" si="81"/>
        <v>705.48792750000007</v>
      </c>
      <c r="FG14" s="235">
        <f t="shared" si="81"/>
        <v>634.93913475000011</v>
      </c>
      <c r="FH14" s="235">
        <f t="shared" si="81"/>
        <v>571.44522127500011</v>
      </c>
      <c r="FI14" s="235">
        <f t="shared" si="81"/>
        <v>514.30069914750015</v>
      </c>
      <c r="FJ14" s="235">
        <f t="shared" si="81"/>
        <v>462.87062923275016</v>
      </c>
      <c r="FM14"/>
    </row>
    <row r="15" spans="1:169" s="254" customFormat="1" hidden="1" x14ac:dyDescent="0.2">
      <c r="B15" t="s">
        <v>186</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c r="ES15" s="235"/>
      <c r="ET15" s="235"/>
      <c r="EU15" s="235">
        <f t="shared" ref="EU15:EU18" si="82">SUM(CQ15:CT15)</f>
        <v>0</v>
      </c>
      <c r="EV15" s="235">
        <f t="shared" ref="EV15:EV18" si="83">SUM(CU15:CX15)</f>
        <v>0</v>
      </c>
      <c r="EW15" s="235">
        <f t="shared" ref="EW15:EW18" si="84">SUM(CY15:DB15)</f>
        <v>0</v>
      </c>
      <c r="EX15" s="235">
        <f>SUM(DC15:DF15)</f>
        <v>0</v>
      </c>
      <c r="EY15" s="235">
        <f t="shared" si="28"/>
        <v>0</v>
      </c>
      <c r="EZ15" s="235"/>
      <c r="FA15" s="235"/>
      <c r="FB15" s="235"/>
      <c r="FC15" s="235"/>
      <c r="FD15" s="235"/>
      <c r="FE15" s="235"/>
      <c r="FF15" s="235"/>
      <c r="FG15" s="235"/>
      <c r="FH15" s="235"/>
      <c r="FI15" s="235"/>
      <c r="FJ15" s="235"/>
      <c r="FM15" t="s">
        <v>108</v>
      </c>
    </row>
    <row r="16" spans="1:169" s="254" customFormat="1" hidden="1" x14ac:dyDescent="0.2">
      <c r="B16" t="s">
        <v>329</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85">SUM(AQ16:AT16)</f>
        <v>1357</v>
      </c>
      <c r="EI16" s="235">
        <f t="shared" ref="EI16:EI18" si="86">SUM(AU16:AX16)</f>
        <v>1158</v>
      </c>
      <c r="EJ16" s="235">
        <f t="shared" ref="EJ16:EJ18" si="87">SUM(AY16:BB16)</f>
        <v>1096</v>
      </c>
      <c r="EK16" s="235">
        <f t="shared" si="45"/>
        <v>1006</v>
      </c>
      <c r="EL16" s="235">
        <f t="shared" ref="EL16:EL37" si="88">SUM(BG16:BJ16)</f>
        <v>975</v>
      </c>
      <c r="EM16" s="235">
        <f t="shared" ref="EM16:EM18" si="89">SUM(BK16:BN16)</f>
        <v>835</v>
      </c>
      <c r="EN16" s="235">
        <f>SUM(BO16:BR16)</f>
        <v>470</v>
      </c>
      <c r="EO16" s="235"/>
      <c r="EP16" s="76"/>
      <c r="EQ16" s="76"/>
      <c r="ER16" s="76"/>
      <c r="ES16" s="76"/>
      <c r="ET16" s="76"/>
      <c r="EU16" s="235">
        <f t="shared" si="82"/>
        <v>0</v>
      </c>
      <c r="EV16" s="235">
        <f t="shared" si="83"/>
        <v>0</v>
      </c>
      <c r="EW16" s="235">
        <f t="shared" si="84"/>
        <v>0</v>
      </c>
      <c r="EX16" s="235">
        <f>SUM(DC16:DF16)</f>
        <v>0</v>
      </c>
      <c r="EY16" s="235">
        <f t="shared" si="28"/>
        <v>0</v>
      </c>
      <c r="EZ16"/>
      <c r="FA16"/>
      <c r="FB16"/>
      <c r="FC16"/>
      <c r="FD16"/>
      <c r="FE16"/>
      <c r="FF16"/>
      <c r="FG16"/>
      <c r="FH16"/>
      <c r="FI16"/>
      <c r="FJ16"/>
      <c r="FM16" t="s">
        <v>330</v>
      </c>
    </row>
    <row r="17" spans="2:169" hidden="1" x14ac:dyDescent="0.2">
      <c r="B17" t="s">
        <v>325</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85"/>
        <v>2453</v>
      </c>
      <c r="EI17" s="235">
        <f t="shared" si="86"/>
        <v>2731</v>
      </c>
      <c r="EJ17" s="235">
        <f t="shared" si="87"/>
        <v>1151</v>
      </c>
      <c r="EK17" s="235">
        <f t="shared" si="45"/>
        <v>538</v>
      </c>
      <c r="EL17" s="235">
        <f t="shared" si="88"/>
        <v>488</v>
      </c>
      <c r="EM17" s="235"/>
      <c r="EN17" s="235"/>
      <c r="EO17" s="235"/>
      <c r="EU17" s="235">
        <f t="shared" si="82"/>
        <v>0</v>
      </c>
      <c r="EV17" s="235">
        <f t="shared" si="83"/>
        <v>0</v>
      </c>
      <c r="EW17" s="235">
        <f t="shared" si="84"/>
        <v>0</v>
      </c>
      <c r="EX17" s="235">
        <f>SUM(DC17:DF17)</f>
        <v>0</v>
      </c>
      <c r="EY17" s="235">
        <f t="shared" si="28"/>
        <v>0</v>
      </c>
      <c r="FK17" s="254"/>
    </row>
    <row r="18" spans="2:169" x14ac:dyDescent="0.2">
      <c r="B18" t="s">
        <v>1234</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f t="shared" ref="DH18:DJ18" si="90">+DD18*0.9</f>
        <v>441.90000000000003</v>
      </c>
      <c r="DI18" s="243">
        <f t="shared" si="90"/>
        <v>402.3</v>
      </c>
      <c r="DJ18" s="243">
        <f t="shared" si="90"/>
        <v>395.1</v>
      </c>
      <c r="DK18" s="243">
        <f t="shared" ref="DK18" si="91">+DG18*0.9</f>
        <v>376.2</v>
      </c>
      <c r="DL18" s="243">
        <f t="shared" ref="DL18" si="92">+DH18*0.9</f>
        <v>397.71000000000004</v>
      </c>
      <c r="DM18" s="243">
        <f t="shared" ref="DM18" si="93">+DI18*0.9</f>
        <v>362.07</v>
      </c>
      <c r="DN18" s="243">
        <f t="shared" ref="DN18" si="94">+DJ18*0.9</f>
        <v>355.59000000000003</v>
      </c>
      <c r="EI18" s="235">
        <f t="shared" si="86"/>
        <v>334</v>
      </c>
      <c r="EJ18" s="235">
        <f t="shared" si="87"/>
        <v>592</v>
      </c>
      <c r="EK18" s="235">
        <f t="shared" si="45"/>
        <v>857</v>
      </c>
      <c r="EL18" s="235">
        <f t="shared" si="88"/>
        <v>1211</v>
      </c>
      <c r="EM18" s="235">
        <f t="shared" si="89"/>
        <v>1414</v>
      </c>
      <c r="EN18" s="235">
        <f>SUM(BO18:BR18)</f>
        <v>1673</v>
      </c>
      <c r="EO18" s="235">
        <f>SUM(BS18:BV18)</f>
        <v>1831</v>
      </c>
      <c r="EP18" s="235">
        <f>EO18</f>
        <v>1831</v>
      </c>
      <c r="EQ18" s="235">
        <f>EP18*0.5</f>
        <v>915.5</v>
      </c>
      <c r="ER18" s="235"/>
      <c r="ES18" s="235">
        <f t="shared" ref="ES18:ES20" si="95">SUM(CI18:CL18)</f>
        <v>1955</v>
      </c>
      <c r="ET18" s="235">
        <f>SUM(CM18:CP18)</f>
        <v>2110</v>
      </c>
      <c r="EU18" s="235">
        <f t="shared" si="82"/>
        <v>2184</v>
      </c>
      <c r="EV18" s="235">
        <f t="shared" si="83"/>
        <v>2083</v>
      </c>
      <c r="EW18" s="235">
        <f t="shared" si="84"/>
        <v>1943</v>
      </c>
      <c r="EX18" s="235">
        <f>SUM(DC18:DF18)</f>
        <v>1854</v>
      </c>
      <c r="EY18" s="235">
        <f t="shared" si="28"/>
        <v>1657.3000000000002</v>
      </c>
      <c r="EZ18" s="235"/>
      <c r="FA18" s="235"/>
      <c r="FB18" s="235"/>
      <c r="FC18" s="235"/>
      <c r="FD18" s="235"/>
      <c r="FE18" s="235"/>
      <c r="FF18" s="235"/>
      <c r="FG18" s="235"/>
      <c r="FH18" s="235"/>
      <c r="FI18" s="235"/>
      <c r="FJ18" s="235"/>
      <c r="FK18" s="254"/>
    </row>
    <row r="19" spans="2:169" ht="12.75" customHeight="1" x14ac:dyDescent="0.2">
      <c r="B19" t="s">
        <v>1629</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f>+DD19*1.1</f>
        <v>292.60000000000002</v>
      </c>
      <c r="DI19" s="243">
        <f>+DE19*1.1</f>
        <v>326.70000000000005</v>
      </c>
      <c r="DJ19" s="243">
        <f>+DF19*1.1</f>
        <v>337.70000000000005</v>
      </c>
      <c r="DK19" s="243">
        <f t="shared" ref="DK19:DN19" si="96">+DG19*1.1</f>
        <v>355.3</v>
      </c>
      <c r="DL19" s="243">
        <f t="shared" si="96"/>
        <v>321.86000000000007</v>
      </c>
      <c r="DM19" s="243">
        <f t="shared" si="96"/>
        <v>359.37000000000006</v>
      </c>
      <c r="DN19" s="243">
        <f t="shared" si="96"/>
        <v>371.47000000000008</v>
      </c>
      <c r="EI19" s="235"/>
      <c r="EJ19" s="235"/>
      <c r="EK19" s="235"/>
      <c r="EL19" s="235"/>
      <c r="EM19" s="235"/>
      <c r="EN19" s="235"/>
      <c r="EO19" s="235">
        <f>SUM(BS19:BV19)</f>
        <v>365</v>
      </c>
      <c r="EP19" s="235">
        <f>+EO19*1.05</f>
        <v>383.25</v>
      </c>
      <c r="EQ19" s="235">
        <f t="shared" ref="EQ19" si="97">+EP19*1.05</f>
        <v>402.41250000000002</v>
      </c>
      <c r="ER19" s="235"/>
      <c r="ES19" s="235">
        <f t="shared" si="95"/>
        <v>816</v>
      </c>
      <c r="ET19" s="235">
        <f>SUM(CM19:CP19)</f>
        <v>861</v>
      </c>
      <c r="EU19" s="235">
        <f>SUM(CQ19:CT19)</f>
        <v>964</v>
      </c>
      <c r="EV19" s="235">
        <f t="shared" ref="EV19:EV24" si="98">SUM(CU19:CX19)</f>
        <v>994</v>
      </c>
      <c r="EW19" s="235">
        <f>SUM(CY19:DB19)</f>
        <v>1008</v>
      </c>
      <c r="EX19" s="235">
        <f>SUM(DC19:DF19)</f>
        <v>1150</v>
      </c>
      <c r="EY19" s="235">
        <f t="shared" si="28"/>
        <v>1280</v>
      </c>
      <c r="EZ19" s="235">
        <f t="shared" ref="EZ19:FF19" si="99">+EY19*0.5</f>
        <v>640</v>
      </c>
      <c r="FA19" s="235">
        <f t="shared" si="99"/>
        <v>320</v>
      </c>
      <c r="FB19" s="235">
        <f t="shared" si="99"/>
        <v>160</v>
      </c>
      <c r="FC19" s="235">
        <f t="shared" si="99"/>
        <v>80</v>
      </c>
      <c r="FD19" s="235">
        <f t="shared" si="99"/>
        <v>40</v>
      </c>
      <c r="FE19" s="235">
        <f t="shared" si="99"/>
        <v>20</v>
      </c>
      <c r="FF19" s="235">
        <f t="shared" si="99"/>
        <v>10</v>
      </c>
      <c r="FG19" s="235">
        <f t="shared" ref="FG19" si="100">+FF19*0.5</f>
        <v>5</v>
      </c>
      <c r="FH19" s="235">
        <f t="shared" ref="FH19" si="101">+FG19*0.5</f>
        <v>2.5</v>
      </c>
      <c r="FI19" s="235">
        <f t="shared" ref="FI19" si="102">+FH19*0.5</f>
        <v>1.25</v>
      </c>
      <c r="FJ19" s="235">
        <f t="shared" ref="FJ19" si="103">+FI19*0.5</f>
        <v>0.625</v>
      </c>
      <c r="FK19" s="254"/>
    </row>
    <row r="20" spans="2:169" x14ac:dyDescent="0.2">
      <c r="B20" t="s">
        <v>1685</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0</v>
      </c>
      <c r="DI20" s="243">
        <v>0</v>
      </c>
      <c r="DJ20" s="243">
        <v>0</v>
      </c>
      <c r="DK20" s="243">
        <v>0</v>
      </c>
      <c r="DL20" s="243">
        <v>0</v>
      </c>
      <c r="DM20" s="243">
        <v>0</v>
      </c>
      <c r="DN20" s="243">
        <v>0</v>
      </c>
      <c r="EI20" s="235"/>
      <c r="EJ20" s="235"/>
      <c r="EK20" s="235"/>
      <c r="EL20" s="235"/>
      <c r="EM20" s="235"/>
      <c r="EN20" s="235"/>
      <c r="EO20" s="235"/>
      <c r="EP20" s="235"/>
      <c r="EQ20" s="235"/>
      <c r="ER20" s="235"/>
      <c r="ES20" s="235">
        <f t="shared" si="95"/>
        <v>0</v>
      </c>
      <c r="ET20" s="235">
        <f>SUM(CM20:CP20)</f>
        <v>0</v>
      </c>
      <c r="EU20" s="235">
        <f>SUM(CQ20:CT20)</f>
        <v>0</v>
      </c>
      <c r="EV20" s="235">
        <f t="shared" si="98"/>
        <v>2385</v>
      </c>
      <c r="EW20" s="235">
        <f t="shared" ref="EW20:EW24" si="104">SUM(CY20:DB20)</f>
        <v>2179</v>
      </c>
      <c r="EX20" s="235">
        <f>SUM(DC20:DF20)</f>
        <v>1117</v>
      </c>
      <c r="EY20" s="235"/>
      <c r="EZ20" s="235"/>
      <c r="FA20" s="235"/>
      <c r="FB20" s="235"/>
      <c r="FC20" s="235"/>
      <c r="FD20" s="235"/>
      <c r="FE20" s="235"/>
      <c r="FF20" s="235"/>
      <c r="FG20" s="235"/>
      <c r="FH20" s="235"/>
      <c r="FI20" s="235"/>
      <c r="FJ20" s="235"/>
      <c r="FK20" s="254"/>
    </row>
    <row r="21" spans="2:169" s="254" customFormat="1" x14ac:dyDescent="0.2">
      <c r="B21" t="s">
        <v>154</v>
      </c>
      <c r="C21" s="76">
        <f>93+5</f>
        <v>98</v>
      </c>
      <c r="D21" s="76">
        <f>65+5</f>
        <v>70</v>
      </c>
      <c r="E21" s="76">
        <f>86+5</f>
        <v>91</v>
      </c>
      <c r="F21" s="76">
        <f>80+5</f>
        <v>85</v>
      </c>
      <c r="G21" s="76">
        <f>126+5</f>
        <v>131</v>
      </c>
      <c r="H21" s="76">
        <f>112+9</f>
        <v>121</v>
      </c>
      <c r="I21" s="76">
        <f>75+7</f>
        <v>82</v>
      </c>
      <c r="J21" s="76">
        <f>130+8</f>
        <v>138</v>
      </c>
      <c r="K21" s="76">
        <f>198+9</f>
        <v>207</v>
      </c>
      <c r="L21" s="76">
        <f>157+8</f>
        <v>165</v>
      </c>
      <c r="M21" s="76">
        <f>168+9</f>
        <v>177</v>
      </c>
      <c r="N21" s="76">
        <f>203+10</f>
        <v>213</v>
      </c>
      <c r="O21" s="76">
        <f>319+14</f>
        <v>333</v>
      </c>
      <c r="P21" s="76">
        <f>249+11</f>
        <v>260</v>
      </c>
      <c r="Q21" s="76">
        <f>238+11</f>
        <v>249</v>
      </c>
      <c r="R21" s="76">
        <f>235+12</f>
        <v>247</v>
      </c>
      <c r="S21" s="76">
        <f>240+16</f>
        <v>256</v>
      </c>
      <c r="T21" s="76">
        <f>232+12</f>
        <v>244</v>
      </c>
      <c r="U21" s="76">
        <f>220+15</f>
        <v>235</v>
      </c>
      <c r="V21" s="76">
        <f>301+16</f>
        <v>317</v>
      </c>
      <c r="W21" s="76">
        <f>263+16</f>
        <v>279</v>
      </c>
      <c r="X21" s="76">
        <f>201+15</f>
        <v>216</v>
      </c>
      <c r="Y21" s="76">
        <f>228+16</f>
        <v>244</v>
      </c>
      <c r="Z21" s="76">
        <f>279+14</f>
        <v>293</v>
      </c>
      <c r="AA21" s="76">
        <f>284+14</f>
        <v>298</v>
      </c>
      <c r="AB21" s="76">
        <f>258+15</f>
        <v>273</v>
      </c>
      <c r="AC21" s="76">
        <f>238+15</f>
        <v>253</v>
      </c>
      <c r="AD21" s="76">
        <f>310+16</f>
        <v>326</v>
      </c>
      <c r="AE21" s="243">
        <f>364+19</f>
        <v>383</v>
      </c>
      <c r="AF21" s="243">
        <f>253+16</f>
        <v>269</v>
      </c>
      <c r="AG21" s="243">
        <f>256+14</f>
        <v>270</v>
      </c>
      <c r="AH21" s="243">
        <f>357+17</f>
        <v>374</v>
      </c>
      <c r="AI21" s="243">
        <f>421+19</f>
        <v>440</v>
      </c>
      <c r="AJ21" s="243">
        <f>306+14</f>
        <v>320</v>
      </c>
      <c r="AK21" s="243">
        <f>322+10</f>
        <v>332</v>
      </c>
      <c r="AL21" s="243">
        <f>390+11</f>
        <v>401</v>
      </c>
      <c r="AM21" s="243">
        <f>387+14</f>
        <v>401</v>
      </c>
      <c r="AN21" s="243">
        <f>328+15</f>
        <v>343</v>
      </c>
      <c r="AO21" s="243">
        <v>347</v>
      </c>
      <c r="AP21" s="243">
        <v>439</v>
      </c>
      <c r="AQ21" s="243">
        <f>475+5</f>
        <v>480</v>
      </c>
      <c r="AR21" s="243">
        <f>357+6</f>
        <v>363</v>
      </c>
      <c r="AS21" s="243">
        <v>371</v>
      </c>
      <c r="AT21" s="243">
        <v>432</v>
      </c>
      <c r="AU21" s="243">
        <v>496</v>
      </c>
      <c r="AV21" s="243">
        <v>351</v>
      </c>
      <c r="AW21" s="243">
        <v>333</v>
      </c>
      <c r="AX21" s="243">
        <v>411</v>
      </c>
      <c r="AY21" s="243">
        <v>425</v>
      </c>
      <c r="AZ21" s="243">
        <v>362</v>
      </c>
      <c r="BA21" s="243">
        <v>311</v>
      </c>
      <c r="BB21" s="243">
        <v>452</v>
      </c>
      <c r="BC21" s="243">
        <v>371</v>
      </c>
      <c r="BD21" s="243">
        <v>300</v>
      </c>
      <c r="BE21" s="243">
        <v>286</v>
      </c>
      <c r="BF21" s="243">
        <v>400</v>
      </c>
      <c r="BG21" s="243">
        <v>434</v>
      </c>
      <c r="BH21" s="243">
        <v>159</v>
      </c>
      <c r="BI21" s="243">
        <v>25</v>
      </c>
      <c r="BJ21" s="243">
        <v>5</v>
      </c>
      <c r="BK21" s="243">
        <v>29</v>
      </c>
      <c r="BL21" s="243">
        <v>16</v>
      </c>
      <c r="BM21" s="243">
        <v>20</v>
      </c>
      <c r="BN21" s="243">
        <v>10</v>
      </c>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K21" s="243"/>
      <c r="DL21" s="243"/>
      <c r="DM21" s="243"/>
      <c r="DN21" s="243"/>
      <c r="DP21" s="271"/>
      <c r="DQ21" s="271"/>
      <c r="DR21" s="271"/>
      <c r="DS21" s="271"/>
      <c r="DT21" s="271"/>
      <c r="DU21" s="271"/>
      <c r="DV21" s="235">
        <v>199</v>
      </c>
      <c r="DW21" s="235">
        <v>190</v>
      </c>
      <c r="DX21" s="235">
        <f>SUM(C21:F21)</f>
        <v>344</v>
      </c>
      <c r="DY21" s="235">
        <f>SUM(G21:J21)</f>
        <v>472</v>
      </c>
      <c r="DZ21" s="235">
        <f>SUM(K21:N21)</f>
        <v>762</v>
      </c>
      <c r="EA21" s="235">
        <f>SUM(O21:R21)</f>
        <v>1089</v>
      </c>
      <c r="EB21" s="235">
        <f>SUM(S21:V21)</f>
        <v>1052</v>
      </c>
      <c r="EC21" s="235">
        <f>SUM(W21:Z21)</f>
        <v>1032</v>
      </c>
      <c r="ED21" s="235">
        <f>SUM(AA21:AD21)</f>
        <v>1150</v>
      </c>
      <c r="EE21" s="235">
        <f>SUM(AE21:AH21)</f>
        <v>1296</v>
      </c>
      <c r="EF21" s="235">
        <f>SUM(AI21:AL21)</f>
        <v>1493</v>
      </c>
      <c r="EG21" s="235">
        <f>SUM(AM21:AP21)</f>
        <v>1530</v>
      </c>
      <c r="EH21" s="235">
        <f>SUM(AQ21:AT21)</f>
        <v>1646</v>
      </c>
      <c r="EI21" s="235">
        <f>SUM(AU21:AX21)</f>
        <v>1591</v>
      </c>
      <c r="EJ21" s="235">
        <f t="shared" ref="EJ21" si="105">SUM(AY21:BB21)</f>
        <v>1550</v>
      </c>
      <c r="EK21" s="235">
        <f>SUM(BC21:BF21)</f>
        <v>1357</v>
      </c>
      <c r="EL21" s="235">
        <f>SUM(BG21:BJ21)</f>
        <v>623</v>
      </c>
      <c r="EM21" s="235">
        <f>SUM(BK21:BN21)</f>
        <v>75</v>
      </c>
      <c r="EN21" s="76"/>
      <c r="EO21" s="76"/>
      <c r="EP21" s="76"/>
      <c r="EQ21" s="76"/>
      <c r="ER21" s="76"/>
      <c r="ES21" s="76"/>
      <c r="ET21" s="76"/>
      <c r="EU21" s="235">
        <f t="shared" ref="EU21:EU24" si="106">SUM(CQ21:CT21)</f>
        <v>0</v>
      </c>
      <c r="EV21" s="235">
        <f t="shared" si="98"/>
        <v>0</v>
      </c>
      <c r="EW21" s="235">
        <f t="shared" si="104"/>
        <v>0</v>
      </c>
      <c r="EX21" s="235">
        <f>SUM(DC21:DF21)</f>
        <v>0</v>
      </c>
      <c r="EY21" s="235">
        <f t="shared" si="28"/>
        <v>0</v>
      </c>
      <c r="FM21"/>
    </row>
    <row r="22" spans="2:169" s="254" customFormat="1" x14ac:dyDescent="0.2">
      <c r="B22" t="s">
        <v>217</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v>69</v>
      </c>
      <c r="BH22" s="243">
        <v>79</v>
      </c>
      <c r="BI22" s="243">
        <v>83</v>
      </c>
      <c r="BJ22" s="243">
        <v>83</v>
      </c>
      <c r="BK22" s="243">
        <v>80</v>
      </c>
      <c r="BL22" s="243">
        <v>91</v>
      </c>
      <c r="BM22" s="243">
        <v>94</v>
      </c>
      <c r="BN22" s="243">
        <v>84</v>
      </c>
      <c r="BO22" s="243">
        <v>89</v>
      </c>
      <c r="BP22" s="243">
        <v>103</v>
      </c>
      <c r="BQ22" s="243">
        <v>92</v>
      </c>
      <c r="BR22" s="243">
        <v>95</v>
      </c>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243"/>
      <c r="DA22" s="243"/>
      <c r="DB22" s="243"/>
      <c r="DC22" s="243"/>
      <c r="DD22" s="243"/>
      <c r="DE22" s="243"/>
      <c r="DF22" s="243"/>
      <c r="DG22" s="243"/>
      <c r="DH22" s="243"/>
      <c r="DI22" s="243"/>
      <c r="DJ22" s="243"/>
      <c r="DK22" s="243"/>
      <c r="DL22" s="243"/>
      <c r="DM22" s="243"/>
      <c r="DN22" s="243"/>
      <c r="DP22" s="76"/>
      <c r="DQ22" s="76"/>
      <c r="DR22" s="76"/>
      <c r="DS22" s="76"/>
      <c r="DT22" s="76"/>
      <c r="DU22" s="76"/>
      <c r="DV22" s="76"/>
      <c r="DW22" s="76"/>
      <c r="DX22" s="76"/>
      <c r="DY22" s="76"/>
      <c r="DZ22" s="76"/>
      <c r="EA22" s="76"/>
      <c r="EB22" s="76"/>
      <c r="EC22" s="76"/>
      <c r="ED22" s="76"/>
      <c r="EE22" s="76"/>
      <c r="EF22" s="76"/>
      <c r="EG22" s="76"/>
      <c r="EH22" s="76"/>
      <c r="EI22" s="239"/>
      <c r="EJ22" s="235"/>
      <c r="EK22" s="235"/>
      <c r="EL22" s="235">
        <f>SUM(BG22:BJ22)</f>
        <v>314</v>
      </c>
      <c r="EM22" s="235">
        <f>SUM(BK22:BN22)</f>
        <v>349</v>
      </c>
      <c r="EN22" s="235">
        <f>SUM(BO22:BR22)</f>
        <v>379</v>
      </c>
      <c r="EO22" s="235">
        <f>SUM(BS22:BV22)</f>
        <v>0</v>
      </c>
      <c r="EP22" s="235">
        <f t="shared" ref="EP22" si="107">EO22*1.1</f>
        <v>0</v>
      </c>
      <c r="EQ22" s="235">
        <f>+EP22*0.1</f>
        <v>0</v>
      </c>
      <c r="ER22" s="235">
        <f>+EQ22*0.1</f>
        <v>0</v>
      </c>
      <c r="ES22" s="235">
        <f t="shared" ref="ES22:ET22" si="108">+ER22*0.1</f>
        <v>0</v>
      </c>
      <c r="ET22" s="235">
        <f t="shared" si="108"/>
        <v>0</v>
      </c>
      <c r="EU22" s="235">
        <f t="shared" si="106"/>
        <v>0</v>
      </c>
      <c r="EV22" s="235">
        <f t="shared" si="98"/>
        <v>0</v>
      </c>
      <c r="EW22" s="235">
        <f t="shared" si="104"/>
        <v>0</v>
      </c>
      <c r="EX22" s="235">
        <f>SUM(DC22:DF22)</f>
        <v>0</v>
      </c>
      <c r="EY22" s="235">
        <f t="shared" si="28"/>
        <v>0</v>
      </c>
      <c r="EZ22" s="235"/>
      <c r="FA22" s="235"/>
      <c r="FB22" s="235"/>
      <c r="FC22" s="235"/>
      <c r="FD22" s="235"/>
      <c r="FE22" s="235"/>
      <c r="FF22" s="235"/>
      <c r="FG22" s="235"/>
      <c r="FH22" s="235"/>
      <c r="FI22" s="235"/>
      <c r="FJ22" s="235"/>
      <c r="FM22" t="s">
        <v>1323</v>
      </c>
    </row>
    <row r="23" spans="2:169" s="254" customFormat="1" x14ac:dyDescent="0.2">
      <c r="B23" t="s">
        <v>1627</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c r="BH23" s="243"/>
      <c r="BI23" s="76"/>
      <c r="BJ23" s="76"/>
      <c r="BK23" s="76"/>
      <c r="BL23" s="76"/>
      <c r="BM23" s="76"/>
      <c r="BN23" s="76"/>
      <c r="BO23" s="76"/>
      <c r="BP23" s="76"/>
      <c r="BQ23" s="76"/>
      <c r="BR23" s="243">
        <v>23</v>
      </c>
      <c r="BS23" s="243">
        <v>354</v>
      </c>
      <c r="BT23" s="243">
        <v>831</v>
      </c>
      <c r="BU23" s="243">
        <v>796</v>
      </c>
      <c r="BV23" s="243">
        <v>321</v>
      </c>
      <c r="BW23" s="243">
        <v>234</v>
      </c>
      <c r="BX23" s="243">
        <v>264</v>
      </c>
      <c r="BY23" s="243">
        <v>79</v>
      </c>
      <c r="BZ23" s="243">
        <v>44</v>
      </c>
      <c r="CA23" s="243">
        <v>32</v>
      </c>
      <c r="CB23" s="243">
        <v>43</v>
      </c>
      <c r="CC23" s="243">
        <v>21</v>
      </c>
      <c r="CD23" s="243">
        <v>10</v>
      </c>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c r="EM23" s="235"/>
      <c r="EN23" s="235"/>
      <c r="EO23" s="235">
        <f>SUM(BS23:BV23)</f>
        <v>2302</v>
      </c>
      <c r="EP23" s="235">
        <f>+EO23</f>
        <v>2302</v>
      </c>
      <c r="EQ23" s="235"/>
      <c r="ER23" s="235"/>
      <c r="ES23" s="235"/>
      <c r="ET23" s="235"/>
      <c r="EU23" s="235">
        <f t="shared" si="106"/>
        <v>0</v>
      </c>
      <c r="EV23" s="235">
        <f t="shared" si="98"/>
        <v>0</v>
      </c>
      <c r="EW23" s="235">
        <f t="shared" si="104"/>
        <v>0</v>
      </c>
      <c r="EX23" s="235">
        <f>SUM(DC23:DF23)</f>
        <v>0</v>
      </c>
      <c r="EY23" s="235">
        <f t="shared" si="28"/>
        <v>0</v>
      </c>
      <c r="EZ23" s="235"/>
      <c r="FA23" s="235"/>
      <c r="FB23" s="235"/>
      <c r="FC23" s="235"/>
      <c r="FD23" s="235"/>
      <c r="FE23" s="235"/>
      <c r="FF23" s="235"/>
      <c r="FG23" s="235"/>
      <c r="FH23" s="235"/>
      <c r="FI23" s="235"/>
      <c r="FJ23" s="235"/>
      <c r="FM23"/>
    </row>
    <row r="24" spans="2:169" s="254" customFormat="1" x14ac:dyDescent="0.2">
      <c r="B24" t="s">
        <v>1488</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76"/>
      <c r="BH24" s="76"/>
      <c r="BI24" s="76"/>
      <c r="BJ24" s="76"/>
      <c r="BK24" s="243">
        <v>132</v>
      </c>
      <c r="BL24" s="243">
        <v>102</v>
      </c>
      <c r="BM24" s="243">
        <v>71</v>
      </c>
      <c r="BN24" s="243">
        <v>138</v>
      </c>
      <c r="BO24" s="243">
        <v>162</v>
      </c>
      <c r="BP24" s="243">
        <v>172</v>
      </c>
      <c r="BQ24" s="243">
        <v>76</v>
      </c>
      <c r="BR24" s="243">
        <v>107</v>
      </c>
      <c r="BS24" s="243">
        <v>86</v>
      </c>
      <c r="BT24" s="243">
        <v>97</v>
      </c>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t="s">
        <v>634</v>
      </c>
      <c r="EG24" s="76" t="s">
        <v>633</v>
      </c>
      <c r="EH24" s="76" t="s">
        <v>75</v>
      </c>
      <c r="EI24" s="76" t="s">
        <v>75</v>
      </c>
      <c r="EJ24" s="235" t="s">
        <v>75</v>
      </c>
      <c r="EK24" s="235"/>
      <c r="EL24" s="235">
        <f>SUM(BG24:BJ24)</f>
        <v>0</v>
      </c>
      <c r="EM24" s="235">
        <f>SUM(BK24:BN24)</f>
        <v>443</v>
      </c>
      <c r="EN24" s="235">
        <f>SUM(BO24:BR24)</f>
        <v>517</v>
      </c>
      <c r="EO24" s="235">
        <f>SUM(BS24:BV24)</f>
        <v>183</v>
      </c>
      <c r="EP24" s="235">
        <f>+EO24*0.1</f>
        <v>18.3</v>
      </c>
      <c r="EQ24" s="235">
        <f t="shared" ref="EQ24:ET24" si="109">+EP24*0.1</f>
        <v>1.83</v>
      </c>
      <c r="ER24" s="235">
        <f t="shared" si="109"/>
        <v>0.18300000000000002</v>
      </c>
      <c r="ES24" s="235">
        <f t="shared" si="109"/>
        <v>1.8300000000000004E-2</v>
      </c>
      <c r="ET24" s="235">
        <f t="shared" si="109"/>
        <v>1.8300000000000005E-3</v>
      </c>
      <c r="EU24" s="235">
        <f t="shared" si="106"/>
        <v>0</v>
      </c>
      <c r="EV24" s="235">
        <f t="shared" si="98"/>
        <v>0</v>
      </c>
      <c r="EW24" s="235">
        <f t="shared" si="104"/>
        <v>0</v>
      </c>
      <c r="EX24" s="235">
        <f>SUM(DC24:DF24)</f>
        <v>0</v>
      </c>
      <c r="EY24" s="235">
        <f t="shared" si="28"/>
        <v>0</v>
      </c>
      <c r="EZ24" s="235"/>
      <c r="FA24" s="235"/>
      <c r="FB24" s="235"/>
      <c r="FC24" s="235"/>
      <c r="FD24" s="235"/>
      <c r="FE24" s="235"/>
      <c r="FF24" s="235"/>
      <c r="FG24" s="235"/>
      <c r="FH24" s="235"/>
      <c r="FI24" s="235"/>
      <c r="FJ24" s="235"/>
      <c r="FM24"/>
    </row>
    <row r="25" spans="2:169" x14ac:dyDescent="0.2">
      <c r="B25" t="s">
        <v>1686</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f>347-BT24</f>
        <v>250</v>
      </c>
      <c r="BU25" s="243">
        <v>217</v>
      </c>
      <c r="BV25" s="243">
        <v>217</v>
      </c>
      <c r="BW25" s="243">
        <v>223</v>
      </c>
      <c r="BX25" s="243">
        <v>219</v>
      </c>
      <c r="BY25" s="243">
        <v>190</v>
      </c>
      <c r="BZ25" s="243">
        <v>183</v>
      </c>
      <c r="CA25" s="243">
        <f>173</f>
        <v>173</v>
      </c>
      <c r="CB25" s="243">
        <v>187</v>
      </c>
      <c r="CC25" s="243">
        <v>179</v>
      </c>
      <c r="CD25" s="243">
        <v>139</v>
      </c>
      <c r="CE25" s="243">
        <v>170</v>
      </c>
      <c r="CF25" s="243">
        <v>159</v>
      </c>
      <c r="CG25" s="243">
        <v>152</v>
      </c>
      <c r="CH25" s="243">
        <v>138</v>
      </c>
      <c r="CI25" s="243">
        <v>142</v>
      </c>
      <c r="CJ25" s="243">
        <v>146</v>
      </c>
      <c r="CK25" s="243">
        <v>131</v>
      </c>
      <c r="CL25" s="243">
        <v>114</v>
      </c>
      <c r="CM25" s="243">
        <v>112</v>
      </c>
      <c r="CN25" s="243">
        <v>117</v>
      </c>
      <c r="CO25" s="243">
        <v>113</v>
      </c>
      <c r="CP25" s="243">
        <v>99</v>
      </c>
      <c r="CQ25" s="243">
        <v>116</v>
      </c>
      <c r="CR25" s="243">
        <v>113</v>
      </c>
      <c r="CS25" s="243">
        <v>102</v>
      </c>
      <c r="CT25" s="243">
        <v>96</v>
      </c>
      <c r="CU25" s="243">
        <v>108</v>
      </c>
      <c r="CV25" s="243">
        <v>88</v>
      </c>
      <c r="CW25" s="243">
        <v>110</v>
      </c>
      <c r="CX25" s="243">
        <v>74</v>
      </c>
      <c r="CY25" s="243">
        <v>91</v>
      </c>
      <c r="CZ25" s="243">
        <v>83</v>
      </c>
      <c r="DA25" s="243">
        <v>77</v>
      </c>
      <c r="DB25" s="243">
        <v>67</v>
      </c>
      <c r="DC25" s="243">
        <v>82</v>
      </c>
      <c r="DD25" s="243">
        <v>79</v>
      </c>
      <c r="DE25" s="243">
        <v>74</v>
      </c>
      <c r="DF25" s="243">
        <v>62</v>
      </c>
      <c r="DG25" s="243">
        <v>53</v>
      </c>
      <c r="DH25" s="243">
        <f t="shared" ref="DH25:DJ25" si="110">DG25</f>
        <v>53</v>
      </c>
      <c r="DI25" s="243">
        <f t="shared" si="110"/>
        <v>53</v>
      </c>
      <c r="DJ25" s="243">
        <f t="shared" si="110"/>
        <v>53</v>
      </c>
      <c r="DK25" s="243">
        <f t="shared" ref="DK25" si="111">DJ25</f>
        <v>53</v>
      </c>
      <c r="DL25" s="243">
        <f t="shared" ref="DL25" si="112">DK25</f>
        <v>53</v>
      </c>
      <c r="DM25" s="243">
        <f t="shared" ref="DM25" si="113">DL25</f>
        <v>53</v>
      </c>
      <c r="DN25" s="243">
        <f t="shared" ref="DN25" si="114">DM25</f>
        <v>53</v>
      </c>
      <c r="EI25" s="235"/>
      <c r="EJ25" s="235"/>
      <c r="EK25" s="235"/>
      <c r="EL25" s="235"/>
      <c r="EM25" s="235"/>
      <c r="EN25" s="235"/>
      <c r="EO25" s="235"/>
      <c r="EP25" s="235"/>
      <c r="EQ25" s="235"/>
      <c r="ER25" s="235"/>
      <c r="ES25" s="235">
        <f t="shared" ref="ES25:ES29" si="115">SUM(CI25:CL25)</f>
        <v>533</v>
      </c>
      <c r="ET25" s="235">
        <f>SUM(CM25:CP25)</f>
        <v>441</v>
      </c>
      <c r="EU25" s="235">
        <f>SUM(CQ25:CT25)</f>
        <v>427</v>
      </c>
      <c r="EV25" s="235">
        <f t="shared" ref="EV25:EV29" si="116">SUM(CU25:CX25)</f>
        <v>380</v>
      </c>
      <c r="EW25" s="235">
        <f>SUM(CY25:DB25)</f>
        <v>318</v>
      </c>
      <c r="EX25" s="235">
        <f>SUM(DC25:DF25)</f>
        <v>297</v>
      </c>
      <c r="EY25" s="235">
        <f>SUM(DD25:DG25)</f>
        <v>268</v>
      </c>
      <c r="EZ25" s="235">
        <f>SUM(DE25:DH25)</f>
        <v>242</v>
      </c>
      <c r="FA25" s="235">
        <f t="shared" ref="FA25:FE25" si="117">+EZ25</f>
        <v>242</v>
      </c>
      <c r="FB25" s="235">
        <f t="shared" si="117"/>
        <v>242</v>
      </c>
      <c r="FC25" s="235">
        <f t="shared" si="117"/>
        <v>242</v>
      </c>
      <c r="FD25" s="235">
        <f t="shared" si="117"/>
        <v>242</v>
      </c>
      <c r="FE25" s="235">
        <f t="shared" si="117"/>
        <v>242</v>
      </c>
      <c r="FF25" s="235">
        <f t="shared" ref="FF25" si="118">+FE25</f>
        <v>242</v>
      </c>
      <c r="FG25" s="235">
        <f t="shared" ref="FG25" si="119">+FF25</f>
        <v>242</v>
      </c>
      <c r="FH25" s="235">
        <f t="shared" ref="FH25" si="120">+FG25</f>
        <v>242</v>
      </c>
      <c r="FI25" s="235">
        <f t="shared" ref="FI25" si="121">+FH25</f>
        <v>242</v>
      </c>
      <c r="FJ25" s="235">
        <f t="shared" ref="FJ25" si="122">+FI25</f>
        <v>242</v>
      </c>
      <c r="FK25" s="254"/>
    </row>
    <row r="26" spans="2:169" ht="12.75" customHeight="1" x14ac:dyDescent="0.2">
      <c r="B26" t="s">
        <v>1566</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v>10</v>
      </c>
      <c r="BT26" s="243">
        <v>42</v>
      </c>
      <c r="BU26" s="243">
        <v>56</v>
      </c>
      <c r="BV26" s="243">
        <v>92</v>
      </c>
      <c r="BW26" s="243">
        <v>116</v>
      </c>
      <c r="BX26" s="243">
        <v>154</v>
      </c>
      <c r="BY26" s="243">
        <v>184</v>
      </c>
      <c r="BZ26" s="243">
        <v>235</v>
      </c>
      <c r="CA26" s="243">
        <v>261</v>
      </c>
      <c r="CB26" s="243">
        <v>295</v>
      </c>
      <c r="CC26" s="243">
        <v>349</v>
      </c>
      <c r="CD26" s="243">
        <v>346</v>
      </c>
      <c r="CE26" s="243">
        <v>409</v>
      </c>
      <c r="CF26" s="243">
        <v>450</v>
      </c>
      <c r="CG26" s="243">
        <v>512</v>
      </c>
      <c r="CH26" s="243">
        <v>522</v>
      </c>
      <c r="CI26" s="243">
        <v>587</v>
      </c>
      <c r="CJ26" s="243">
        <v>620</v>
      </c>
      <c r="CK26" s="243">
        <v>705</v>
      </c>
      <c r="CL26" s="243">
        <v>703</v>
      </c>
      <c r="CM26" s="243">
        <v>784</v>
      </c>
      <c r="CN26" s="243">
        <v>831</v>
      </c>
      <c r="CO26" s="243">
        <v>921</v>
      </c>
      <c r="CP26" s="243">
        <v>875</v>
      </c>
      <c r="CQ26" s="243">
        <v>1031</v>
      </c>
      <c r="CR26" s="243">
        <v>949</v>
      </c>
      <c r="CS26" s="243">
        <v>1031</v>
      </c>
      <c r="CT26" s="243">
        <v>1117</v>
      </c>
      <c r="CU26" s="243">
        <v>1125</v>
      </c>
      <c r="CV26" s="243">
        <v>1116</v>
      </c>
      <c r="CW26" s="243">
        <v>1066</v>
      </c>
      <c r="CX26" s="243">
        <v>1062</v>
      </c>
      <c r="CY26" s="243">
        <v>1038</v>
      </c>
      <c r="CZ26" s="243">
        <v>970</v>
      </c>
      <c r="DA26" s="243">
        <v>911</v>
      </c>
      <c r="DB26" s="243">
        <v>866</v>
      </c>
      <c r="DC26" s="243">
        <v>827</v>
      </c>
      <c r="DD26" s="243">
        <v>841</v>
      </c>
      <c r="DE26" s="243">
        <v>808</v>
      </c>
      <c r="DF26" s="243">
        <v>788</v>
      </c>
      <c r="DG26" s="243">
        <v>784</v>
      </c>
      <c r="DH26" s="243">
        <f t="shared" ref="DH26:DJ26" si="123">DD26*0.8</f>
        <v>672.80000000000007</v>
      </c>
      <c r="DI26" s="243">
        <f t="shared" si="123"/>
        <v>646.40000000000009</v>
      </c>
      <c r="DJ26" s="243">
        <f t="shared" si="123"/>
        <v>630.40000000000009</v>
      </c>
      <c r="DK26" s="243">
        <f t="shared" ref="DK26" si="124">DG26*0.8</f>
        <v>627.20000000000005</v>
      </c>
      <c r="DL26" s="243">
        <f t="shared" ref="DL26" si="125">DH26*0.8</f>
        <v>538.24000000000012</v>
      </c>
      <c r="DM26" s="243">
        <f t="shared" ref="DM26" si="126">DI26*0.8</f>
        <v>517.12000000000012</v>
      </c>
      <c r="DN26" s="243">
        <f t="shared" ref="DN26" si="127">DJ26*0.8</f>
        <v>504.32000000000011</v>
      </c>
      <c r="EI26" s="235"/>
      <c r="EJ26" s="235"/>
      <c r="EK26" s="235"/>
      <c r="EL26" s="235"/>
      <c r="EM26" s="235"/>
      <c r="EN26" s="235"/>
      <c r="EO26" s="235"/>
      <c r="EP26" s="235"/>
      <c r="EQ26" s="235"/>
      <c r="ER26" s="235"/>
      <c r="ES26" s="235">
        <f t="shared" si="115"/>
        <v>2615</v>
      </c>
      <c r="ET26" s="235">
        <f>SUM(CM26:CP26)</f>
        <v>3411</v>
      </c>
      <c r="EU26" s="235">
        <f>SUM(CQ26:CT26)</f>
        <v>4128</v>
      </c>
      <c r="EV26" s="235">
        <f t="shared" si="116"/>
        <v>4369</v>
      </c>
      <c r="EW26" s="235">
        <f>SUM(CY26:DB26)</f>
        <v>3785</v>
      </c>
      <c r="EX26" s="235">
        <f>SUM(DC26:DF26)</f>
        <v>3264</v>
      </c>
      <c r="EY26" s="235">
        <f t="shared" si="28"/>
        <v>2733.6000000000004</v>
      </c>
      <c r="EZ26" s="235">
        <f t="shared" ref="EZ26:FE26" si="128">+EY26*0.95</f>
        <v>2596.92</v>
      </c>
      <c r="FA26" s="235">
        <f t="shared" si="128"/>
        <v>2467.0740000000001</v>
      </c>
      <c r="FB26" s="235">
        <f t="shared" si="128"/>
        <v>2343.7203</v>
      </c>
      <c r="FC26" s="235">
        <f t="shared" si="128"/>
        <v>2226.5342849999997</v>
      </c>
      <c r="FD26" s="235">
        <f t="shared" si="128"/>
        <v>2115.2075707499998</v>
      </c>
      <c r="FE26" s="235">
        <f t="shared" si="128"/>
        <v>2009.4471922124997</v>
      </c>
      <c r="FF26" s="235">
        <f t="shared" ref="FF26" si="129">+FE26*0.95</f>
        <v>1908.9748326018746</v>
      </c>
      <c r="FG26" s="235">
        <f t="shared" ref="FG26" si="130">+FF26*0.95</f>
        <v>1813.5260909717808</v>
      </c>
      <c r="FH26" s="235">
        <f t="shared" ref="FH26" si="131">+FG26*0.95</f>
        <v>1722.8497864231917</v>
      </c>
      <c r="FI26" s="235">
        <f t="shared" ref="FI26" si="132">+FH26*0.95</f>
        <v>1636.707297102032</v>
      </c>
      <c r="FJ26" s="235">
        <f t="shared" ref="FJ26" si="133">+FI26*0.95</f>
        <v>1554.8719322469303</v>
      </c>
      <c r="FK26" s="254"/>
    </row>
    <row r="27" spans="2:169" ht="12.75" customHeight="1" x14ac:dyDescent="0.2">
      <c r="B27" t="s">
        <v>1680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c r="BT27" s="243"/>
      <c r="BU27" s="243"/>
      <c r="BV27" s="243"/>
      <c r="BW27" s="243"/>
      <c r="BX27" s="243"/>
      <c r="BY27" s="243"/>
      <c r="BZ27" s="243">
        <v>20</v>
      </c>
      <c r="CA27" s="243">
        <v>101</v>
      </c>
      <c r="CB27" s="243">
        <v>108</v>
      </c>
      <c r="CC27" s="243"/>
      <c r="CD27" s="243">
        <v>200</v>
      </c>
      <c r="CE27" s="243">
        <v>255</v>
      </c>
      <c r="CF27" s="243">
        <v>299</v>
      </c>
      <c r="CG27" s="243">
        <v>317</v>
      </c>
      <c r="CH27" s="243">
        <v>371</v>
      </c>
      <c r="CI27" s="243">
        <v>432</v>
      </c>
      <c r="CJ27" s="243">
        <v>511</v>
      </c>
      <c r="CK27" s="243">
        <v>498</v>
      </c>
      <c r="CL27" s="243">
        <v>584</v>
      </c>
      <c r="CM27" s="243">
        <v>629</v>
      </c>
      <c r="CN27" s="243">
        <v>774</v>
      </c>
      <c r="CO27" s="243">
        <v>765</v>
      </c>
      <c r="CP27" s="243">
        <v>830</v>
      </c>
      <c r="CQ27" s="243">
        <v>937</v>
      </c>
      <c r="CR27" s="243">
        <v>901</v>
      </c>
      <c r="CS27" s="243">
        <v>1099</v>
      </c>
      <c r="CT27" s="243">
        <v>1253</v>
      </c>
      <c r="CU27" s="243">
        <v>1365</v>
      </c>
      <c r="CV27" s="243">
        <v>1433</v>
      </c>
      <c r="CW27" s="243">
        <v>1580</v>
      </c>
      <c r="CX27" s="243">
        <v>1645</v>
      </c>
      <c r="CY27" s="243">
        <v>1856</v>
      </c>
      <c r="CZ27" s="243">
        <v>1986</v>
      </c>
      <c r="DA27" s="243">
        <v>2052</v>
      </c>
      <c r="DB27" s="243">
        <v>2083</v>
      </c>
      <c r="DC27" s="243">
        <v>2264</v>
      </c>
      <c r="DD27" s="243">
        <v>2431</v>
      </c>
      <c r="DE27" s="243">
        <v>2499</v>
      </c>
      <c r="DF27" s="243">
        <v>2550</v>
      </c>
      <c r="DG27" s="243">
        <v>2692</v>
      </c>
      <c r="DH27" s="243">
        <f t="shared" ref="DH27:DJ27" si="134">DD27*1.15</f>
        <v>2795.6499999999996</v>
      </c>
      <c r="DI27" s="243">
        <f t="shared" si="134"/>
        <v>2873.85</v>
      </c>
      <c r="DJ27" s="243">
        <f t="shared" si="134"/>
        <v>2932.5</v>
      </c>
      <c r="DK27" s="243">
        <f t="shared" ref="DK27" si="135">DG27*1.15</f>
        <v>3095.7999999999997</v>
      </c>
      <c r="DL27" s="243">
        <f t="shared" ref="DL27" si="136">DH27*1.15</f>
        <v>3214.9974999999995</v>
      </c>
      <c r="DM27" s="243">
        <f t="shared" ref="DM27" si="137">DI27*1.15</f>
        <v>3304.9274999999998</v>
      </c>
      <c r="DN27" s="243">
        <f t="shared" ref="DN27" si="138">DJ27*1.15</f>
        <v>3372.3749999999995</v>
      </c>
      <c r="EI27" s="235"/>
      <c r="EJ27" s="235"/>
      <c r="EK27" s="235"/>
      <c r="EL27" s="235"/>
      <c r="EM27" s="235"/>
      <c r="EN27" s="235"/>
      <c r="EO27" s="235"/>
      <c r="EP27" s="235"/>
      <c r="EQ27" s="235"/>
      <c r="ER27" s="235"/>
      <c r="ES27" s="235">
        <f t="shared" si="115"/>
        <v>2025</v>
      </c>
      <c r="ET27" s="235">
        <f>SUM(CM27:CP27)</f>
        <v>2998</v>
      </c>
      <c r="EU27" s="235">
        <f>SUM(CQ27:CT27)</f>
        <v>4190</v>
      </c>
      <c r="EV27" s="235">
        <f t="shared" si="116"/>
        <v>6023</v>
      </c>
      <c r="EW27" s="235">
        <f>SUM(CY27:DB27)</f>
        <v>7977</v>
      </c>
      <c r="EX27" s="235">
        <f>SUM(DC27:DF27)</f>
        <v>9744</v>
      </c>
      <c r="EY27" s="235">
        <f t="shared" si="28"/>
        <v>11294</v>
      </c>
      <c r="EZ27" s="235">
        <f>+EY27*1.05</f>
        <v>11858.7</v>
      </c>
      <c r="FA27" s="235">
        <f>+EZ27*1.02</f>
        <v>12095.874000000002</v>
      </c>
      <c r="FB27" s="235">
        <f t="shared" ref="FB27:FE27" si="139">+FA27*1.02</f>
        <v>12337.791480000002</v>
      </c>
      <c r="FC27" s="235">
        <f t="shared" si="139"/>
        <v>12584.547309600002</v>
      </c>
      <c r="FD27" s="235">
        <f t="shared" si="139"/>
        <v>12836.238255792003</v>
      </c>
      <c r="FE27" s="235">
        <f t="shared" si="139"/>
        <v>13092.963020907842</v>
      </c>
      <c r="FF27" s="235">
        <f t="shared" ref="FF27" si="140">+FE27*1.02</f>
        <v>13354.822281326</v>
      </c>
      <c r="FG27" s="235">
        <f t="shared" ref="FG27" si="141">+FF27*1.02</f>
        <v>13621.918726952521</v>
      </c>
      <c r="FH27" s="235">
        <f t="shared" ref="FH27" si="142">+FG27*1.02</f>
        <v>13894.357101491572</v>
      </c>
      <c r="FI27" s="235">
        <f t="shared" ref="FI27" si="143">+FH27*1.02</f>
        <v>14172.244243521403</v>
      </c>
      <c r="FJ27" s="235">
        <f t="shared" ref="FJ27" si="144">+FI27*1.02</f>
        <v>14455.689128391832</v>
      </c>
      <c r="FK27" s="254"/>
    </row>
    <row r="28" spans="2:169" ht="12.75" customHeight="1" x14ac:dyDescent="0.2">
      <c r="B28" t="s">
        <v>1904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c r="CJ28" s="243"/>
      <c r="CK28" s="243"/>
      <c r="CL28" s="243"/>
      <c r="CM28" s="243"/>
      <c r="CN28" s="243"/>
      <c r="CO28" s="243"/>
      <c r="CP28" s="243"/>
      <c r="CQ28" s="243"/>
      <c r="CR28" s="243"/>
      <c r="CS28" s="243"/>
      <c r="CT28" s="243"/>
      <c r="CU28" s="243"/>
      <c r="CV28" s="243"/>
      <c r="CW28" s="243"/>
      <c r="CX28" s="243"/>
      <c r="CY28" s="243"/>
      <c r="CZ28" s="243">
        <v>24</v>
      </c>
      <c r="DA28" s="243">
        <v>55</v>
      </c>
      <c r="DB28" s="243">
        <v>54</v>
      </c>
      <c r="DC28" s="243">
        <v>72</v>
      </c>
      <c r="DD28" s="243">
        <v>117</v>
      </c>
      <c r="DE28" s="243">
        <v>152</v>
      </c>
      <c r="DF28" s="243">
        <v>159</v>
      </c>
      <c r="DG28" s="243">
        <v>157</v>
      </c>
      <c r="DH28" s="243">
        <f>DG28+10</f>
        <v>167</v>
      </c>
      <c r="DI28" s="243">
        <f>DH28+10</f>
        <v>177</v>
      </c>
      <c r="DJ28" s="243">
        <f>DI28+10</f>
        <v>187</v>
      </c>
      <c r="DK28" s="243">
        <f t="shared" ref="DK28:DN28" si="145">DJ28+10</f>
        <v>197</v>
      </c>
      <c r="DL28" s="243">
        <f t="shared" si="145"/>
        <v>207</v>
      </c>
      <c r="DM28" s="243">
        <f t="shared" si="145"/>
        <v>217</v>
      </c>
      <c r="DN28" s="243">
        <f t="shared" si="145"/>
        <v>227</v>
      </c>
      <c r="EI28" s="235"/>
      <c r="EJ28" s="235"/>
      <c r="EK28" s="235"/>
      <c r="EL28" s="235"/>
      <c r="EM28" s="235"/>
      <c r="EN28" s="235"/>
      <c r="EO28" s="235"/>
      <c r="EP28" s="235"/>
      <c r="EQ28" s="235"/>
      <c r="ER28" s="235"/>
      <c r="ES28" s="235">
        <f t="shared" si="115"/>
        <v>0</v>
      </c>
      <c r="ET28" s="235">
        <f>SUM(CM28:CP28)</f>
        <v>0</v>
      </c>
      <c r="EU28" s="235">
        <f>SUM(CQ28:CT28)</f>
        <v>0</v>
      </c>
      <c r="EV28" s="235">
        <f t="shared" si="116"/>
        <v>0</v>
      </c>
      <c r="EW28" s="235">
        <f>SUM(CY28:DB28)</f>
        <v>133</v>
      </c>
      <c r="EX28" s="235">
        <f>SUM(DC28:DF28)</f>
        <v>500</v>
      </c>
      <c r="EY28" s="235">
        <f t="shared" si="28"/>
        <v>688</v>
      </c>
      <c r="EZ28" s="235"/>
      <c r="FA28" s="235"/>
      <c r="FB28" s="235"/>
      <c r="FC28" s="235"/>
      <c r="FD28" s="235"/>
      <c r="FE28" s="235"/>
      <c r="FF28" s="235"/>
      <c r="FG28" s="235"/>
      <c r="FH28" s="235"/>
      <c r="FI28" s="235"/>
      <c r="FJ28" s="235"/>
      <c r="FK28" s="254"/>
    </row>
    <row r="29" spans="2:169" s="254" customFormat="1" ht="12.75" customHeight="1" x14ac:dyDescent="0.2">
      <c r="B29" t="s">
        <v>1485</v>
      </c>
      <c r="C29" s="76"/>
      <c r="D29" s="76"/>
      <c r="E29" s="76"/>
      <c r="F29" s="76"/>
      <c r="G29" s="76"/>
      <c r="H29" s="76"/>
      <c r="I29" s="76"/>
      <c r="J29" s="76"/>
      <c r="K29" s="76"/>
      <c r="L29" s="76"/>
      <c r="M29" s="76"/>
      <c r="N29" s="76"/>
      <c r="O29" s="76"/>
      <c r="P29" s="76"/>
      <c r="Q29" s="76"/>
      <c r="R29" s="76"/>
      <c r="S29" s="76"/>
      <c r="T29" s="76"/>
      <c r="U29" s="76"/>
      <c r="V29" s="76"/>
      <c r="W29" s="268"/>
      <c r="X29" s="268"/>
      <c r="Y29" s="268"/>
      <c r="Z29" s="268"/>
      <c r="AA29" s="268"/>
      <c r="AB29" s="268"/>
      <c r="AC29" s="268"/>
      <c r="AD29" s="268"/>
      <c r="AE29" s="269"/>
      <c r="AF29" s="243"/>
      <c r="AG29" s="243"/>
      <c r="AH29" s="243"/>
      <c r="AI29" s="243"/>
      <c r="AJ29" s="243"/>
      <c r="AK29" s="243"/>
      <c r="AL29" s="243"/>
      <c r="AM29" s="243"/>
      <c r="AN29" s="243"/>
      <c r="AO29" s="243"/>
      <c r="AP29" s="243"/>
      <c r="AQ29" s="243"/>
      <c r="AR29" s="243"/>
      <c r="AS29" s="243"/>
      <c r="AT29" s="243"/>
      <c r="AU29" s="243"/>
      <c r="AV29" s="243"/>
      <c r="AW29" s="243"/>
      <c r="AX29" s="243"/>
      <c r="AY29" s="76"/>
      <c r="AZ29" s="76"/>
      <c r="BA29" s="76"/>
      <c r="BB29" s="76"/>
      <c r="BC29" s="76"/>
      <c r="BD29" s="76"/>
      <c r="BE29" s="76"/>
      <c r="BF29" s="76"/>
      <c r="BG29" s="76">
        <v>5</v>
      </c>
      <c r="BH29" s="76"/>
      <c r="BI29" s="243">
        <v>95</v>
      </c>
      <c r="BJ29" s="76"/>
      <c r="BK29" s="243">
        <v>200</v>
      </c>
      <c r="BL29" s="243">
        <v>232</v>
      </c>
      <c r="BM29" s="243">
        <v>265</v>
      </c>
      <c r="BN29" s="243">
        <v>264</v>
      </c>
      <c r="BO29" s="243">
        <v>344</v>
      </c>
      <c r="BP29" s="243">
        <v>395</v>
      </c>
      <c r="BQ29" s="243">
        <v>464</v>
      </c>
      <c r="BR29" s="243">
        <v>495</v>
      </c>
      <c r="BS29" s="243">
        <v>512</v>
      </c>
      <c r="BT29" s="243">
        <v>562</v>
      </c>
      <c r="BU29" s="243">
        <v>568</v>
      </c>
      <c r="BV29" s="243">
        <v>595</v>
      </c>
      <c r="BW29" s="243">
        <v>556</v>
      </c>
      <c r="BX29" s="243">
        <v>546</v>
      </c>
      <c r="BY29" s="243">
        <v>548</v>
      </c>
      <c r="BZ29" s="243">
        <v>581</v>
      </c>
      <c r="CA29" s="243">
        <v>558</v>
      </c>
      <c r="CB29" s="243">
        <v>601</v>
      </c>
      <c r="CC29" s="243">
        <v>582</v>
      </c>
      <c r="CD29" s="243">
        <v>519</v>
      </c>
      <c r="CE29" s="243">
        <v>523</v>
      </c>
      <c r="CF29" s="243">
        <v>558</v>
      </c>
      <c r="CG29" s="243">
        <v>669</v>
      </c>
      <c r="CH29" s="243">
        <v>755</v>
      </c>
      <c r="CI29" s="243">
        <v>845</v>
      </c>
      <c r="CJ29" s="243">
        <v>909</v>
      </c>
      <c r="CK29" s="243">
        <v>958</v>
      </c>
      <c r="CL29" s="243">
        <v>786</v>
      </c>
      <c r="CM29" s="243">
        <v>679</v>
      </c>
      <c r="CN29" s="243">
        <v>698</v>
      </c>
      <c r="CO29" s="243">
        <v>741</v>
      </c>
      <c r="CP29" s="243">
        <v>677</v>
      </c>
      <c r="CQ29" s="243">
        <v>690</v>
      </c>
      <c r="CR29" s="243">
        <v>568</v>
      </c>
      <c r="CS29" s="243">
        <v>590</v>
      </c>
      <c r="CT29" s="243">
        <v>622</v>
      </c>
      <c r="CU29" s="243">
        <v>638</v>
      </c>
      <c r="CV29" s="243">
        <v>563</v>
      </c>
      <c r="CW29" s="243">
        <v>548</v>
      </c>
      <c r="CX29" s="243">
        <v>548</v>
      </c>
      <c r="CY29" s="243">
        <v>539</v>
      </c>
      <c r="CZ29" s="243">
        <v>505</v>
      </c>
      <c r="DA29" s="243">
        <v>456</v>
      </c>
      <c r="DB29" s="243">
        <v>270</v>
      </c>
      <c r="DC29" s="243">
        <v>245</v>
      </c>
      <c r="DD29" s="243">
        <v>227</v>
      </c>
      <c r="DE29" s="243">
        <v>214</v>
      </c>
      <c r="DF29" s="243">
        <v>201</v>
      </c>
      <c r="DG29" s="243">
        <v>181</v>
      </c>
      <c r="DH29" s="243">
        <f t="shared" ref="DH29:DJ29" si="146">DG29*0.9</f>
        <v>162.9</v>
      </c>
      <c r="DI29" s="243">
        <f t="shared" si="146"/>
        <v>146.61000000000001</v>
      </c>
      <c r="DJ29" s="243">
        <f t="shared" si="146"/>
        <v>131.94900000000001</v>
      </c>
      <c r="DK29" s="243">
        <f t="shared" ref="DK29" si="147">DJ29*0.9</f>
        <v>118.75410000000001</v>
      </c>
      <c r="DL29" s="243">
        <f t="shared" ref="DL29" si="148">DK29*0.9</f>
        <v>106.87869000000001</v>
      </c>
      <c r="DM29" s="243">
        <f t="shared" ref="DM29" si="149">DL29*0.9</f>
        <v>96.190821000000014</v>
      </c>
      <c r="DN29" s="243">
        <f t="shared" ref="DN29" si="150">DM29*0.9</f>
        <v>86.571738900000014</v>
      </c>
      <c r="DP29" s="76"/>
      <c r="DQ29" s="76"/>
      <c r="DR29" s="76"/>
      <c r="DS29" s="76"/>
      <c r="DT29" s="76"/>
      <c r="DU29" s="76"/>
      <c r="DV29" s="76"/>
      <c r="DW29" s="76"/>
      <c r="DX29" s="76"/>
      <c r="DY29" s="76"/>
      <c r="DZ29" s="76"/>
      <c r="EA29" s="76"/>
      <c r="EB29" s="76"/>
      <c r="EC29" s="76"/>
      <c r="ED29" s="76"/>
      <c r="EE29" s="76"/>
      <c r="EF29" s="76"/>
      <c r="EG29" s="76"/>
      <c r="EH29" s="76"/>
      <c r="EI29" s="76"/>
      <c r="EJ29" s="235"/>
      <c r="EK29" s="235"/>
      <c r="EL29" s="235">
        <f t="shared" ref="EL29" si="151">SUM(BG29:BJ29)</f>
        <v>100</v>
      </c>
      <c r="EM29" s="235">
        <f t="shared" ref="EM29" si="152">SUM(BK29:BN29)</f>
        <v>961</v>
      </c>
      <c r="EN29" s="235">
        <f>SUM(BO29:BR29)</f>
        <v>1698</v>
      </c>
      <c r="EO29" s="235">
        <f>+EN29*1.2</f>
        <v>2037.6</v>
      </c>
      <c r="EP29" s="235">
        <f>+EO29*1.05</f>
        <v>2139.48</v>
      </c>
      <c r="EQ29" s="235">
        <f>+EP29*1.05</f>
        <v>2246.4540000000002</v>
      </c>
      <c r="ER29" s="235"/>
      <c r="ES29" s="235">
        <f t="shared" si="115"/>
        <v>3498</v>
      </c>
      <c r="ET29" s="235">
        <f>SUM(CM29:CP29)</f>
        <v>2795</v>
      </c>
      <c r="EU29" s="235">
        <f>SUM(CQ29:CT29)</f>
        <v>2470</v>
      </c>
      <c r="EV29" s="235">
        <f t="shared" si="116"/>
        <v>2297</v>
      </c>
      <c r="EW29" s="235">
        <f>SUM(CY29:DB29)</f>
        <v>1770</v>
      </c>
      <c r="EX29" s="235">
        <f>SUM(DC29:DF29)</f>
        <v>887</v>
      </c>
      <c r="EY29" s="235">
        <f t="shared" si="28"/>
        <v>622.45900000000006</v>
      </c>
      <c r="EZ29" s="235">
        <f t="shared" ref="EZ29:FE29" si="153">+EY29*0.5</f>
        <v>311.22950000000003</v>
      </c>
      <c r="FA29" s="235">
        <f t="shared" si="153"/>
        <v>155.61475000000002</v>
      </c>
      <c r="FB29" s="235">
        <f t="shared" si="153"/>
        <v>77.807375000000008</v>
      </c>
      <c r="FC29" s="235">
        <f t="shared" si="153"/>
        <v>38.903687500000004</v>
      </c>
      <c r="FD29" s="235">
        <f t="shared" si="153"/>
        <v>19.451843750000002</v>
      </c>
      <c r="FE29" s="235">
        <f t="shared" si="153"/>
        <v>9.7259218750000009</v>
      </c>
      <c r="FF29" s="235">
        <f t="shared" ref="FF29" si="154">+FE29*0.5</f>
        <v>4.8629609375000005</v>
      </c>
      <c r="FG29" s="235">
        <f t="shared" ref="FG29" si="155">+FF29*0.5</f>
        <v>2.4314804687500002</v>
      </c>
      <c r="FH29" s="235">
        <f t="shared" ref="FH29" si="156">+FG29*0.5</f>
        <v>1.2157402343750001</v>
      </c>
      <c r="FI29" s="235">
        <f t="shared" ref="FI29" si="157">+FH29*0.5</f>
        <v>0.60787011718750006</v>
      </c>
      <c r="FJ29" s="235">
        <f t="shared" ref="FJ29" si="158">+FI29*0.5</f>
        <v>0.30393505859375003</v>
      </c>
      <c r="FM29"/>
    </row>
    <row r="30" spans="2:169" s="254" customFormat="1" ht="12.75" customHeight="1" x14ac:dyDescent="0.2">
      <c r="B30" t="s">
        <v>1688</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c r="BH30" s="76"/>
      <c r="BI30" s="243"/>
      <c r="BJ30" s="76"/>
      <c r="BK30" s="243"/>
      <c r="BL30" s="243"/>
      <c r="BM30" s="243"/>
      <c r="BN30" s="243"/>
      <c r="BO30" s="243"/>
      <c r="BP30" s="243"/>
      <c r="BQ30" s="243"/>
      <c r="BR30" s="243"/>
      <c r="BS30" s="243"/>
      <c r="BT30" s="243">
        <v>104</v>
      </c>
      <c r="BU30" s="243">
        <v>99</v>
      </c>
      <c r="BV30" s="243">
        <v>107</v>
      </c>
      <c r="BW30" s="243">
        <v>97</v>
      </c>
      <c r="BX30" s="243">
        <v>100</v>
      </c>
      <c r="BY30" s="243">
        <v>109</v>
      </c>
      <c r="BZ30" s="243">
        <v>116</v>
      </c>
      <c r="CA30" s="243">
        <v>130</v>
      </c>
      <c r="CB30" s="243">
        <v>128</v>
      </c>
      <c r="CC30" s="243">
        <v>282</v>
      </c>
      <c r="CD30" s="243">
        <v>123</v>
      </c>
      <c r="CE30" s="243">
        <v>127</v>
      </c>
      <c r="CF30" s="243">
        <v>130</v>
      </c>
      <c r="CG30" s="243">
        <v>127</v>
      </c>
      <c r="CH30" s="243">
        <v>120</v>
      </c>
      <c r="CI30" s="243">
        <v>134</v>
      </c>
      <c r="CJ30" s="243">
        <v>136</v>
      </c>
      <c r="CK30" s="243">
        <v>156</v>
      </c>
      <c r="CL30" s="243">
        <v>164</v>
      </c>
      <c r="CM30" s="243">
        <v>163</v>
      </c>
      <c r="CN30" s="243">
        <v>170</v>
      </c>
      <c r="CO30" s="243">
        <v>186</v>
      </c>
      <c r="CP30" s="243">
        <v>220</v>
      </c>
      <c r="CQ30" s="243">
        <v>212</v>
      </c>
      <c r="CR30" s="243">
        <v>204</v>
      </c>
      <c r="CS30" s="243">
        <v>203</v>
      </c>
      <c r="CT30" s="243">
        <v>202</v>
      </c>
      <c r="CU30" s="243">
        <v>182</v>
      </c>
      <c r="CV30" s="243">
        <v>120</v>
      </c>
      <c r="CW30" s="243">
        <v>126</v>
      </c>
      <c r="CX30" s="243">
        <v>140</v>
      </c>
      <c r="CY30" s="243">
        <v>118</v>
      </c>
      <c r="CZ30" s="243">
        <v>130</v>
      </c>
      <c r="DA30" s="243">
        <v>155</v>
      </c>
      <c r="DB30" s="243">
        <v>168</v>
      </c>
      <c r="DC30" s="243">
        <v>162</v>
      </c>
      <c r="DD30" s="243">
        <v>214</v>
      </c>
      <c r="DE30" s="243">
        <v>229</v>
      </c>
      <c r="DF30" s="243">
        <f>274-DF32</f>
        <v>148</v>
      </c>
      <c r="DG30" s="243">
        <v>178</v>
      </c>
      <c r="DH30" s="243">
        <f t="shared" ref="DH30:DJ30" si="159">+DG30</f>
        <v>178</v>
      </c>
      <c r="DI30" s="243">
        <f t="shared" si="159"/>
        <v>178</v>
      </c>
      <c r="DJ30" s="243">
        <f t="shared" si="159"/>
        <v>178</v>
      </c>
      <c r="DK30" s="243">
        <f t="shared" ref="DK30" si="160">+DJ30</f>
        <v>178</v>
      </c>
      <c r="DL30" s="243">
        <f t="shared" ref="DL30" si="161">+DK30</f>
        <v>178</v>
      </c>
      <c r="DM30" s="243">
        <f t="shared" ref="DM30" si="162">+DL30</f>
        <v>178</v>
      </c>
      <c r="DN30" s="243">
        <f t="shared" ref="DN30" si="163">+DM30</f>
        <v>178</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c r="EM30" s="235"/>
      <c r="EN30" s="235"/>
      <c r="EO30" s="235"/>
      <c r="EP30" s="235"/>
      <c r="EQ30" s="235"/>
      <c r="ER30" s="235"/>
      <c r="ES30" s="235">
        <f t="shared" ref="ES30:ES47" si="164">SUM(CI30:CL30)</f>
        <v>590</v>
      </c>
      <c r="ET30" s="235">
        <f t="shared" ref="ET30:ET47" si="165">SUM(CM30:CP30)</f>
        <v>739</v>
      </c>
      <c r="EU30" s="235">
        <f t="shared" ref="EU30:EU47" si="166">SUM(CQ30:CT30)</f>
        <v>821</v>
      </c>
      <c r="EV30" s="235">
        <f t="shared" ref="EV30:EV47" si="167">SUM(CU30:CX30)</f>
        <v>568</v>
      </c>
      <c r="EW30" s="235">
        <f t="shared" ref="EW30:EW47" si="168">SUM(CY30:DB30)</f>
        <v>571</v>
      </c>
      <c r="EX30" s="235">
        <f>SUM(DC30:DF30)</f>
        <v>753</v>
      </c>
      <c r="EY30" s="235">
        <f t="shared" si="28"/>
        <v>712</v>
      </c>
      <c r="EZ30" s="235">
        <f t="shared" ref="EZ30:FE30" si="169">+EY30*0.9</f>
        <v>640.80000000000007</v>
      </c>
      <c r="FA30" s="235">
        <f t="shared" si="169"/>
        <v>576.72</v>
      </c>
      <c r="FB30" s="235">
        <f t="shared" si="169"/>
        <v>519.048</v>
      </c>
      <c r="FC30" s="235">
        <f t="shared" si="169"/>
        <v>467.14320000000004</v>
      </c>
      <c r="FD30" s="235">
        <f t="shared" si="169"/>
        <v>420.42888000000005</v>
      </c>
      <c r="FE30" s="235">
        <f t="shared" si="169"/>
        <v>378.38599200000004</v>
      </c>
      <c r="FF30" s="235">
        <f t="shared" ref="FF30" si="170">+FE30*0.9</f>
        <v>340.54739280000007</v>
      </c>
      <c r="FG30" s="235">
        <f t="shared" ref="FG30" si="171">+FF30*0.9</f>
        <v>306.49265352000009</v>
      </c>
      <c r="FH30" s="235">
        <f t="shared" ref="FH30" si="172">+FG30*0.9</f>
        <v>275.8433881680001</v>
      </c>
      <c r="FI30" s="235">
        <f t="shared" ref="FI30" si="173">+FH30*0.9</f>
        <v>248.2590493512001</v>
      </c>
      <c r="FJ30" s="235">
        <f t="shared" ref="FJ30" si="174">+FI30*0.9</f>
        <v>223.4331444160801</v>
      </c>
      <c r="FM30"/>
    </row>
    <row r="31" spans="2:169" ht="12.75" customHeight="1" x14ac:dyDescent="0.2">
      <c r="B31" t="s">
        <v>1681</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v>143</v>
      </c>
      <c r="CR31" s="243">
        <v>170</v>
      </c>
      <c r="CS31" s="243">
        <v>206</v>
      </c>
      <c r="CT31" s="243">
        <v>241</v>
      </c>
      <c r="CU31" s="243">
        <v>261</v>
      </c>
      <c r="CV31" s="243">
        <v>302</v>
      </c>
      <c r="CW31" s="243">
        <v>344</v>
      </c>
      <c r="CX31" s="243">
        <v>384</v>
      </c>
      <c r="CY31" s="243">
        <v>400</v>
      </c>
      <c r="CZ31" s="243">
        <v>450</v>
      </c>
      <c r="DA31" s="243">
        <v>490</v>
      </c>
      <c r="DB31" s="243">
        <v>541</v>
      </c>
      <c r="DC31" s="243">
        <v>542</v>
      </c>
      <c r="DD31" s="243">
        <v>567</v>
      </c>
      <c r="DE31" s="243">
        <v>631</v>
      </c>
      <c r="DF31" s="243">
        <v>647</v>
      </c>
      <c r="DG31" s="243">
        <v>689</v>
      </c>
      <c r="DH31" s="243">
        <f>+DD31*1.15</f>
        <v>652.04999999999995</v>
      </c>
      <c r="DI31" s="243">
        <f>+DE31*1.15</f>
        <v>725.65</v>
      </c>
      <c r="DJ31" s="243">
        <f>+DF31*1.15</f>
        <v>744.05</v>
      </c>
      <c r="DK31" s="243">
        <f t="shared" ref="DK31:DN31" si="175">+DG31*1.15</f>
        <v>792.34999999999991</v>
      </c>
      <c r="DL31" s="243">
        <f t="shared" si="175"/>
        <v>749.85749999999985</v>
      </c>
      <c r="DM31" s="243">
        <f t="shared" si="175"/>
        <v>834.49749999999995</v>
      </c>
      <c r="DN31" s="243">
        <f t="shared" si="175"/>
        <v>855.65749999999991</v>
      </c>
      <c r="EI31" s="235"/>
      <c r="EJ31" s="235"/>
      <c r="EK31" s="235"/>
      <c r="EL31" s="235"/>
      <c r="EM31" s="235"/>
      <c r="EN31" s="235"/>
      <c r="EO31" s="235"/>
      <c r="EP31" s="235"/>
      <c r="EQ31" s="235"/>
      <c r="ER31" s="235"/>
      <c r="ES31" s="235">
        <f t="shared" si="164"/>
        <v>0</v>
      </c>
      <c r="ET31" s="235">
        <f t="shared" si="165"/>
        <v>0</v>
      </c>
      <c r="EU31" s="235">
        <f t="shared" si="166"/>
        <v>760</v>
      </c>
      <c r="EV31" s="235">
        <f t="shared" si="167"/>
        <v>1291</v>
      </c>
      <c r="EW31" s="235">
        <f t="shared" si="168"/>
        <v>1881</v>
      </c>
      <c r="EX31" s="235">
        <f>SUM(DC31:DF31)</f>
        <v>2387</v>
      </c>
      <c r="EY31" s="235">
        <f t="shared" si="28"/>
        <v>2810.75</v>
      </c>
      <c r="EZ31" s="235">
        <f t="shared" ref="EZ31" si="176">+EY31*1.1</f>
        <v>3091.8250000000003</v>
      </c>
      <c r="FA31" s="235">
        <f>+EZ31*1.05</f>
        <v>3246.4162500000002</v>
      </c>
      <c r="FB31" s="235">
        <f t="shared" ref="FB31:FE31" si="177">+FA31*1.05</f>
        <v>3408.7370625000003</v>
      </c>
      <c r="FC31" s="235">
        <f t="shared" si="177"/>
        <v>3579.1739156250005</v>
      </c>
      <c r="FD31" s="235">
        <f t="shared" si="177"/>
        <v>3758.1326114062508</v>
      </c>
      <c r="FE31" s="235">
        <f t="shared" si="177"/>
        <v>3946.0392419765635</v>
      </c>
      <c r="FF31" s="235">
        <f t="shared" ref="FF31" si="178">+FE31*1.05</f>
        <v>4143.3412040753919</v>
      </c>
      <c r="FG31" s="235">
        <f t="shared" ref="FG31" si="179">+FF31*1.05</f>
        <v>4350.5082642791622</v>
      </c>
      <c r="FH31" s="235">
        <f t="shared" ref="FH31" si="180">+FG31*1.05</f>
        <v>4568.0336774931202</v>
      </c>
      <c r="FI31" s="235">
        <f t="shared" ref="FI31" si="181">+FH31*1.05</f>
        <v>4796.4353613677767</v>
      </c>
      <c r="FJ31" s="235">
        <f t="shared" ref="FJ31" si="182">+FI31*1.05</f>
        <v>5036.257129436166</v>
      </c>
      <c r="FK31" s="254"/>
    </row>
    <row r="32" spans="2:169" ht="12.75" customHeight="1" x14ac:dyDescent="0.2">
      <c r="B32" t="s">
        <v>1953</v>
      </c>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c r="CJ32" s="243"/>
      <c r="CK32" s="243"/>
      <c r="CL32" s="243"/>
      <c r="CM32" s="243"/>
      <c r="CN32" s="243"/>
      <c r="CO32" s="243"/>
      <c r="CP32" s="243"/>
      <c r="CQ32" s="243"/>
      <c r="CR32" s="243"/>
      <c r="CS32" s="243"/>
      <c r="CT32" s="243"/>
      <c r="CU32" s="243"/>
      <c r="CV32" s="243"/>
      <c r="CW32" s="243"/>
      <c r="CX32" s="243"/>
      <c r="CY32" s="243"/>
      <c r="CZ32" s="243"/>
      <c r="DA32" s="243"/>
      <c r="DB32" s="243"/>
      <c r="DC32" s="237" t="s">
        <v>1954</v>
      </c>
      <c r="DD32" s="243">
        <v>94</v>
      </c>
      <c r="DE32" s="243">
        <v>112</v>
      </c>
      <c r="DF32" s="243">
        <v>126</v>
      </c>
      <c r="DG32" s="243">
        <v>133</v>
      </c>
      <c r="DH32" s="243">
        <f>+DG32+25</f>
        <v>158</v>
      </c>
      <c r="DI32" s="243">
        <f>+DH32+25</f>
        <v>183</v>
      </c>
      <c r="DJ32" s="243">
        <f>+DI32+25</f>
        <v>208</v>
      </c>
      <c r="DK32" s="243">
        <f t="shared" ref="DK32:DN32" si="183">+DJ32+25</f>
        <v>233</v>
      </c>
      <c r="DL32" s="243">
        <f t="shared" si="183"/>
        <v>258</v>
      </c>
      <c r="DM32" s="243">
        <f t="shared" si="183"/>
        <v>283</v>
      </c>
      <c r="DN32" s="243">
        <f t="shared" si="183"/>
        <v>308</v>
      </c>
      <c r="EI32" s="235"/>
      <c r="EJ32" s="235"/>
      <c r="EK32" s="235"/>
      <c r="EL32" s="235"/>
      <c r="EM32" s="235"/>
      <c r="EN32" s="235"/>
      <c r="EO32" s="235"/>
      <c r="EP32" s="235"/>
      <c r="EQ32" s="235"/>
      <c r="ER32" s="235"/>
      <c r="ES32" s="235"/>
      <c r="ET32" s="235"/>
      <c r="EU32" s="235"/>
      <c r="EV32" s="235"/>
      <c r="EW32" s="235"/>
      <c r="EX32" s="235"/>
      <c r="EY32" s="235"/>
      <c r="EZ32" s="235"/>
      <c r="FA32" s="235"/>
      <c r="FB32" s="235"/>
      <c r="FC32" s="235"/>
      <c r="FD32" s="235"/>
      <c r="FE32" s="235"/>
      <c r="FF32" s="235"/>
      <c r="FG32" s="235"/>
      <c r="FH32" s="235"/>
      <c r="FI32" s="235"/>
      <c r="FJ32" s="235"/>
      <c r="FK32" s="254"/>
    </row>
    <row r="33" spans="2:169" s="254" customFormat="1" x14ac:dyDescent="0.2">
      <c r="B33" t="s">
        <v>324</v>
      </c>
      <c r="C33" s="235">
        <f>112+159</f>
        <v>271</v>
      </c>
      <c r="D33" s="235">
        <f>131+169</f>
        <v>300</v>
      </c>
      <c r="E33" s="235">
        <f>126+160</f>
        <v>286</v>
      </c>
      <c r="F33" s="235">
        <f>135+168</f>
        <v>303</v>
      </c>
      <c r="G33" s="235">
        <f>152+167</f>
        <v>319</v>
      </c>
      <c r="H33" s="235">
        <f>161+186</f>
        <v>347</v>
      </c>
      <c r="I33" s="235">
        <f>205+188</f>
        <v>393</v>
      </c>
      <c r="J33" s="235">
        <f>235+205</f>
        <v>440</v>
      </c>
      <c r="K33" s="235">
        <f>255+207</f>
        <v>462</v>
      </c>
      <c r="L33" s="235">
        <f>311+221</f>
        <v>532</v>
      </c>
      <c r="M33" s="235">
        <f>315+214</f>
        <v>529</v>
      </c>
      <c r="N33" s="235">
        <f>359+212</f>
        <v>571</v>
      </c>
      <c r="O33" s="235">
        <f>387+215</f>
        <v>602</v>
      </c>
      <c r="P33" s="235">
        <f>411+230</f>
        <v>641</v>
      </c>
      <c r="Q33" s="235">
        <f>458+233</f>
        <v>691</v>
      </c>
      <c r="R33" s="235">
        <f>554+221</f>
        <v>775</v>
      </c>
      <c r="S33" s="235">
        <f>514+254</f>
        <v>768</v>
      </c>
      <c r="T33" s="235">
        <f>554+276</f>
        <v>830</v>
      </c>
      <c r="U33" s="235">
        <f>742+286</f>
        <v>1028</v>
      </c>
      <c r="V33" s="235">
        <f>525+278</f>
        <v>803</v>
      </c>
      <c r="W33" s="235">
        <f>691+300</f>
        <v>991</v>
      </c>
      <c r="X33" s="235">
        <f>764+322</f>
        <v>1086</v>
      </c>
      <c r="Y33" s="235">
        <f>776+320</f>
        <v>1096</v>
      </c>
      <c r="Z33" s="235">
        <f>803+293</f>
        <v>1096</v>
      </c>
      <c r="AA33" s="235">
        <f>723+274</f>
        <v>997</v>
      </c>
      <c r="AB33" s="235">
        <f>707+308</f>
        <v>1015</v>
      </c>
      <c r="AC33" s="235">
        <f>703+302</f>
        <v>1005</v>
      </c>
      <c r="AD33" s="235">
        <f>671+296</f>
        <v>967</v>
      </c>
      <c r="AE33" s="243">
        <f>688+289</f>
        <v>977</v>
      </c>
      <c r="AF33" s="243">
        <f>582+292</f>
        <v>874</v>
      </c>
      <c r="AG33" s="243">
        <f>613+274</f>
        <v>887</v>
      </c>
      <c r="AH33" s="243">
        <f>578+272</f>
        <v>850</v>
      </c>
      <c r="AI33" s="243">
        <f>565+271</f>
        <v>836</v>
      </c>
      <c r="AJ33" s="243">
        <f>566+280</f>
        <v>846</v>
      </c>
      <c r="AK33" s="243">
        <f>575+269</f>
        <v>844</v>
      </c>
      <c r="AL33" s="243">
        <f>540+258</f>
        <v>798</v>
      </c>
      <c r="AM33" s="243">
        <f>527+259</f>
        <v>786</v>
      </c>
      <c r="AN33" s="243">
        <f>524+284</f>
        <v>808</v>
      </c>
      <c r="AO33" s="243">
        <v>798</v>
      </c>
      <c r="AP33" s="243">
        <v>788</v>
      </c>
      <c r="AQ33" s="243">
        <v>817</v>
      </c>
      <c r="AR33" s="243">
        <v>758</v>
      </c>
      <c r="AS33" s="243">
        <v>682</v>
      </c>
      <c r="AT33" s="243">
        <v>628</v>
      </c>
      <c r="AU33" s="243">
        <v>629</v>
      </c>
      <c r="AV33" s="243">
        <v>652</v>
      </c>
      <c r="AW33" s="243">
        <v>619</v>
      </c>
      <c r="AX33" s="243">
        <v>560</v>
      </c>
      <c r="AY33" s="243">
        <v>550</v>
      </c>
      <c r="AZ33" s="243">
        <v>577</v>
      </c>
      <c r="BA33" s="243">
        <v>542</v>
      </c>
      <c r="BB33" s="243">
        <v>576</v>
      </c>
      <c r="BC33" s="243">
        <v>523</v>
      </c>
      <c r="BD33" s="243">
        <v>526</v>
      </c>
      <c r="BE33" s="243">
        <v>406</v>
      </c>
      <c r="BF33" s="243">
        <v>479</v>
      </c>
      <c r="BG33" s="243">
        <v>397</v>
      </c>
      <c r="BH33" s="243">
        <v>475</v>
      </c>
      <c r="BI33" s="243">
        <v>383</v>
      </c>
      <c r="BJ33" s="243">
        <v>368</v>
      </c>
      <c r="BK33" s="243">
        <v>376</v>
      </c>
      <c r="BL33" s="243">
        <v>401</v>
      </c>
      <c r="BM33" s="243">
        <v>359</v>
      </c>
      <c r="BN33" s="243">
        <v>326</v>
      </c>
      <c r="BO33" s="243">
        <v>378</v>
      </c>
      <c r="BP33" s="243">
        <v>335</v>
      </c>
      <c r="BQ33" s="243">
        <v>344</v>
      </c>
      <c r="BR33" s="243">
        <v>307</v>
      </c>
      <c r="BS33" s="243">
        <v>310</v>
      </c>
      <c r="BT33" s="243">
        <v>319</v>
      </c>
      <c r="BU33" s="243">
        <v>307</v>
      </c>
      <c r="BV33" s="243">
        <v>302</v>
      </c>
      <c r="BW33" s="243">
        <v>269</v>
      </c>
      <c r="BX33" s="243">
        <v>276</v>
      </c>
      <c r="BY33" s="243">
        <v>263</v>
      </c>
      <c r="BZ33" s="243">
        <v>260</v>
      </c>
      <c r="CA33" s="243">
        <v>274</v>
      </c>
      <c r="CB33" s="243">
        <v>322</v>
      </c>
      <c r="CC33" s="243">
        <v>250</v>
      </c>
      <c r="CD33" s="243">
        <v>259</v>
      </c>
      <c r="CE33" s="243">
        <v>247</v>
      </c>
      <c r="CF33" s="243">
        <v>255</v>
      </c>
      <c r="CG33" s="243">
        <v>238</v>
      </c>
      <c r="CH33" s="243">
        <v>232</v>
      </c>
      <c r="CI33" s="243">
        <v>276</v>
      </c>
      <c r="CJ33" s="243">
        <v>236</v>
      </c>
      <c r="CK33" s="243">
        <v>255</v>
      </c>
      <c r="CL33" s="243">
        <v>221</v>
      </c>
      <c r="CM33" s="243">
        <v>226</v>
      </c>
      <c r="CN33" s="243">
        <v>183</v>
      </c>
      <c r="CO33" s="243">
        <v>198</v>
      </c>
      <c r="CP33" s="243">
        <v>183</v>
      </c>
      <c r="CQ33" s="243">
        <v>155</v>
      </c>
      <c r="CR33" s="243">
        <v>136</v>
      </c>
      <c r="CS33" s="243">
        <v>132</v>
      </c>
      <c r="CT33" s="243">
        <v>129</v>
      </c>
      <c r="CU33" s="243">
        <v>127</v>
      </c>
      <c r="CV33" s="243">
        <v>127</v>
      </c>
      <c r="CW33" s="243">
        <v>112</v>
      </c>
      <c r="CX33" s="243">
        <v>113</v>
      </c>
      <c r="CY33" s="243"/>
      <c r="CZ33" s="243"/>
      <c r="DA33" s="243"/>
      <c r="DB33" s="243"/>
      <c r="DC33" s="243"/>
      <c r="DD33" s="243"/>
      <c r="DE33" s="243"/>
      <c r="DF33" s="243"/>
      <c r="DG33" s="243"/>
      <c r="DH33" s="243"/>
      <c r="DI33" s="243"/>
      <c r="DJ33" s="243"/>
      <c r="DK33" s="243"/>
      <c r="DL33" s="243"/>
      <c r="DM33" s="243"/>
      <c r="DN33" s="243"/>
      <c r="DP33" s="271"/>
      <c r="DQ33" s="271"/>
      <c r="DR33" s="271"/>
      <c r="DS33" s="271"/>
      <c r="DT33" s="271"/>
      <c r="DU33" s="271"/>
      <c r="DV33" s="235">
        <f>271+575</f>
        <v>846</v>
      </c>
      <c r="DW33" s="235">
        <f>385+631</f>
        <v>1016</v>
      </c>
      <c r="DX33" s="235">
        <f>SUM(C33:F33)</f>
        <v>1160</v>
      </c>
      <c r="DY33" s="235">
        <f>SUM(G33:J33)</f>
        <v>1499</v>
      </c>
      <c r="DZ33" s="235">
        <f>SUM(K33:N33)</f>
        <v>2094</v>
      </c>
      <c r="EA33" s="235">
        <f>SUM(O33:R33)</f>
        <v>2709</v>
      </c>
      <c r="EB33" s="235">
        <f>SUM(S33:V33)</f>
        <v>3429</v>
      </c>
      <c r="EC33" s="235">
        <f>SUM(W33:Z33)</f>
        <v>4269</v>
      </c>
      <c r="ED33" s="235">
        <f>SUM(AA33:AD33)</f>
        <v>3984</v>
      </c>
      <c r="EE33" s="235">
        <f>SUM(AE33:AH33)</f>
        <v>3588</v>
      </c>
      <c r="EF33" s="235">
        <f>SUM(AI33:AL33)</f>
        <v>3324</v>
      </c>
      <c r="EG33" s="235">
        <f>SUM(AM33:AP33)</f>
        <v>3180</v>
      </c>
      <c r="EH33" s="235">
        <f>SUM(AQ33:AT33)</f>
        <v>2885</v>
      </c>
      <c r="EI33" s="235">
        <f>SUM(AU33:AX33)</f>
        <v>2460</v>
      </c>
      <c r="EJ33" s="235">
        <f>SUM(AY33:BB33)</f>
        <v>2245</v>
      </c>
      <c r="EK33" s="235">
        <f>SUM(BC33:BF33)</f>
        <v>1934</v>
      </c>
      <c r="EL33" s="235">
        <f>SUM(BG33:BJ33)</f>
        <v>1623</v>
      </c>
      <c r="EM33" s="235">
        <f>SUM(BK33:BN33)</f>
        <v>1462</v>
      </c>
      <c r="EN33" s="235">
        <f>SUM(BO33:BR33)</f>
        <v>1364</v>
      </c>
      <c r="EO33" s="235">
        <f>SUM(BS33:BV33)</f>
        <v>1238</v>
      </c>
      <c r="EP33" s="235">
        <f>EO33*0.9</f>
        <v>1114.2</v>
      </c>
      <c r="EQ33" s="235">
        <f>EP33*0.9</f>
        <v>1002.7800000000001</v>
      </c>
      <c r="ER33" s="235"/>
      <c r="ES33" s="235">
        <f t="shared" si="164"/>
        <v>988</v>
      </c>
      <c r="ET33" s="235">
        <f t="shared" si="165"/>
        <v>790</v>
      </c>
      <c r="EU33" s="235">
        <f t="shared" si="166"/>
        <v>552</v>
      </c>
      <c r="EV33" s="235">
        <f t="shared" si="167"/>
        <v>479</v>
      </c>
      <c r="EW33" s="235">
        <f t="shared" si="168"/>
        <v>0</v>
      </c>
      <c r="EX33" s="235"/>
      <c r="EY33" s="235"/>
      <c r="EZ33" s="235"/>
      <c r="FA33" s="235"/>
      <c r="FB33" s="235"/>
      <c r="FC33" s="235"/>
      <c r="FD33" s="235"/>
      <c r="FE33" s="235"/>
      <c r="FF33" s="235"/>
      <c r="FG33" s="235"/>
      <c r="FH33" s="235"/>
      <c r="FI33" s="235"/>
      <c r="FJ33" s="235"/>
      <c r="FM33"/>
    </row>
    <row r="34" spans="2:169" s="254" customFormat="1" x14ac:dyDescent="0.2">
      <c r="B34" t="s">
        <v>194</v>
      </c>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243"/>
      <c r="AJ34" s="243"/>
      <c r="AK34" s="243"/>
      <c r="AL34" s="243"/>
      <c r="AM34" s="243"/>
      <c r="AN34" s="243"/>
      <c r="AO34" s="243"/>
      <c r="AP34" s="243"/>
      <c r="AQ34" s="243">
        <v>113</v>
      </c>
      <c r="AR34" s="243">
        <v>126</v>
      </c>
      <c r="AS34" s="243">
        <v>130</v>
      </c>
      <c r="AT34" s="243">
        <v>165</v>
      </c>
      <c r="AU34" s="243">
        <v>184</v>
      </c>
      <c r="AV34" s="243">
        <v>205</v>
      </c>
      <c r="AW34" s="243">
        <v>190</v>
      </c>
      <c r="AX34" s="243">
        <v>208</v>
      </c>
      <c r="AY34" s="243">
        <v>192</v>
      </c>
      <c r="AZ34" s="243">
        <v>229</v>
      </c>
      <c r="BA34" s="243">
        <v>231</v>
      </c>
      <c r="BB34" s="243">
        <v>281</v>
      </c>
      <c r="BC34" s="243">
        <v>261</v>
      </c>
      <c r="BD34" s="243">
        <v>286</v>
      </c>
      <c r="BE34" s="243">
        <v>246</v>
      </c>
      <c r="BF34" s="243">
        <v>287</v>
      </c>
      <c r="BG34" s="243">
        <v>280</v>
      </c>
      <c r="BH34" s="243">
        <v>347</v>
      </c>
      <c r="BI34" s="243">
        <v>295</v>
      </c>
      <c r="BJ34" s="243">
        <v>352</v>
      </c>
      <c r="BK34" s="243">
        <v>353</v>
      </c>
      <c r="BL34" s="243">
        <v>318</v>
      </c>
      <c r="BM34" s="243">
        <v>327</v>
      </c>
      <c r="BN34" s="243">
        <v>502</v>
      </c>
      <c r="BO34" s="243">
        <v>353</v>
      </c>
      <c r="BP34" s="243">
        <v>379</v>
      </c>
      <c r="BQ34" s="243">
        <v>404</v>
      </c>
      <c r="BR34" s="243">
        <v>524</v>
      </c>
      <c r="BS34" s="243">
        <v>408</v>
      </c>
      <c r="BT34" s="243">
        <v>403</v>
      </c>
      <c r="BU34" s="243">
        <v>389</v>
      </c>
      <c r="BV34" s="243">
        <v>418</v>
      </c>
      <c r="BW34" s="243">
        <v>339</v>
      </c>
      <c r="BX34" s="243">
        <v>344</v>
      </c>
      <c r="BY34" s="243">
        <v>329</v>
      </c>
      <c r="BZ34" s="243">
        <v>321</v>
      </c>
      <c r="CA34" s="243">
        <v>304</v>
      </c>
      <c r="CB34" s="243">
        <v>342</v>
      </c>
      <c r="CC34" s="243">
        <v>304</v>
      </c>
      <c r="CD34" s="243">
        <v>274</v>
      </c>
      <c r="CE34" s="243">
        <v>280</v>
      </c>
      <c r="CF34" s="243">
        <v>290</v>
      </c>
      <c r="CG34" s="243">
        <v>273</v>
      </c>
      <c r="CH34" s="243">
        <v>271</v>
      </c>
      <c r="CI34" s="243">
        <v>313</v>
      </c>
      <c r="CJ34" s="243">
        <v>280</v>
      </c>
      <c r="CK34" s="243">
        <v>271</v>
      </c>
      <c r="CL34" s="243">
        <v>252</v>
      </c>
      <c r="CM34" s="243">
        <v>263</v>
      </c>
      <c r="CN34" s="243">
        <v>224</v>
      </c>
      <c r="CO34" s="243">
        <v>149</v>
      </c>
      <c r="CP34" s="243">
        <v>115</v>
      </c>
      <c r="CQ34" s="243"/>
      <c r="CR34" s="243"/>
      <c r="CS34" s="243"/>
      <c r="CT34" s="243"/>
      <c r="CU34" s="243"/>
      <c r="CV34" s="243"/>
      <c r="CW34" s="243"/>
      <c r="CX34" s="243"/>
      <c r="CY34" s="243"/>
      <c r="CZ34" s="243"/>
      <c r="DA34" s="243"/>
      <c r="DB34" s="243"/>
      <c r="DC34" s="243"/>
      <c r="DD34" s="243"/>
      <c r="DE34" s="243"/>
      <c r="DF34" s="243"/>
      <c r="DG34" s="243"/>
      <c r="DH34" s="243"/>
      <c r="DI34" s="243"/>
      <c r="DJ34" s="243"/>
      <c r="DK34" s="243"/>
      <c r="DL34" s="243"/>
      <c r="DM34" s="243"/>
      <c r="DN34" s="243"/>
      <c r="DP34" s="235"/>
      <c r="DQ34" s="235"/>
      <c r="DR34" s="235"/>
      <c r="DS34" s="235"/>
      <c r="DT34" s="235"/>
      <c r="DU34" s="235"/>
      <c r="DV34" s="235"/>
      <c r="DW34" s="235"/>
      <c r="DX34" s="235"/>
      <c r="DY34" s="235"/>
      <c r="DZ34" s="235"/>
      <c r="EA34" s="235"/>
      <c r="EB34" s="235"/>
      <c r="EC34" s="235"/>
      <c r="ED34" s="235"/>
      <c r="EE34" s="235" t="s">
        <v>326</v>
      </c>
      <c r="EF34" s="235" t="s">
        <v>327</v>
      </c>
      <c r="EG34" s="235"/>
      <c r="EH34" s="235">
        <f>SUM(AQ34:AT34)</f>
        <v>534</v>
      </c>
      <c r="EI34" s="235">
        <f>SUM(AU34:AX34)</f>
        <v>787</v>
      </c>
      <c r="EJ34" s="235">
        <f>SUM(AY34:BB34)</f>
        <v>933</v>
      </c>
      <c r="EK34" s="235">
        <f>SUM(BC34:BF34)</f>
        <v>1080</v>
      </c>
      <c r="EL34" s="235">
        <f>SUM(BG34:BJ34)</f>
        <v>1274</v>
      </c>
      <c r="EM34" s="235">
        <f>SUM(BK34:BN34)</f>
        <v>1500</v>
      </c>
      <c r="EN34" s="235">
        <f>SUM(BO34:BR34)</f>
        <v>1660</v>
      </c>
      <c r="EO34" s="235">
        <f>SUM(BS34:BV34)</f>
        <v>1618</v>
      </c>
      <c r="EP34" s="235">
        <f>EO34</f>
        <v>1618</v>
      </c>
      <c r="EQ34" s="235">
        <f>EP34*0.5</f>
        <v>809</v>
      </c>
      <c r="ER34" s="235"/>
      <c r="ES34" s="235">
        <f t="shared" si="164"/>
        <v>1116</v>
      </c>
      <c r="ET34" s="235">
        <f t="shared" si="165"/>
        <v>751</v>
      </c>
      <c r="EU34" s="235">
        <f t="shared" si="166"/>
        <v>0</v>
      </c>
      <c r="EV34" s="235">
        <f t="shared" si="167"/>
        <v>0</v>
      </c>
      <c r="EW34" s="235">
        <f t="shared" si="168"/>
        <v>0</v>
      </c>
      <c r="EX34" s="235"/>
      <c r="EY34" s="235"/>
      <c r="EZ34" s="235"/>
      <c r="FA34" s="235"/>
      <c r="FB34" s="235"/>
      <c r="FC34" s="235"/>
      <c r="FD34" s="235"/>
      <c r="FE34" s="235"/>
      <c r="FF34" s="235"/>
      <c r="FG34" s="235"/>
      <c r="FH34" s="235"/>
      <c r="FI34" s="235"/>
      <c r="FJ34" s="235"/>
      <c r="FM34"/>
    </row>
    <row r="35" spans="2:169" ht="12.75" customHeight="1" x14ac:dyDescent="0.2">
      <c r="B35" t="s">
        <v>1682</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v>45</v>
      </c>
      <c r="CG35" s="243">
        <v>259</v>
      </c>
      <c r="CH35" s="243">
        <v>269</v>
      </c>
      <c r="CI35" s="243">
        <v>271</v>
      </c>
      <c r="CJ35" s="243">
        <v>311</v>
      </c>
      <c r="CK35" s="243">
        <v>310</v>
      </c>
      <c r="CL35" s="243">
        <v>323</v>
      </c>
      <c r="CM35" s="243">
        <v>306</v>
      </c>
      <c r="CN35" s="243">
        <v>348</v>
      </c>
      <c r="CO35" s="243">
        <v>347</v>
      </c>
      <c r="CP35" s="243">
        <v>326</v>
      </c>
      <c r="CQ35" s="243">
        <v>389</v>
      </c>
      <c r="CR35" s="243">
        <v>406</v>
      </c>
      <c r="CS35" s="243">
        <v>392</v>
      </c>
      <c r="CT35" s="243">
        <v>452</v>
      </c>
      <c r="CU35" s="243">
        <v>450</v>
      </c>
      <c r="CV35" s="243">
        <v>463</v>
      </c>
      <c r="CW35" s="243">
        <v>458</v>
      </c>
      <c r="CX35" s="243">
        <v>448</v>
      </c>
      <c r="CY35" s="243">
        <v>443</v>
      </c>
      <c r="CZ35" s="243">
        <v>438</v>
      </c>
      <c r="DA35" s="243">
        <v>441</v>
      </c>
      <c r="DB35" s="243">
        <v>461</v>
      </c>
      <c r="DC35" s="243">
        <v>440</v>
      </c>
      <c r="DD35" s="243">
        <v>507</v>
      </c>
      <c r="DE35" s="243">
        <v>490</v>
      </c>
      <c r="DF35" s="243">
        <v>536</v>
      </c>
      <c r="DG35" s="243">
        <v>524</v>
      </c>
      <c r="DH35" s="243">
        <f t="shared" ref="DH35:DJ36" si="184">+DD35*1.05</f>
        <v>532.35</v>
      </c>
      <c r="DI35" s="243">
        <f t="shared" si="184"/>
        <v>514.5</v>
      </c>
      <c r="DJ35" s="243">
        <f t="shared" si="184"/>
        <v>562.80000000000007</v>
      </c>
      <c r="DK35" s="243">
        <f t="shared" ref="DK35:DK36" si="185">+DG35*1.05</f>
        <v>550.20000000000005</v>
      </c>
      <c r="DL35" s="243">
        <f t="shared" ref="DL35:DL36" si="186">+DH35*1.05</f>
        <v>558.96750000000009</v>
      </c>
      <c r="DM35" s="243">
        <f t="shared" ref="DM35:DM36" si="187">+DI35*1.05</f>
        <v>540.22500000000002</v>
      </c>
      <c r="DN35" s="243">
        <f t="shared" ref="DN35:DN36" si="188">+DJ35*1.05</f>
        <v>590.94000000000005</v>
      </c>
      <c r="EI35" s="235"/>
      <c r="EJ35" s="235"/>
      <c r="EK35" s="235"/>
      <c r="EL35" s="235"/>
      <c r="EM35" s="235"/>
      <c r="EN35" s="235"/>
      <c r="EO35" s="235"/>
      <c r="EP35" s="235"/>
      <c r="EQ35" s="235"/>
      <c r="ER35" s="235"/>
      <c r="ES35" s="235">
        <f t="shared" si="164"/>
        <v>1215</v>
      </c>
      <c r="ET35" s="235">
        <f t="shared" si="165"/>
        <v>1327</v>
      </c>
      <c r="EU35" s="235">
        <f t="shared" si="166"/>
        <v>1639</v>
      </c>
      <c r="EV35" s="235">
        <f t="shared" si="167"/>
        <v>1819</v>
      </c>
      <c r="EW35" s="235">
        <f t="shared" si="168"/>
        <v>1783</v>
      </c>
      <c r="EX35" s="235">
        <f>SUM(DC35:DF35)</f>
        <v>1973</v>
      </c>
      <c r="EY35" s="235">
        <f t="shared" si="28"/>
        <v>2133.65</v>
      </c>
      <c r="EZ35" s="235">
        <f t="shared" ref="EZ35:FE35" si="189">+EY35*0.99</f>
        <v>2112.3135000000002</v>
      </c>
      <c r="FA35" s="235">
        <f t="shared" si="189"/>
        <v>2091.1903650000004</v>
      </c>
      <c r="FB35" s="235">
        <f t="shared" si="189"/>
        <v>2070.2784613500003</v>
      </c>
      <c r="FC35" s="235">
        <f t="shared" si="189"/>
        <v>2049.5756767365001</v>
      </c>
      <c r="FD35" s="235">
        <f t="shared" si="189"/>
        <v>2029.0799199691351</v>
      </c>
      <c r="FE35" s="235">
        <f t="shared" si="189"/>
        <v>2008.7891207694438</v>
      </c>
      <c r="FF35" s="235">
        <f t="shared" ref="FF35" si="190">+FE35*0.99</f>
        <v>1988.7012295617494</v>
      </c>
      <c r="FG35" s="235">
        <f t="shared" ref="FG35" si="191">+FF35*0.99</f>
        <v>1968.8142172661319</v>
      </c>
      <c r="FH35" s="235">
        <f t="shared" ref="FH35" si="192">+FG35*0.99</f>
        <v>1949.1260750934705</v>
      </c>
      <c r="FI35" s="235">
        <f t="shared" ref="FI35" si="193">+FH35*0.99</f>
        <v>1929.6348143425357</v>
      </c>
      <c r="FJ35" s="235">
        <f t="shared" ref="FJ35" si="194">+FI35*0.99</f>
        <v>1910.3384661991104</v>
      </c>
      <c r="FK35" s="254"/>
    </row>
    <row r="36" spans="2:169" x14ac:dyDescent="0.2">
      <c r="B36" t="s">
        <v>1683</v>
      </c>
      <c r="W36" s="268"/>
      <c r="X36" s="268"/>
      <c r="Y36" s="268"/>
      <c r="Z36" s="268"/>
      <c r="AA36" s="268"/>
      <c r="AB36" s="268"/>
      <c r="AC36" s="268"/>
      <c r="AD36" s="268"/>
      <c r="AE36" s="269"/>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O36" s="243"/>
      <c r="BP36" s="243"/>
      <c r="BQ36" s="243"/>
      <c r="BR36" s="243"/>
      <c r="BS36" s="243"/>
      <c r="BT36" s="243"/>
      <c r="BU36" s="243"/>
      <c r="BV36" s="243"/>
      <c r="BW36" s="243"/>
      <c r="BX36" s="243"/>
      <c r="BY36" s="243"/>
      <c r="BZ36" s="243"/>
      <c r="CA36" s="243"/>
      <c r="CB36" s="243"/>
      <c r="CC36" s="243"/>
      <c r="CD36" s="243"/>
      <c r="CE36" s="243"/>
      <c r="CF36" s="243">
        <v>9</v>
      </c>
      <c r="CG36" s="243">
        <v>124</v>
      </c>
      <c r="CH36" s="243">
        <v>130</v>
      </c>
      <c r="CI36" s="243">
        <v>140</v>
      </c>
      <c r="CJ36" s="243">
        <v>171</v>
      </c>
      <c r="CK36" s="243">
        <v>171</v>
      </c>
      <c r="CL36" s="243">
        <v>181</v>
      </c>
      <c r="CM36" s="243">
        <v>198</v>
      </c>
      <c r="CN36" s="243">
        <v>203</v>
      </c>
      <c r="CO36" s="243">
        <v>210</v>
      </c>
      <c r="CP36" s="243">
        <v>208</v>
      </c>
      <c r="CQ36" s="243">
        <v>250</v>
      </c>
      <c r="CR36" s="243">
        <v>282</v>
      </c>
      <c r="CS36" s="243">
        <v>260</v>
      </c>
      <c r="CT36" s="243">
        <v>301</v>
      </c>
      <c r="CU36" s="243">
        <v>305</v>
      </c>
      <c r="CV36" s="243">
        <v>313</v>
      </c>
      <c r="CW36" s="243">
        <v>309</v>
      </c>
      <c r="CX36" s="243">
        <v>310</v>
      </c>
      <c r="CY36" s="243">
        <v>325</v>
      </c>
      <c r="CZ36" s="243">
        <v>328</v>
      </c>
      <c r="DA36" s="243">
        <v>333</v>
      </c>
      <c r="DB36" s="243">
        <v>336</v>
      </c>
      <c r="DC36" s="243">
        <v>362</v>
      </c>
      <c r="DD36" s="243">
        <v>399</v>
      </c>
      <c r="DE36" s="243">
        <v>402</v>
      </c>
      <c r="DF36" s="243">
        <v>419</v>
      </c>
      <c r="DG36" s="243">
        <v>468</v>
      </c>
      <c r="DH36" s="243">
        <f t="shared" si="184"/>
        <v>418.95000000000005</v>
      </c>
      <c r="DI36" s="243">
        <f t="shared" si="184"/>
        <v>422.1</v>
      </c>
      <c r="DJ36" s="243">
        <f t="shared" si="184"/>
        <v>439.95000000000005</v>
      </c>
      <c r="DK36" s="243">
        <f t="shared" si="185"/>
        <v>491.40000000000003</v>
      </c>
      <c r="DL36" s="243">
        <f t="shared" si="186"/>
        <v>439.89750000000009</v>
      </c>
      <c r="DM36" s="243">
        <f t="shared" si="187"/>
        <v>443.20500000000004</v>
      </c>
      <c r="DN36" s="243">
        <f t="shared" si="188"/>
        <v>461.94750000000005</v>
      </c>
      <c r="EI36" s="235"/>
      <c r="EJ36" s="235"/>
      <c r="EK36" s="235"/>
      <c r="EL36" s="235"/>
      <c r="EM36" s="235"/>
      <c r="EN36" s="235"/>
      <c r="EO36" s="235"/>
      <c r="EP36" s="235"/>
      <c r="EQ36" s="235"/>
      <c r="ER36" s="235"/>
      <c r="ES36" s="235">
        <f t="shared" si="164"/>
        <v>663</v>
      </c>
      <c r="ET36" s="235">
        <f t="shared" si="165"/>
        <v>819</v>
      </c>
      <c r="EU36" s="235">
        <f t="shared" si="166"/>
        <v>1093</v>
      </c>
      <c r="EV36" s="235">
        <f t="shared" si="167"/>
        <v>1237</v>
      </c>
      <c r="EW36" s="235">
        <f t="shared" si="168"/>
        <v>1322</v>
      </c>
      <c r="EX36" s="235">
        <f>SUM(DC36:DF36)</f>
        <v>1582</v>
      </c>
      <c r="EY36" s="235">
        <f t="shared" si="28"/>
        <v>1749.0000000000002</v>
      </c>
      <c r="EZ36" s="235">
        <f t="shared" ref="EZ36:FB36" si="195">+EY36*1.02</f>
        <v>1783.9800000000002</v>
      </c>
      <c r="FA36" s="235">
        <f t="shared" si="195"/>
        <v>1819.6596000000002</v>
      </c>
      <c r="FB36" s="235">
        <f t="shared" si="195"/>
        <v>1856.0527920000002</v>
      </c>
      <c r="FC36" s="235">
        <f>+FB36*0.95</f>
        <v>1763.2501524000002</v>
      </c>
      <c r="FD36" s="235">
        <f t="shared" ref="FD36:FE36" si="196">+FC36*0.95</f>
        <v>1675.0876447800001</v>
      </c>
      <c r="FE36" s="235">
        <f t="shared" si="196"/>
        <v>1591.3332625410001</v>
      </c>
      <c r="FF36" s="235">
        <f t="shared" ref="FF36" si="197">+FE36*0.95</f>
        <v>1511.76659941395</v>
      </c>
      <c r="FG36" s="235">
        <f t="shared" ref="FG36" si="198">+FF36*0.95</f>
        <v>1436.1782694432525</v>
      </c>
      <c r="FH36" s="235">
        <f t="shared" ref="FH36" si="199">+FG36*0.95</f>
        <v>1364.3693559710898</v>
      </c>
      <c r="FI36" s="235">
        <f t="shared" ref="FI36" si="200">+FH36*0.95</f>
        <v>1296.1508881725354</v>
      </c>
      <c r="FJ36" s="235">
        <f t="shared" ref="FJ36" si="201">+FI36*0.95</f>
        <v>1231.3433437639085</v>
      </c>
      <c r="FK36" s="254"/>
    </row>
    <row r="37" spans="2:169" x14ac:dyDescent="0.2">
      <c r="B37" t="s">
        <v>204</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v>67</v>
      </c>
      <c r="BG37" s="243">
        <v>139</v>
      </c>
      <c r="BH37" s="243">
        <v>138</v>
      </c>
      <c r="BI37" s="243">
        <v>86</v>
      </c>
      <c r="BJ37" s="243">
        <v>39</v>
      </c>
      <c r="BK37" s="243">
        <v>24</v>
      </c>
      <c r="BL37" s="243">
        <v>13</v>
      </c>
      <c r="BM37" s="243">
        <v>16</v>
      </c>
      <c r="BN37" s="243">
        <v>30</v>
      </c>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EI37" s="235"/>
      <c r="EJ37" s="235"/>
      <c r="EK37" s="235"/>
      <c r="EL37" s="235">
        <f t="shared" si="88"/>
        <v>402</v>
      </c>
      <c r="EM37" s="235">
        <f>SUM(BK37:BN37)</f>
        <v>83</v>
      </c>
      <c r="EN37" s="235"/>
      <c r="EO37" s="235"/>
      <c r="EP37" s="235"/>
      <c r="EQ37" s="235"/>
      <c r="ER37" s="235"/>
      <c r="ES37" s="235">
        <f t="shared" si="164"/>
        <v>0</v>
      </c>
      <c r="ET37" s="235">
        <f t="shared" si="165"/>
        <v>0</v>
      </c>
      <c r="EU37" s="235">
        <f t="shared" si="166"/>
        <v>0</v>
      </c>
      <c r="EV37" s="235">
        <f t="shared" si="167"/>
        <v>0</v>
      </c>
      <c r="EW37" s="235">
        <f t="shared" si="168"/>
        <v>0</v>
      </c>
      <c r="EX37" s="235">
        <f>SUM(DC37:DF37)</f>
        <v>0</v>
      </c>
      <c r="EY37" s="235">
        <f t="shared" si="28"/>
        <v>0</v>
      </c>
      <c r="FK37" s="254"/>
    </row>
    <row r="38" spans="2:169" s="254" customFormat="1" x14ac:dyDescent="0.2">
      <c r="B38" t="s">
        <v>328</v>
      </c>
      <c r="C38" s="76">
        <v>71</v>
      </c>
      <c r="D38" s="76">
        <v>80</v>
      </c>
      <c r="E38" s="76">
        <v>93</v>
      </c>
      <c r="F38" s="76">
        <v>84</v>
      </c>
      <c r="G38" s="76">
        <v>91</v>
      </c>
      <c r="H38" s="76">
        <v>104</v>
      </c>
      <c r="I38" s="76">
        <v>82</v>
      </c>
      <c r="J38" s="76">
        <v>99</v>
      </c>
      <c r="K38" s="76">
        <v>113</v>
      </c>
      <c r="L38" s="76">
        <f>143+1</f>
        <v>144</v>
      </c>
      <c r="M38" s="76">
        <f>121+1</f>
        <v>122</v>
      </c>
      <c r="N38" s="76">
        <f>74+1</f>
        <v>75</v>
      </c>
      <c r="O38" s="76">
        <f>146+1</f>
        <v>147</v>
      </c>
      <c r="P38" s="76">
        <f>159+1</f>
        <v>160</v>
      </c>
      <c r="Q38" s="76">
        <f>126+1</f>
        <v>127</v>
      </c>
      <c r="R38" s="76">
        <f>87+1</f>
        <v>88</v>
      </c>
      <c r="S38" s="76">
        <v>140</v>
      </c>
      <c r="T38" s="76">
        <v>172</v>
      </c>
      <c r="U38" s="76">
        <v>115</v>
      </c>
      <c r="V38" s="76">
        <v>181</v>
      </c>
      <c r="W38" s="76">
        <v>162</v>
      </c>
      <c r="X38" s="76">
        <v>156</v>
      </c>
      <c r="Y38" s="76">
        <v>62</v>
      </c>
      <c r="Z38" s="76">
        <v>62</v>
      </c>
      <c r="AA38" s="76">
        <v>59</v>
      </c>
      <c r="AB38" s="76">
        <v>78</v>
      </c>
      <c r="AC38" s="76">
        <v>70</v>
      </c>
      <c r="AD38" s="76">
        <v>87</v>
      </c>
      <c r="AE38" s="243">
        <v>79</v>
      </c>
      <c r="AF38" s="243">
        <v>91</v>
      </c>
      <c r="AG38" s="243">
        <v>91</v>
      </c>
      <c r="AH38" s="243">
        <v>95</v>
      </c>
      <c r="AI38" s="237" t="s">
        <v>414</v>
      </c>
      <c r="AJ38" s="237" t="s">
        <v>415</v>
      </c>
      <c r="AK38" s="237" t="s">
        <v>416</v>
      </c>
      <c r="AL38" s="237" t="s">
        <v>417</v>
      </c>
      <c r="AM38" s="237" t="s">
        <v>418</v>
      </c>
      <c r="AN38" s="237" t="s">
        <v>419</v>
      </c>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K38" s="243"/>
      <c r="DL38" s="243"/>
      <c r="DM38" s="243"/>
      <c r="DN38" s="243"/>
      <c r="DP38" s="271"/>
      <c r="DQ38" s="271"/>
      <c r="DR38" s="271"/>
      <c r="DS38" s="271"/>
      <c r="DT38" s="271"/>
      <c r="DU38" s="271"/>
      <c r="DV38" s="235">
        <v>120</v>
      </c>
      <c r="DW38" s="235">
        <v>250</v>
      </c>
      <c r="DX38" s="235">
        <f>SUM(C38:F38)</f>
        <v>328</v>
      </c>
      <c r="DY38" s="235">
        <f>SUM(G38:J38)</f>
        <v>376</v>
      </c>
      <c r="DZ38" s="235">
        <f>SUM(K38:N38)</f>
        <v>454</v>
      </c>
      <c r="EA38" s="235">
        <f>SUM(O38:R38)</f>
        <v>522</v>
      </c>
      <c r="EB38" s="235">
        <f>SUM(S38:V38)</f>
        <v>608</v>
      </c>
      <c r="EC38" s="235">
        <f>SUM(W38:Z38)</f>
        <v>442</v>
      </c>
      <c r="ED38" s="235">
        <f>SUM(AA38:AD38)</f>
        <v>294</v>
      </c>
      <c r="EE38" s="235">
        <v>328</v>
      </c>
      <c r="EF38" s="235">
        <v>181.4</v>
      </c>
      <c r="EG38" s="235"/>
      <c r="EH38" s="235"/>
      <c r="EI38" s="235"/>
      <c r="EJ38" s="235"/>
      <c r="EK38" s="235"/>
      <c r="EL38" s="235"/>
      <c r="EM38" s="235"/>
      <c r="EN38" s="235"/>
      <c r="EO38" s="235"/>
      <c r="EP38" s="235"/>
      <c r="EQ38" s="235"/>
      <c r="ER38" s="235"/>
      <c r="ES38" s="235">
        <f t="shared" si="164"/>
        <v>0</v>
      </c>
      <c r="ET38" s="235">
        <f t="shared" si="165"/>
        <v>0</v>
      </c>
      <c r="EU38" s="235">
        <f t="shared" si="166"/>
        <v>0</v>
      </c>
      <c r="EV38" s="235">
        <f t="shared" si="167"/>
        <v>0</v>
      </c>
      <c r="EW38" s="235">
        <f t="shared" si="168"/>
        <v>0</v>
      </c>
      <c r="EX38" s="235">
        <f>SUM(DC38:DF38)</f>
        <v>0</v>
      </c>
      <c r="EY38" s="235">
        <f t="shared" si="28"/>
        <v>0</v>
      </c>
      <c r="FM38"/>
    </row>
    <row r="39" spans="2:169" s="254" customFormat="1" x14ac:dyDescent="0.2">
      <c r="B39" t="s">
        <v>211</v>
      </c>
      <c r="C39" s="76">
        <f>41+87</f>
        <v>128</v>
      </c>
      <c r="D39" s="76">
        <f>53+103</f>
        <v>156</v>
      </c>
      <c r="E39" s="76">
        <f>64+94</f>
        <v>158</v>
      </c>
      <c r="F39" s="76">
        <f>54+73</f>
        <v>127</v>
      </c>
      <c r="G39" s="76">
        <f>45+63</f>
        <v>108</v>
      </c>
      <c r="H39" s="76">
        <f>63+89</f>
        <v>152</v>
      </c>
      <c r="I39" s="76">
        <f>79+81</f>
        <v>160</v>
      </c>
      <c r="J39" s="76">
        <f>49+80</f>
        <v>129</v>
      </c>
      <c r="K39" s="76">
        <f>58+73</f>
        <v>131</v>
      </c>
      <c r="L39" s="76">
        <f>75+99</f>
        <v>174</v>
      </c>
      <c r="M39" s="76">
        <f>67+96</f>
        <v>163</v>
      </c>
      <c r="N39" s="76">
        <f>37+89</f>
        <v>126</v>
      </c>
      <c r="O39" s="76">
        <f>49+88</f>
        <v>137</v>
      </c>
      <c r="P39" s="76">
        <f>65+117</f>
        <v>182</v>
      </c>
      <c r="Q39" s="76">
        <f>54+106</f>
        <v>160</v>
      </c>
      <c r="R39" s="76">
        <f>31+95</f>
        <v>126</v>
      </c>
      <c r="S39" s="76">
        <f>43+110</f>
        <v>153</v>
      </c>
      <c r="T39" s="76">
        <f>55+105</f>
        <v>160</v>
      </c>
      <c r="U39" s="76">
        <f>34+123</f>
        <v>157</v>
      </c>
      <c r="V39" s="76">
        <f>36+97</f>
        <v>133</v>
      </c>
      <c r="W39" s="76">
        <f>38+103</f>
        <v>141</v>
      </c>
      <c r="X39" s="76">
        <f>36+123</f>
        <v>159</v>
      </c>
      <c r="Y39" s="76">
        <f>31+114</f>
        <v>145</v>
      </c>
      <c r="Z39" s="76">
        <f>28+95</f>
        <v>123</v>
      </c>
      <c r="AA39" s="76">
        <f>30+85</f>
        <v>115</v>
      </c>
      <c r="AB39" s="76">
        <f>34+126</f>
        <v>160</v>
      </c>
      <c r="AC39" s="76">
        <f>35+116</f>
        <v>151</v>
      </c>
      <c r="AD39" s="76">
        <f>31+110</f>
        <v>141</v>
      </c>
      <c r="AE39" s="243">
        <f>28+101</f>
        <v>129</v>
      </c>
      <c r="AF39" s="243">
        <f>32+138</f>
        <v>170</v>
      </c>
      <c r="AG39" s="243">
        <f>29+188</f>
        <v>217</v>
      </c>
      <c r="AH39" s="243">
        <f>28+110</f>
        <v>138</v>
      </c>
      <c r="AI39" s="243">
        <f>20+118</f>
        <v>138</v>
      </c>
      <c r="AJ39" s="243">
        <f>9+158</f>
        <v>167</v>
      </c>
      <c r="AK39" s="243">
        <f>3+101</f>
        <v>104</v>
      </c>
      <c r="AL39" s="243">
        <f>4+94</f>
        <v>98</v>
      </c>
      <c r="AM39" s="237" t="s">
        <v>986</v>
      </c>
      <c r="AN39" s="237" t="s">
        <v>987</v>
      </c>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DP39" s="271"/>
      <c r="DQ39" s="271"/>
      <c r="DR39" s="271"/>
      <c r="DS39" s="271"/>
      <c r="DT39" s="271"/>
      <c r="DU39" s="271"/>
      <c r="DV39" s="235">
        <v>450</v>
      </c>
      <c r="DW39" s="235">
        <v>625</v>
      </c>
      <c r="DX39" s="235">
        <f>SUM(C39:F39)</f>
        <v>569</v>
      </c>
      <c r="DY39" s="235">
        <f>SUM(G39:J39)</f>
        <v>549</v>
      </c>
      <c r="DZ39" s="235">
        <f>SUM(K39:N39)</f>
        <v>594</v>
      </c>
      <c r="EA39" s="235">
        <f>SUM(O39:R39)</f>
        <v>605</v>
      </c>
      <c r="EB39" s="235">
        <f>SUM(S39:V39)</f>
        <v>603</v>
      </c>
      <c r="EC39" s="235">
        <f>SUM(W39:Z39)</f>
        <v>568</v>
      </c>
      <c r="ED39" s="235">
        <f>SUM(AA39:AD39)</f>
        <v>567</v>
      </c>
      <c r="EE39" s="235">
        <f>SUM(AE39:AH39)</f>
        <v>654</v>
      </c>
      <c r="EF39" s="235">
        <v>507</v>
      </c>
      <c r="EG39" s="235"/>
      <c r="EH39" s="235"/>
      <c r="EI39" s="235"/>
      <c r="EJ39" s="235"/>
      <c r="EK39" s="235"/>
      <c r="EL39" s="235"/>
      <c r="EM39" s="235"/>
      <c r="EN39" s="235"/>
      <c r="EO39" s="235"/>
      <c r="EP39" s="235"/>
      <c r="EQ39" s="235"/>
      <c r="ER39" s="235"/>
      <c r="ES39" s="235">
        <f t="shared" si="164"/>
        <v>0</v>
      </c>
      <c r="ET39" s="235">
        <f t="shared" si="165"/>
        <v>0</v>
      </c>
      <c r="EU39" s="235">
        <f t="shared" si="166"/>
        <v>0</v>
      </c>
      <c r="EV39" s="235">
        <f t="shared" si="167"/>
        <v>0</v>
      </c>
      <c r="EW39" s="235">
        <f t="shared" si="168"/>
        <v>0</v>
      </c>
      <c r="EX39" s="235">
        <f>SUM(DC39:DF39)</f>
        <v>0</v>
      </c>
      <c r="EY39" s="235">
        <f t="shared" si="28"/>
        <v>0</v>
      </c>
      <c r="FM39"/>
    </row>
    <row r="40" spans="2:169" s="254" customFormat="1" x14ac:dyDescent="0.2">
      <c r="B40" t="s">
        <v>331</v>
      </c>
      <c r="C40" s="76">
        <f>144+31</f>
        <v>175</v>
      </c>
      <c r="D40" s="76">
        <f>162+32</f>
        <v>194</v>
      </c>
      <c r="E40" s="76">
        <f>118+30</f>
        <v>148</v>
      </c>
      <c r="F40" s="76">
        <f>124+29</f>
        <v>153</v>
      </c>
      <c r="G40" s="76">
        <f>179+29</f>
        <v>208</v>
      </c>
      <c r="H40" s="76">
        <f>133+31</f>
        <v>164</v>
      </c>
      <c r="I40" s="76">
        <f>174+30</f>
        <v>204</v>
      </c>
      <c r="J40" s="76">
        <f>153+31</f>
        <v>184</v>
      </c>
      <c r="K40" s="243">
        <f>202+31</f>
        <v>233</v>
      </c>
      <c r="L40" s="243">
        <f>197+31</f>
        <v>228</v>
      </c>
      <c r="M40" s="243">
        <f>216+34</f>
        <v>250</v>
      </c>
      <c r="N40" s="243">
        <f>173+30</f>
        <v>203</v>
      </c>
      <c r="O40" s="76">
        <f>222+29</f>
        <v>251</v>
      </c>
      <c r="P40" s="76">
        <f>249+29</f>
        <v>278</v>
      </c>
      <c r="Q40" s="76">
        <f>213+29</f>
        <v>242</v>
      </c>
      <c r="R40" s="76">
        <f>158+28</f>
        <v>186</v>
      </c>
      <c r="S40" s="76">
        <f>231+26</f>
        <v>257</v>
      </c>
      <c r="T40" s="76">
        <f>260+27</f>
        <v>287</v>
      </c>
      <c r="U40" s="76">
        <f>168+29</f>
        <v>197</v>
      </c>
      <c r="V40" s="76">
        <f>233+29</f>
        <v>262</v>
      </c>
      <c r="W40" s="76">
        <f>224+24</f>
        <v>248</v>
      </c>
      <c r="X40" s="76">
        <f>221+28</f>
        <v>249</v>
      </c>
      <c r="Y40" s="76">
        <f>237+30</f>
        <v>267</v>
      </c>
      <c r="Z40" s="76">
        <f>211+28</f>
        <v>239</v>
      </c>
      <c r="AA40" s="76">
        <f>239+29</f>
        <v>268</v>
      </c>
      <c r="AB40" s="76">
        <f>254+33</f>
        <v>287</v>
      </c>
      <c r="AC40" s="76">
        <f>259+33</f>
        <v>292</v>
      </c>
      <c r="AD40" s="76">
        <f>291+37</f>
        <v>328</v>
      </c>
      <c r="AE40" s="243">
        <f>263+42</f>
        <v>305</v>
      </c>
      <c r="AF40" s="243">
        <f>323+43</f>
        <v>366</v>
      </c>
      <c r="AG40" s="243">
        <f>256+49</f>
        <v>305</v>
      </c>
      <c r="AH40" s="243">
        <f>253+50</f>
        <v>303</v>
      </c>
      <c r="AI40" s="243">
        <f>245+57</f>
        <v>302</v>
      </c>
      <c r="AJ40" s="243">
        <f>245+57</f>
        <v>302</v>
      </c>
      <c r="AK40" s="243">
        <f>227+54</f>
        <v>281</v>
      </c>
      <c r="AL40" s="243">
        <f>206+51</f>
        <v>257</v>
      </c>
      <c r="AM40" s="243">
        <f>198+56</f>
        <v>254</v>
      </c>
      <c r="AN40" s="243">
        <f>188+59</f>
        <v>247</v>
      </c>
      <c r="AO40" s="243">
        <v>270</v>
      </c>
      <c r="AP40" s="243">
        <v>244</v>
      </c>
      <c r="AQ40" s="243">
        <v>237</v>
      </c>
      <c r="AR40" s="243">
        <v>240</v>
      </c>
      <c r="AS40" s="243">
        <v>233</v>
      </c>
      <c r="AT40" s="243">
        <v>215</v>
      </c>
      <c r="AU40" s="243">
        <f>AQ40*0.85</f>
        <v>201.45</v>
      </c>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570</v>
      </c>
      <c r="DW40" s="235">
        <v>545</v>
      </c>
      <c r="DX40" s="235">
        <f>SUM(C40:F40)</f>
        <v>670</v>
      </c>
      <c r="DY40" s="235">
        <f>SUM(G40:J40)</f>
        <v>760</v>
      </c>
      <c r="DZ40" s="235">
        <f>SUM(K40:N40)</f>
        <v>914</v>
      </c>
      <c r="EA40" s="235">
        <f>SUM(O40:R40)</f>
        <v>957</v>
      </c>
      <c r="EB40" s="235">
        <f>SUM(S40:V40)</f>
        <v>1003</v>
      </c>
      <c r="EC40" s="235">
        <f>SUM(W40:Z40)</f>
        <v>1003</v>
      </c>
      <c r="ED40" s="235">
        <f>SUM(AA40:AD40)</f>
        <v>1175</v>
      </c>
      <c r="EE40" s="235">
        <f>SUM(AE40:AH40)</f>
        <v>1279</v>
      </c>
      <c r="EF40" s="235">
        <v>1136</v>
      </c>
      <c r="EG40" s="235">
        <f>SUM(AM40:AP40)</f>
        <v>1015</v>
      </c>
      <c r="EH40" s="235">
        <f>SUM(AQ40:AT40)</f>
        <v>925</v>
      </c>
      <c r="EI40" s="235">
        <f>SUM(AU40:AX40)</f>
        <v>201.45</v>
      </c>
      <c r="EJ40" s="235"/>
      <c r="EK40" s="235"/>
      <c r="EL40" s="235"/>
      <c r="EM40" s="235"/>
      <c r="EN40" s="235"/>
      <c r="EO40" s="235"/>
      <c r="EP40" s="235"/>
      <c r="EQ40" s="235"/>
      <c r="ER40" s="235"/>
      <c r="ES40" s="235">
        <f t="shared" si="164"/>
        <v>0</v>
      </c>
      <c r="ET40" s="235">
        <f t="shared" si="165"/>
        <v>0</v>
      </c>
      <c r="EU40" s="235">
        <f t="shared" si="166"/>
        <v>0</v>
      </c>
      <c r="EV40" s="235">
        <f t="shared" si="167"/>
        <v>0</v>
      </c>
      <c r="EW40" s="235">
        <f t="shared" si="168"/>
        <v>0</v>
      </c>
      <c r="EX40" s="235">
        <f>SUM(DC40:DF40)</f>
        <v>0</v>
      </c>
      <c r="EY40" s="235">
        <f t="shared" si="28"/>
        <v>0</v>
      </c>
    </row>
    <row r="41" spans="2:169" s="254" customFormat="1" x14ac:dyDescent="0.2">
      <c r="B41" t="s">
        <v>116</v>
      </c>
      <c r="C41" s="76"/>
      <c r="D41" s="76"/>
      <c r="E41" s="76"/>
      <c r="F41" s="76"/>
      <c r="G41" s="76"/>
      <c r="H41" s="76"/>
      <c r="I41" s="76"/>
      <c r="J41" s="76"/>
      <c r="K41" s="76"/>
      <c r="L41" s="76"/>
      <c r="M41" s="76"/>
      <c r="N41" s="76"/>
      <c r="O41" s="76"/>
      <c r="P41" s="76"/>
      <c r="Q41" s="76"/>
      <c r="R41" s="76"/>
      <c r="S41" s="76"/>
      <c r="T41" s="76"/>
      <c r="U41" s="76"/>
      <c r="V41" s="76"/>
      <c r="W41" s="76"/>
      <c r="X41" s="76"/>
      <c r="Y41" s="76"/>
      <c r="Z41" s="76"/>
      <c r="AA41" s="76">
        <v>340</v>
      </c>
      <c r="AB41" s="76">
        <v>338</v>
      </c>
      <c r="AC41" s="76">
        <v>350</v>
      </c>
      <c r="AD41" s="76">
        <v>336</v>
      </c>
      <c r="AE41" s="243">
        <v>425</v>
      </c>
      <c r="AF41" s="243">
        <v>408</v>
      </c>
      <c r="AG41" s="243">
        <v>420</v>
      </c>
      <c r="AH41" s="243">
        <v>424</v>
      </c>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44" t="s">
        <v>121</v>
      </c>
      <c r="DQ41" s="235"/>
      <c r="DR41" s="235"/>
      <c r="DS41" s="235"/>
      <c r="DT41" s="235"/>
      <c r="DU41" s="235"/>
      <c r="DV41" s="235"/>
      <c r="DW41" s="235"/>
      <c r="DX41" s="235"/>
      <c r="DY41" s="235"/>
      <c r="DZ41" s="235"/>
      <c r="EA41" s="235">
        <v>679</v>
      </c>
      <c r="EB41" s="235">
        <v>1042</v>
      </c>
      <c r="EC41" s="235">
        <v>1114</v>
      </c>
      <c r="ED41" s="235">
        <f>SUM(AA41:AD41)</f>
        <v>1364</v>
      </c>
      <c r="EE41" s="235">
        <v>1674</v>
      </c>
      <c r="EF41" s="235"/>
      <c r="EG41" s="235"/>
      <c r="EH41" s="235"/>
      <c r="EI41" s="235"/>
      <c r="EJ41" s="235"/>
      <c r="EK41" s="235"/>
      <c r="EL41" s="235"/>
      <c r="EM41" s="235"/>
      <c r="EN41" s="235"/>
      <c r="EO41" s="235"/>
      <c r="EP41" s="76"/>
      <c r="EQ41" s="76"/>
      <c r="ER41" s="76"/>
      <c r="ES41" s="235">
        <f t="shared" si="164"/>
        <v>0</v>
      </c>
      <c r="ET41" s="235">
        <f t="shared" si="165"/>
        <v>0</v>
      </c>
      <c r="EU41" s="235">
        <f t="shared" si="166"/>
        <v>0</v>
      </c>
      <c r="EV41" s="235">
        <f t="shared" si="167"/>
        <v>0</v>
      </c>
      <c r="EW41" s="235">
        <f t="shared" si="168"/>
        <v>0</v>
      </c>
      <c r="EX41" s="235">
        <f>SUM(DC41:DF41)</f>
        <v>0</v>
      </c>
      <c r="EY41" s="235">
        <f t="shared" si="28"/>
        <v>0</v>
      </c>
      <c r="FM41"/>
    </row>
    <row r="42" spans="2:169" s="254" customFormat="1" x14ac:dyDescent="0.2">
      <c r="B42" t="s">
        <v>632</v>
      </c>
      <c r="C42" s="76"/>
      <c r="D42" s="76"/>
      <c r="E42" s="76"/>
      <c r="F42" s="76"/>
      <c r="G42" s="76"/>
      <c r="H42" s="76"/>
      <c r="I42" s="76"/>
      <c r="J42" s="76"/>
      <c r="K42" s="76"/>
      <c r="L42" s="76"/>
      <c r="M42" s="76"/>
      <c r="N42" s="76"/>
      <c r="O42" s="76"/>
      <c r="P42" s="76"/>
      <c r="Q42" s="76"/>
      <c r="R42" s="76"/>
      <c r="S42" s="76">
        <v>2</v>
      </c>
      <c r="T42" s="76">
        <v>10</v>
      </c>
      <c r="U42" s="76">
        <v>14</v>
      </c>
      <c r="V42" s="236" t="s">
        <v>420</v>
      </c>
      <c r="W42" s="236" t="s">
        <v>988</v>
      </c>
      <c r="X42" s="236" t="s">
        <v>421</v>
      </c>
      <c r="Y42" s="236" t="s">
        <v>416</v>
      </c>
      <c r="Z42" s="236" t="s">
        <v>422</v>
      </c>
      <c r="AA42" s="236" t="s">
        <v>424</v>
      </c>
      <c r="AB42" s="236" t="s">
        <v>425</v>
      </c>
      <c r="AC42" s="236" t="s">
        <v>426</v>
      </c>
      <c r="AD42" s="236" t="s">
        <v>926</v>
      </c>
      <c r="AE42" s="236" t="s">
        <v>428</v>
      </c>
      <c r="AF42" s="236" t="s">
        <v>429</v>
      </c>
      <c r="AG42" s="236" t="s">
        <v>430</v>
      </c>
      <c r="AH42" s="236" t="s">
        <v>431</v>
      </c>
      <c r="AI42" s="237" t="s">
        <v>433</v>
      </c>
      <c r="AJ42" s="237" t="s">
        <v>433</v>
      </c>
      <c r="AK42" s="237" t="s">
        <v>433</v>
      </c>
      <c r="AL42" s="237" t="s">
        <v>429</v>
      </c>
      <c r="AM42" s="237" t="s">
        <v>989</v>
      </c>
      <c r="AN42" s="237" t="s">
        <v>989</v>
      </c>
      <c r="AO42" s="243"/>
      <c r="AP42" s="243"/>
      <c r="AQ42" s="243">
        <v>128</v>
      </c>
      <c r="AR42" s="243">
        <v>132</v>
      </c>
      <c r="AS42" s="243">
        <v>130</v>
      </c>
      <c r="AT42" s="243">
        <v>141</v>
      </c>
      <c r="AU42" s="243">
        <v>149</v>
      </c>
      <c r="AV42" s="243">
        <v>152</v>
      </c>
      <c r="AW42" s="243">
        <v>138</v>
      </c>
      <c r="AX42" s="243">
        <v>102</v>
      </c>
      <c r="AY42" s="243">
        <v>101</v>
      </c>
      <c r="AZ42" s="243">
        <v>107</v>
      </c>
      <c r="BA42" s="243">
        <v>97</v>
      </c>
      <c r="BB42" s="243">
        <v>110</v>
      </c>
      <c r="BC42" s="243"/>
      <c r="BD42" s="243"/>
      <c r="BE42" s="243"/>
      <c r="BF42" s="243"/>
      <c r="BG42" s="243"/>
      <c r="BH42" s="243"/>
      <c r="BI42" s="76"/>
      <c r="BJ42" s="76"/>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35"/>
      <c r="DQ42" s="235"/>
      <c r="DR42" s="235"/>
      <c r="DS42" s="235"/>
      <c r="DT42" s="235"/>
      <c r="DU42" s="235"/>
      <c r="DV42" s="235"/>
      <c r="DW42" s="235"/>
      <c r="DX42" s="235"/>
      <c r="DY42" s="235"/>
      <c r="DZ42" s="235"/>
      <c r="EA42" s="235"/>
      <c r="EB42" s="235">
        <v>25</v>
      </c>
      <c r="EC42" s="244" t="s">
        <v>423</v>
      </c>
      <c r="ED42" s="244" t="s">
        <v>427</v>
      </c>
      <c r="EE42" s="244" t="s">
        <v>432</v>
      </c>
      <c r="EF42" s="244" t="s">
        <v>434</v>
      </c>
      <c r="EG42" s="235"/>
      <c r="EH42" s="235">
        <f>SUM(AQ42:AT42)</f>
        <v>531</v>
      </c>
      <c r="EI42" s="235">
        <f>SUM(AU42:AX42)</f>
        <v>541</v>
      </c>
      <c r="EJ42" s="235">
        <f>SUM(AY42:BB42)</f>
        <v>415</v>
      </c>
      <c r="EK42" s="235"/>
      <c r="EL42" s="235"/>
      <c r="EM42" s="235"/>
      <c r="EN42" s="235"/>
      <c r="EO42" s="235"/>
      <c r="EP42" s="235"/>
      <c r="EQ42" s="235"/>
      <c r="ER42" s="235"/>
      <c r="ES42" s="235">
        <f t="shared" si="164"/>
        <v>0</v>
      </c>
      <c r="ET42" s="235">
        <f t="shared" si="165"/>
        <v>0</v>
      </c>
      <c r="EU42" s="235">
        <f t="shared" si="166"/>
        <v>0</v>
      </c>
      <c r="EV42" s="235">
        <f t="shared" si="167"/>
        <v>0</v>
      </c>
      <c r="EW42" s="235">
        <f t="shared" si="168"/>
        <v>0</v>
      </c>
      <c r="EX42" s="235">
        <f>SUM(DC42:DF42)</f>
        <v>0</v>
      </c>
      <c r="EY42" s="235">
        <f t="shared" si="28"/>
        <v>0</v>
      </c>
      <c r="EZ42" s="235"/>
      <c r="FA42" s="235"/>
      <c r="FB42" s="235"/>
      <c r="FC42" s="235"/>
      <c r="FD42" s="235"/>
      <c r="FE42" s="235"/>
      <c r="FF42" s="235"/>
      <c r="FG42" s="235"/>
      <c r="FH42" s="235"/>
      <c r="FI42" s="235"/>
      <c r="FJ42" s="235"/>
    </row>
    <row r="43" spans="2:169" s="254" customFormat="1" x14ac:dyDescent="0.2">
      <c r="B43" t="s">
        <v>1777</v>
      </c>
      <c r="C43" s="76"/>
      <c r="D43" s="76"/>
      <c r="E43" s="76"/>
      <c r="F43" s="76"/>
      <c r="G43" s="76"/>
      <c r="H43" s="76"/>
      <c r="I43" s="76"/>
      <c r="J43" s="76"/>
      <c r="K43" s="76"/>
      <c r="L43" s="76"/>
      <c r="M43" s="76"/>
      <c r="N43" s="76"/>
      <c r="O43" s="76"/>
      <c r="P43" s="76"/>
      <c r="Q43" s="76"/>
      <c r="R43" s="76"/>
      <c r="S43" s="76"/>
      <c r="T43" s="76"/>
      <c r="U43" s="76"/>
      <c r="V43" s="236"/>
      <c r="W43" s="236"/>
      <c r="X43" s="236"/>
      <c r="Y43" s="236"/>
      <c r="Z43" s="236"/>
      <c r="AA43" s="236"/>
      <c r="AB43" s="236"/>
      <c r="AC43" s="236"/>
      <c r="AD43" s="236"/>
      <c r="AE43" s="236"/>
      <c r="AF43" s="236"/>
      <c r="AG43" s="236"/>
      <c r="AH43" s="236"/>
      <c r="AI43" s="237"/>
      <c r="AJ43" s="237"/>
      <c r="AK43" s="237"/>
      <c r="AL43" s="237"/>
      <c r="AM43" s="237"/>
      <c r="AN43" s="237"/>
      <c r="AO43" s="243"/>
      <c r="AP43" s="243"/>
      <c r="AQ43" s="243"/>
      <c r="AR43" s="243"/>
      <c r="AS43" s="243"/>
      <c r="AT43" s="243"/>
      <c r="AU43" s="243"/>
      <c r="AV43" s="243"/>
      <c r="AW43" s="243"/>
      <c r="AX43" s="243"/>
      <c r="AY43" s="243"/>
      <c r="AZ43" s="243"/>
      <c r="BA43" s="243"/>
      <c r="BB43" s="243"/>
      <c r="BC43" s="243"/>
      <c r="BD43" s="243"/>
      <c r="BE43" s="243"/>
      <c r="BF43" s="243"/>
      <c r="BG43" s="243"/>
      <c r="BH43" s="243"/>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v>26</v>
      </c>
      <c r="CG43" s="243">
        <v>210</v>
      </c>
      <c r="CH43" s="243">
        <v>167</v>
      </c>
      <c r="CI43" s="243">
        <v>140</v>
      </c>
      <c r="CJ43" s="243">
        <v>143</v>
      </c>
      <c r="CK43" s="243">
        <v>139</v>
      </c>
      <c r="CL43" s="243">
        <v>124</v>
      </c>
      <c r="CM43" s="243">
        <v>117</v>
      </c>
      <c r="CN43" s="243">
        <v>103</v>
      </c>
      <c r="CO43" s="243">
        <v>65</v>
      </c>
      <c r="CP43" s="243">
        <v>56</v>
      </c>
      <c r="CQ43" s="243">
        <v>0</v>
      </c>
      <c r="CR43" s="243">
        <v>0</v>
      </c>
      <c r="CS43" s="243">
        <v>0</v>
      </c>
      <c r="CT43" s="243">
        <v>0</v>
      </c>
      <c r="CU43" s="243">
        <v>0</v>
      </c>
      <c r="CV43" s="243">
        <v>0</v>
      </c>
      <c r="CW43" s="243">
        <v>0</v>
      </c>
      <c r="CX43" s="243">
        <v>0</v>
      </c>
      <c r="CY43" s="243"/>
      <c r="CZ43" s="243"/>
      <c r="DA43" s="243"/>
      <c r="DB43" s="243"/>
      <c r="DC43" s="243"/>
      <c r="DD43" s="243"/>
      <c r="DE43" s="243"/>
      <c r="DF43" s="243"/>
      <c r="DG43" s="243"/>
      <c r="DH43" s="243"/>
      <c r="DI43" s="243"/>
      <c r="DJ43" s="243"/>
      <c r="DK43" s="243"/>
      <c r="DL43" s="243"/>
      <c r="DM43" s="243"/>
      <c r="DN43" s="243"/>
      <c r="DP43" s="235"/>
      <c r="DQ43" s="235"/>
      <c r="DR43" s="235"/>
      <c r="DS43" s="235"/>
      <c r="DT43" s="235"/>
      <c r="DU43" s="235"/>
      <c r="DV43" s="235"/>
      <c r="DW43" s="235"/>
      <c r="DX43" s="235"/>
      <c r="DY43" s="235"/>
      <c r="DZ43" s="235"/>
      <c r="EA43" s="235"/>
      <c r="EB43" s="235"/>
      <c r="EC43" s="244"/>
      <c r="ED43" s="244"/>
      <c r="EE43" s="244"/>
      <c r="EF43" s="244"/>
      <c r="EG43" s="235"/>
      <c r="EH43" s="235"/>
      <c r="EI43" s="235"/>
      <c r="EJ43" s="235"/>
      <c r="EK43" s="235"/>
      <c r="EL43" s="235"/>
      <c r="EM43" s="235"/>
      <c r="EN43" s="235"/>
      <c r="EO43" s="235"/>
      <c r="EP43" s="235"/>
      <c r="EQ43" s="235"/>
      <c r="ER43" s="235"/>
      <c r="ES43" s="235">
        <f t="shared" si="164"/>
        <v>546</v>
      </c>
      <c r="ET43" s="235">
        <f t="shared" si="165"/>
        <v>341</v>
      </c>
      <c r="EU43" s="235">
        <f t="shared" si="166"/>
        <v>0</v>
      </c>
      <c r="EV43" s="235">
        <f t="shared" si="167"/>
        <v>0</v>
      </c>
      <c r="EW43" s="235">
        <f t="shared" si="168"/>
        <v>0</v>
      </c>
      <c r="EX43" s="235"/>
      <c r="EY43" s="235"/>
      <c r="EZ43" s="235"/>
      <c r="FA43" s="235"/>
      <c r="FB43" s="235"/>
      <c r="FC43" s="235"/>
      <c r="FD43" s="235"/>
      <c r="FE43" s="235"/>
      <c r="FF43" s="235"/>
      <c r="FG43" s="235"/>
      <c r="FH43" s="235"/>
      <c r="FI43" s="235"/>
      <c r="FJ43" s="235"/>
    </row>
    <row r="44" spans="2:169" s="254" customFormat="1" x14ac:dyDescent="0.2">
      <c r="B44" t="s">
        <v>1689</v>
      </c>
      <c r="C44" s="76"/>
      <c r="D44" s="76"/>
      <c r="E44" s="76"/>
      <c r="F44" s="76"/>
      <c r="G44" s="76"/>
      <c r="H44" s="76"/>
      <c r="I44" s="76"/>
      <c r="J44" s="76"/>
      <c r="K44" s="76"/>
      <c r="L44" s="76"/>
      <c r="M44" s="76"/>
      <c r="N44" s="76"/>
      <c r="O44" s="76"/>
      <c r="P44" s="76"/>
      <c r="Q44" s="76"/>
      <c r="R44" s="76"/>
      <c r="S44" s="76"/>
      <c r="T44" s="76"/>
      <c r="U44" s="76"/>
      <c r="V44" s="236"/>
      <c r="W44" s="236"/>
      <c r="X44" s="236"/>
      <c r="Y44" s="236"/>
      <c r="Z44" s="236"/>
      <c r="AA44" s="236"/>
      <c r="AB44" s="236"/>
      <c r="AC44" s="236"/>
      <c r="AD44" s="236"/>
      <c r="AE44" s="236"/>
      <c r="AF44" s="236"/>
      <c r="AG44" s="236"/>
      <c r="AH44" s="236"/>
      <c r="AI44" s="237"/>
      <c r="AJ44" s="237"/>
      <c r="AK44" s="237"/>
      <c r="AL44" s="237"/>
      <c r="AM44" s="237"/>
      <c r="AN44" s="237"/>
      <c r="AO44" s="243"/>
      <c r="AP44" s="243"/>
      <c r="AQ44" s="243"/>
      <c r="AR44" s="243"/>
      <c r="AS44" s="243"/>
      <c r="AT44" s="243"/>
      <c r="AU44" s="243"/>
      <c r="AV44" s="243"/>
      <c r="AW44" s="243"/>
      <c r="AX44" s="243"/>
      <c r="AY44" s="243"/>
      <c r="AZ44" s="243"/>
      <c r="BA44" s="243"/>
      <c r="BB44" s="243"/>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v>11</v>
      </c>
      <c r="CG44" s="243">
        <v>39</v>
      </c>
      <c r="CH44" s="243">
        <v>44</v>
      </c>
      <c r="CI44" s="243">
        <v>34</v>
      </c>
      <c r="CJ44" s="243">
        <v>40</v>
      </c>
      <c r="CK44" s="243">
        <v>36</v>
      </c>
      <c r="CL44" s="243">
        <v>39</v>
      </c>
      <c r="CM44" s="243">
        <v>35</v>
      </c>
      <c r="CN44" s="243">
        <v>37</v>
      </c>
      <c r="CO44" s="243">
        <v>31</v>
      </c>
      <c r="CP44" s="243">
        <v>32</v>
      </c>
      <c r="CQ44" s="243">
        <v>106</v>
      </c>
      <c r="CR44" s="243">
        <v>101</v>
      </c>
      <c r="CS44" s="243">
        <v>97</v>
      </c>
      <c r="CT44" s="243">
        <v>112</v>
      </c>
      <c r="CU44" s="243">
        <v>105</v>
      </c>
      <c r="CV44" s="243">
        <v>95</v>
      </c>
      <c r="CW44" s="243">
        <v>101</v>
      </c>
      <c r="CX44" s="243">
        <v>94</v>
      </c>
      <c r="CY44" s="243">
        <v>83</v>
      </c>
      <c r="CZ44" s="243">
        <v>78</v>
      </c>
      <c r="DA44" s="243">
        <v>78</v>
      </c>
      <c r="DB44" s="243">
        <v>73</v>
      </c>
      <c r="DC44" s="243">
        <v>70</v>
      </c>
      <c r="DD44" s="243">
        <v>66</v>
      </c>
      <c r="DE44" s="243">
        <v>63</v>
      </c>
      <c r="DF44" s="243">
        <v>61</v>
      </c>
      <c r="DG44" s="243">
        <v>56</v>
      </c>
      <c r="DH44" s="243"/>
      <c r="DI44" s="243"/>
      <c r="DJ44" s="243"/>
      <c r="DK44" s="243"/>
      <c r="DL44" s="243"/>
      <c r="DM44" s="243"/>
      <c r="DN44" s="243"/>
      <c r="DP44" s="235"/>
      <c r="DQ44" s="235"/>
      <c r="DR44" s="235"/>
      <c r="DS44" s="235"/>
      <c r="DT44" s="235"/>
      <c r="DU44" s="235"/>
      <c r="DV44" s="235"/>
      <c r="DW44" s="235"/>
      <c r="DX44" s="235"/>
      <c r="DY44" s="235"/>
      <c r="DZ44" s="235"/>
      <c r="EA44" s="235"/>
      <c r="EB44" s="235"/>
      <c r="EC44" s="244"/>
      <c r="ED44" s="244"/>
      <c r="EE44" s="244"/>
      <c r="EF44" s="244"/>
      <c r="EG44" s="235"/>
      <c r="EH44" s="235"/>
      <c r="EI44" s="235"/>
      <c r="EJ44" s="235"/>
      <c r="EK44" s="235"/>
      <c r="EL44" s="235"/>
      <c r="EM44" s="235"/>
      <c r="EN44" s="235"/>
      <c r="EO44" s="235"/>
      <c r="EP44" s="235"/>
      <c r="EQ44" s="235"/>
      <c r="ER44" s="235"/>
      <c r="ES44" s="235">
        <f t="shared" si="164"/>
        <v>149</v>
      </c>
      <c r="ET44" s="235">
        <f t="shared" si="165"/>
        <v>135</v>
      </c>
      <c r="EU44" s="235">
        <f t="shared" si="166"/>
        <v>416</v>
      </c>
      <c r="EV44" s="235">
        <f t="shared" si="167"/>
        <v>395</v>
      </c>
      <c r="EW44" s="235">
        <f t="shared" si="168"/>
        <v>312</v>
      </c>
      <c r="EX44" s="235">
        <f>SUM(DC44:DF44)</f>
        <v>260</v>
      </c>
      <c r="EY44" s="235">
        <f t="shared" si="28"/>
        <v>56</v>
      </c>
      <c r="EZ44" s="235">
        <f t="shared" ref="EZ44:FE44" si="202">+EY44</f>
        <v>56</v>
      </c>
      <c r="FA44" s="235">
        <f t="shared" si="202"/>
        <v>56</v>
      </c>
      <c r="FB44" s="235">
        <f t="shared" si="202"/>
        <v>56</v>
      </c>
      <c r="FC44" s="235">
        <f t="shared" si="202"/>
        <v>56</v>
      </c>
      <c r="FD44" s="235">
        <f t="shared" si="202"/>
        <v>56</v>
      </c>
      <c r="FE44" s="235">
        <f t="shared" si="202"/>
        <v>56</v>
      </c>
      <c r="FF44" s="235">
        <f t="shared" ref="FF44" si="203">+FE44</f>
        <v>56</v>
      </c>
      <c r="FG44" s="235">
        <f t="shared" ref="FG44" si="204">+FF44</f>
        <v>56</v>
      </c>
      <c r="FH44" s="235">
        <f t="shared" ref="FH44" si="205">+FG44</f>
        <v>56</v>
      </c>
      <c r="FI44" s="235">
        <f t="shared" ref="FI44" si="206">+FH44</f>
        <v>56</v>
      </c>
      <c r="FJ44" s="235">
        <f t="shared" ref="FJ44" si="207">+FI44</f>
        <v>56</v>
      </c>
    </row>
    <row r="45" spans="2:169" s="254" customFormat="1" ht="12.75" customHeight="1" x14ac:dyDescent="0.2">
      <c r="B45" t="s">
        <v>192</v>
      </c>
      <c r="C45" s="76"/>
      <c r="D45" s="76"/>
      <c r="E45" s="76"/>
      <c r="F45" s="76"/>
      <c r="G45" s="76"/>
      <c r="H45" s="76"/>
      <c r="I45" s="76"/>
      <c r="J45" s="76"/>
      <c r="K45" s="76"/>
      <c r="L45" s="76"/>
      <c r="M45" s="76"/>
      <c r="N45" s="76"/>
      <c r="O45" s="76"/>
      <c r="P45" s="76"/>
      <c r="Q45" s="76"/>
      <c r="R45" s="76"/>
      <c r="S45" s="76"/>
      <c r="T45" s="76"/>
      <c r="U45" s="76"/>
      <c r="V45" s="76"/>
      <c r="W45" s="268"/>
      <c r="X45" s="268"/>
      <c r="Y45" s="268"/>
      <c r="Z45" s="268"/>
      <c r="AA45" s="268"/>
      <c r="AB45" s="268"/>
      <c r="AC45" s="268"/>
      <c r="AD45" s="268"/>
      <c r="AE45" s="269"/>
      <c r="AF45" s="243"/>
      <c r="AG45" s="243"/>
      <c r="AH45" s="243"/>
      <c r="AI45" s="243"/>
      <c r="AJ45" s="243"/>
      <c r="AK45" s="243"/>
      <c r="AL45" s="243"/>
      <c r="AM45" s="243"/>
      <c r="AN45" s="243"/>
      <c r="AO45" s="243"/>
      <c r="AP45" s="243"/>
      <c r="AQ45" s="243"/>
      <c r="AR45" s="243"/>
      <c r="AS45" s="243"/>
      <c r="AT45" s="243"/>
      <c r="AU45" s="243"/>
      <c r="AV45" s="243"/>
      <c r="AW45" s="243"/>
      <c r="AX45" s="243"/>
      <c r="AY45" s="76"/>
      <c r="AZ45" s="76"/>
      <c r="BA45" s="76"/>
      <c r="BB45" s="76"/>
      <c r="BC45" s="76"/>
      <c r="BD45" s="76"/>
      <c r="BE45" s="76"/>
      <c r="BF45" s="76"/>
      <c r="BG45" s="76"/>
      <c r="BH45" s="76"/>
      <c r="BI45" s="76"/>
      <c r="BJ45" s="76"/>
      <c r="BK45" s="243">
        <v>27</v>
      </c>
      <c r="BL45" s="243">
        <v>49</v>
      </c>
      <c r="BM45" s="243">
        <v>68</v>
      </c>
      <c r="BN45" s="243">
        <v>95</v>
      </c>
      <c r="BO45" s="243">
        <v>158</v>
      </c>
      <c r="BP45" s="243">
        <v>189</v>
      </c>
      <c r="BQ45" s="243">
        <v>246</v>
      </c>
      <c r="BR45" s="243">
        <v>271</v>
      </c>
      <c r="BS45" s="243">
        <v>319</v>
      </c>
      <c r="BT45" s="243">
        <v>361</v>
      </c>
      <c r="BU45" s="243">
        <v>414</v>
      </c>
      <c r="BV45" s="243">
        <v>428</v>
      </c>
      <c r="BW45" s="243">
        <v>441</v>
      </c>
      <c r="BX45" s="243">
        <v>472</v>
      </c>
      <c r="BY45" s="243">
        <v>461</v>
      </c>
      <c r="BZ45" s="243">
        <v>494</v>
      </c>
      <c r="CA45" s="243">
        <v>567</v>
      </c>
      <c r="CB45" s="243">
        <v>594</v>
      </c>
      <c r="CC45" s="243">
        <v>529</v>
      </c>
      <c r="CD45" s="243">
        <v>598</v>
      </c>
      <c r="CE45" s="243">
        <v>513</v>
      </c>
      <c r="CF45" s="243">
        <v>642</v>
      </c>
      <c r="CG45" s="243">
        <v>635</v>
      </c>
      <c r="CH45" s="243">
        <v>710</v>
      </c>
      <c r="CI45" s="243">
        <v>578</v>
      </c>
      <c r="CJ45" s="243">
        <v>679</v>
      </c>
      <c r="CK45" s="243">
        <v>612</v>
      </c>
      <c r="CL45" s="243">
        <v>608</v>
      </c>
      <c r="CM45" s="243">
        <v>542</v>
      </c>
      <c r="CN45" s="243">
        <v>549</v>
      </c>
      <c r="CO45" s="243">
        <v>613</v>
      </c>
      <c r="CP45" s="243">
        <v>609</v>
      </c>
      <c r="CQ45" s="243">
        <v>527</v>
      </c>
      <c r="CR45" s="243">
        <v>559</v>
      </c>
      <c r="CS45" s="243">
        <v>630</v>
      </c>
      <c r="CT45" s="243">
        <v>629</v>
      </c>
      <c r="CU45" s="243">
        <v>589</v>
      </c>
      <c r="CV45" s="243">
        <v>569</v>
      </c>
      <c r="CW45" s="243">
        <v>636</v>
      </c>
      <c r="CX45" s="243">
        <v>644</v>
      </c>
      <c r="CY45" s="243">
        <v>508</v>
      </c>
      <c r="CZ45" s="243">
        <v>609</v>
      </c>
      <c r="DA45" s="243">
        <v>689</v>
      </c>
      <c r="DB45" s="243">
        <v>667</v>
      </c>
      <c r="DC45" s="243">
        <v>578</v>
      </c>
      <c r="DD45" s="243">
        <v>637</v>
      </c>
      <c r="DE45" s="243">
        <v>625</v>
      </c>
      <c r="DF45" s="243">
        <v>525</v>
      </c>
      <c r="DG45" s="243">
        <v>518</v>
      </c>
      <c r="DH45" s="243">
        <f t="shared" ref="DH45:DJ45" si="208">+DD45*1.01</f>
        <v>643.37</v>
      </c>
      <c r="DI45" s="243">
        <f t="shared" si="208"/>
        <v>631.25</v>
      </c>
      <c r="DJ45" s="243">
        <v>530.25</v>
      </c>
      <c r="DK45" s="243">
        <v>530.25</v>
      </c>
      <c r="DL45" s="243">
        <v>530.25</v>
      </c>
      <c r="DM45" s="243">
        <v>530.25</v>
      </c>
      <c r="DN45" s="243">
        <v>530.25</v>
      </c>
      <c r="DP45" s="76"/>
      <c r="DQ45" s="76"/>
      <c r="DR45" s="76"/>
      <c r="DS45" s="76"/>
      <c r="DT45" s="76"/>
      <c r="DU45" s="76"/>
      <c r="DV45" s="76"/>
      <c r="DW45" s="76"/>
      <c r="DX45" s="76"/>
      <c r="DY45" s="76"/>
      <c r="DZ45" s="76"/>
      <c r="EA45" s="76"/>
      <c r="EB45" s="76"/>
      <c r="EC45" s="76"/>
      <c r="ED45" s="76"/>
      <c r="EE45" s="76"/>
      <c r="EF45" s="76"/>
      <c r="EG45" s="76"/>
      <c r="EH45" s="235"/>
      <c r="EI45" s="235"/>
      <c r="EJ45" s="235">
        <v>0</v>
      </c>
      <c r="EK45" s="235"/>
      <c r="EL45" s="235"/>
      <c r="EM45" s="235">
        <f>SUM(BK45:BN45)</f>
        <v>239</v>
      </c>
      <c r="EN45" s="235">
        <f>SUM(BO45:BR45)</f>
        <v>864</v>
      </c>
      <c r="EO45" s="235">
        <f>SUM(BS45:BV45)</f>
        <v>1522</v>
      </c>
      <c r="EP45" s="235">
        <f>EO45*1.1</f>
        <v>1674.2</v>
      </c>
      <c r="EQ45" s="235">
        <f>EP45*1.05</f>
        <v>1757.91</v>
      </c>
      <c r="ER45" s="235"/>
      <c r="ES45" s="235">
        <f t="shared" si="164"/>
        <v>2477</v>
      </c>
      <c r="ET45" s="235">
        <f t="shared" si="165"/>
        <v>2313</v>
      </c>
      <c r="EU45" s="235">
        <f t="shared" si="166"/>
        <v>2345</v>
      </c>
      <c r="EV45" s="235">
        <f t="shared" si="167"/>
        <v>2438</v>
      </c>
      <c r="EW45" s="235">
        <f t="shared" si="168"/>
        <v>2473</v>
      </c>
      <c r="EX45" s="235">
        <f>SUM(DC45:DF45)</f>
        <v>2365</v>
      </c>
      <c r="EY45" s="235">
        <f t="shared" si="28"/>
        <v>2322.87</v>
      </c>
      <c r="EZ45" s="235">
        <f t="shared" ref="EZ45:FC45" si="209">+EY45*1.05</f>
        <v>2439.0135</v>
      </c>
      <c r="FA45" s="235">
        <f t="shared" si="209"/>
        <v>2560.9641750000001</v>
      </c>
      <c r="FB45" s="235">
        <f t="shared" si="209"/>
        <v>2689.01238375</v>
      </c>
      <c r="FC45" s="235">
        <f t="shared" si="209"/>
        <v>2823.4630029375003</v>
      </c>
      <c r="FD45" s="235">
        <f>+FC45*0.5</f>
        <v>1411.7315014687501</v>
      </c>
      <c r="FE45" s="235">
        <f t="shared" ref="FE45" si="210">+FD45*0.5</f>
        <v>705.86575073437507</v>
      </c>
      <c r="FF45" s="235">
        <f t="shared" ref="FF45" si="211">+FE45*0.5</f>
        <v>352.93287536718753</v>
      </c>
      <c r="FG45" s="235">
        <f t="shared" ref="FG45" si="212">+FF45*0.5</f>
        <v>176.46643768359377</v>
      </c>
      <c r="FH45" s="235">
        <f t="shared" ref="FH45" si="213">+FG45*0.5</f>
        <v>88.233218841796884</v>
      </c>
      <c r="FI45" s="235">
        <f t="shared" ref="FI45" si="214">+FH45*0.5</f>
        <v>44.116609420898442</v>
      </c>
      <c r="FJ45" s="235">
        <f t="shared" ref="FJ45" si="215">+FI45*0.5</f>
        <v>22.058304710449221</v>
      </c>
      <c r="FM45"/>
    </row>
    <row r="46" spans="2:169" s="254" customFormat="1" ht="12.75" customHeight="1" x14ac:dyDescent="0.2">
      <c r="B46" t="s">
        <v>1556</v>
      </c>
      <c r="C46" s="76"/>
      <c r="D46" s="76"/>
      <c r="E46" s="76"/>
      <c r="F46" s="76"/>
      <c r="G46" s="76"/>
      <c r="H46" s="76"/>
      <c r="I46" s="76"/>
      <c r="J46" s="76"/>
      <c r="K46" s="76"/>
      <c r="L46" s="76"/>
      <c r="M46" s="76"/>
      <c r="N46" s="76"/>
      <c r="O46" s="76"/>
      <c r="P46" s="76"/>
      <c r="Q46" s="76"/>
      <c r="R46" s="76"/>
      <c r="S46" s="76"/>
      <c r="T46" s="76"/>
      <c r="U46" s="76"/>
      <c r="V46" s="76"/>
      <c r="W46" s="268"/>
      <c r="X46" s="268"/>
      <c r="Y46" s="268"/>
      <c r="Z46" s="268"/>
      <c r="AA46" s="268"/>
      <c r="AB46" s="268"/>
      <c r="AC46" s="268"/>
      <c r="AD46" s="268"/>
      <c r="AE46" s="269"/>
      <c r="AF46" s="243"/>
      <c r="AG46" s="243"/>
      <c r="AH46" s="243"/>
      <c r="AI46" s="243"/>
      <c r="AJ46" s="243"/>
      <c r="AK46" s="243"/>
      <c r="AL46" s="243"/>
      <c r="AM46" s="243"/>
      <c r="AN46" s="243"/>
      <c r="AO46" s="243"/>
      <c r="AP46" s="243"/>
      <c r="AQ46" s="243"/>
      <c r="AR46" s="243"/>
      <c r="AS46" s="243"/>
      <c r="AT46" s="243"/>
      <c r="AU46" s="243"/>
      <c r="AV46" s="243"/>
      <c r="AW46" s="243"/>
      <c r="AX46" s="243"/>
      <c r="AY46" s="76"/>
      <c r="AZ46" s="76"/>
      <c r="BA46" s="76"/>
      <c r="BB46" s="76"/>
      <c r="BC46" s="76"/>
      <c r="BD46" s="76"/>
      <c r="BE46" s="76"/>
      <c r="BF46" s="76"/>
      <c r="BG46" s="76"/>
      <c r="BH46" s="76"/>
      <c r="BI46" s="76"/>
      <c r="BJ46" s="76"/>
      <c r="BK46" s="243"/>
      <c r="BL46" s="243"/>
      <c r="BM46" s="243"/>
      <c r="BN46" s="243"/>
      <c r="BO46" s="243"/>
      <c r="BP46" s="243"/>
      <c r="BQ46" s="243"/>
      <c r="BR46" s="243"/>
      <c r="BS46" s="243">
        <v>94</v>
      </c>
      <c r="BT46" s="243">
        <v>117</v>
      </c>
      <c r="BU46" s="243">
        <v>174</v>
      </c>
      <c r="BV46" s="243">
        <v>201</v>
      </c>
      <c r="BW46" s="243">
        <v>278</v>
      </c>
      <c r="BX46" s="243">
        <v>318</v>
      </c>
      <c r="BY46" s="243">
        <v>340</v>
      </c>
      <c r="BZ46" s="243">
        <v>372</v>
      </c>
      <c r="CA46" s="243">
        <v>325</v>
      </c>
      <c r="CB46" s="243">
        <v>383</v>
      </c>
      <c r="CC46" s="243">
        <v>328</v>
      </c>
      <c r="CD46" s="243">
        <v>371</v>
      </c>
      <c r="CE46" s="243">
        <v>284</v>
      </c>
      <c r="CF46" s="243">
        <v>295</v>
      </c>
      <c r="CG46" s="243">
        <v>265</v>
      </c>
      <c r="CH46" s="243">
        <v>267</v>
      </c>
      <c r="CI46" s="243">
        <v>248</v>
      </c>
      <c r="CJ46" s="243">
        <v>215</v>
      </c>
      <c r="CK46" s="243">
        <v>190</v>
      </c>
      <c r="CL46" s="243">
        <v>228</v>
      </c>
      <c r="CM46" s="243">
        <v>202</v>
      </c>
      <c r="CN46" s="243">
        <v>177</v>
      </c>
      <c r="CO46" s="243">
        <v>179</v>
      </c>
      <c r="CP46" s="243">
        <v>177</v>
      </c>
      <c r="CQ46" s="243">
        <v>175</v>
      </c>
      <c r="CR46" s="243">
        <v>179</v>
      </c>
      <c r="CS46" s="243">
        <v>224</v>
      </c>
      <c r="CT46" s="243">
        <v>217</v>
      </c>
      <c r="CU46" s="243">
        <v>150</v>
      </c>
      <c r="CV46" s="243">
        <v>160</v>
      </c>
      <c r="CW46" s="243">
        <v>133</v>
      </c>
      <c r="CX46" s="243">
        <v>120</v>
      </c>
      <c r="CY46" s="243">
        <v>128</v>
      </c>
      <c r="CZ46" s="243">
        <v>120</v>
      </c>
      <c r="DA46" s="243">
        <v>109</v>
      </c>
      <c r="DB46" s="243">
        <v>91</v>
      </c>
      <c r="DC46" s="243"/>
      <c r="DD46" s="243"/>
      <c r="DE46" s="243"/>
      <c r="DF46" s="243"/>
      <c r="DG46" s="243"/>
      <c r="DH46" s="243"/>
      <c r="DI46" s="243"/>
      <c r="DJ46" s="243"/>
      <c r="DK46" s="243"/>
      <c r="DL46" s="243"/>
      <c r="DM46" s="243"/>
      <c r="DN46" s="243"/>
      <c r="DP46" s="76"/>
      <c r="DQ46" s="76"/>
      <c r="DR46" s="76"/>
      <c r="DS46" s="76"/>
      <c r="DT46" s="76"/>
      <c r="DU46" s="76"/>
      <c r="DV46" s="76"/>
      <c r="DW46" s="76"/>
      <c r="DX46" s="76"/>
      <c r="DY46" s="76"/>
      <c r="DZ46" s="76"/>
      <c r="EA46" s="76"/>
      <c r="EB46" s="76"/>
      <c r="EC46" s="76"/>
      <c r="ED46" s="76"/>
      <c r="EE46" s="76"/>
      <c r="EF46" s="76"/>
      <c r="EG46" s="76"/>
      <c r="EH46" s="235"/>
      <c r="EI46" s="235"/>
      <c r="EJ46" s="235"/>
      <c r="EK46" s="235"/>
      <c r="EL46" s="235"/>
      <c r="EM46" s="235"/>
      <c r="EN46" s="235"/>
      <c r="EO46" s="235"/>
      <c r="EP46" s="235"/>
      <c r="EQ46" s="235"/>
      <c r="ER46" s="235"/>
      <c r="ES46" s="235">
        <f t="shared" si="164"/>
        <v>881</v>
      </c>
      <c r="ET46" s="235">
        <f t="shared" si="165"/>
        <v>735</v>
      </c>
      <c r="EU46" s="235">
        <f t="shared" si="166"/>
        <v>795</v>
      </c>
      <c r="EV46" s="235">
        <f t="shared" si="167"/>
        <v>563</v>
      </c>
      <c r="EW46" s="235">
        <f t="shared" si="168"/>
        <v>448</v>
      </c>
      <c r="EX46" s="235"/>
      <c r="EY46" s="235"/>
      <c r="EZ46" s="235"/>
      <c r="FA46" s="235"/>
      <c r="FB46" s="235"/>
      <c r="FC46" s="235"/>
      <c r="FD46" s="235"/>
      <c r="FE46" s="235"/>
      <c r="FF46" s="235"/>
      <c r="FG46" s="235"/>
      <c r="FH46" s="235"/>
      <c r="FI46" s="235"/>
      <c r="FJ46" s="235"/>
      <c r="FM46"/>
    </row>
    <row r="47" spans="2:169" s="254" customFormat="1" ht="12.75" customHeight="1" x14ac:dyDescent="0.2">
      <c r="B47" t="s">
        <v>1228</v>
      </c>
      <c r="C47" s="76"/>
      <c r="D47" s="76"/>
      <c r="E47" s="76"/>
      <c r="F47" s="76"/>
      <c r="G47" s="76"/>
      <c r="H47" s="76"/>
      <c r="I47" s="76"/>
      <c r="J47" s="76"/>
      <c r="K47" s="243">
        <v>700</v>
      </c>
      <c r="L47" s="243">
        <v>748</v>
      </c>
      <c r="M47" s="243">
        <v>723</v>
      </c>
      <c r="N47" s="243">
        <v>633</v>
      </c>
      <c r="O47" s="243">
        <v>742</v>
      </c>
      <c r="P47" s="243">
        <v>749</v>
      </c>
      <c r="Q47" s="243">
        <v>698</v>
      </c>
      <c r="R47" s="243">
        <v>651</v>
      </c>
      <c r="S47" s="243">
        <v>781</v>
      </c>
      <c r="T47" s="243">
        <v>847</v>
      </c>
      <c r="U47" s="243">
        <v>769</v>
      </c>
      <c r="V47" s="76">
        <v>651</v>
      </c>
      <c r="W47" s="76">
        <v>669</v>
      </c>
      <c r="X47" s="76">
        <v>632</v>
      </c>
      <c r="Y47" s="76">
        <v>615</v>
      </c>
      <c r="Z47" s="76">
        <v>699</v>
      </c>
      <c r="AA47" s="76">
        <v>731</v>
      </c>
      <c r="AB47" s="76">
        <v>789</v>
      </c>
      <c r="AC47" s="76">
        <v>745</v>
      </c>
      <c r="AD47" s="76">
        <v>836</v>
      </c>
      <c r="AE47" s="243">
        <f>5376-SUM(AE3:AE40)</f>
        <v>1116</v>
      </c>
      <c r="AF47" s="243">
        <f>5427-SUM(AF3:AF40)</f>
        <v>1072</v>
      </c>
      <c r="AG47" s="243">
        <f>5485-SUM(AG3:AG42)</f>
        <v>660</v>
      </c>
      <c r="AH47" s="243">
        <f>5840-SUM(AH3:AH42)</f>
        <v>759</v>
      </c>
      <c r="AI47" s="243">
        <f>5755-SUM(AI3:AI42)</f>
        <v>1286</v>
      </c>
      <c r="AJ47" s="243">
        <f>5628-SUM(AJ3:AJ40)</f>
        <v>1165</v>
      </c>
      <c r="AK47" s="243">
        <f>5457-SUM(AK3:AK42)</f>
        <v>1064</v>
      </c>
      <c r="AL47" s="243">
        <f>5482-SUM(AL3:AL42)</f>
        <v>1050</v>
      </c>
      <c r="AM47" s="243">
        <f>5626-SUM(AM3:AM42)</f>
        <v>1149</v>
      </c>
      <c r="AN47" s="243">
        <f>5810-SUM(AN3:AN45)</f>
        <v>1243</v>
      </c>
      <c r="AO47" s="243">
        <f>5881-SUM(AO3:AO45)</f>
        <v>1220</v>
      </c>
      <c r="AP47" s="243">
        <f>5950-SUM(AP3:AP45)</f>
        <v>1242</v>
      </c>
      <c r="AQ47" s="243">
        <f>6221-SUM(AQ3:AQ42)+AQ11</f>
        <v>1086</v>
      </c>
      <c r="AR47" s="243">
        <f>6149-SUM(AR3:AR45)+AR11</f>
        <v>1077</v>
      </c>
      <c r="AS47" s="243">
        <f>6099-SUM(AS3:AS45)+AS11</f>
        <v>1118</v>
      </c>
      <c r="AT47" s="243">
        <f>1402-AT40</f>
        <v>1187</v>
      </c>
      <c r="AU47" s="243">
        <f>6429-SUM(AU3:AU45)</f>
        <v>1067.5500000000002</v>
      </c>
      <c r="AV47" s="243">
        <f>1486-AV11-AV18</f>
        <v>1322</v>
      </c>
      <c r="AW47" s="243">
        <f>1530-AW11-AW18</f>
        <v>1362</v>
      </c>
      <c r="AX47" s="243">
        <f>1408-AX18-AX11</f>
        <v>1220</v>
      </c>
      <c r="AY47" s="243">
        <f>1444-AY18-AY11</f>
        <v>1231</v>
      </c>
      <c r="AZ47" s="243">
        <f>1557-AZ18-AZ11</f>
        <v>1318</v>
      </c>
      <c r="BA47" s="243">
        <f>1561-BA18-BA11</f>
        <v>1313</v>
      </c>
      <c r="BB47" s="243">
        <f>1726-BB11-BB18</f>
        <v>1441</v>
      </c>
      <c r="BC47" s="243">
        <f>1672-BC11</f>
        <v>1564</v>
      </c>
      <c r="BD47" s="243">
        <f>1732-BD11</f>
        <v>1630</v>
      </c>
      <c r="BE47" s="243">
        <f>1749-BE11</f>
        <v>1651</v>
      </c>
      <c r="BF47" s="243">
        <f>1767-BF11-65-67</f>
        <v>1519</v>
      </c>
      <c r="BG47" s="243">
        <f>1870-BG22-BG6-BG4-BG11-BG29</f>
        <v>1415</v>
      </c>
      <c r="BH47" s="243">
        <f>2003-BH22-BH6-BH11-BH4</f>
        <v>1553</v>
      </c>
      <c r="BI47" s="243">
        <f>5982-SUM(BI3:BI45)</f>
        <v>1438</v>
      </c>
      <c r="BJ47" s="243">
        <f>2264-BJ22-BJ6-BJ11-BJ4</f>
        <v>1730</v>
      </c>
      <c r="BK47" s="243">
        <f>6133-SUM(BK3:BK45)</f>
        <v>1557</v>
      </c>
      <c r="BL47" s="243">
        <f>1284+23+308+754-BL16-BL33+23</f>
        <v>1759</v>
      </c>
      <c r="BM47" s="243">
        <f>21+317+711+20+673</f>
        <v>1742</v>
      </c>
      <c r="BN47" s="243">
        <f>22+409+713+23+673</f>
        <v>1840</v>
      </c>
      <c r="BO47" s="243">
        <f>523+97+737+197+21</f>
        <v>1575</v>
      </c>
      <c r="BP47" s="243">
        <f>23+260+689+111+569</f>
        <v>1652</v>
      </c>
      <c r="BQ47" s="243">
        <f>18+243+653+113+576</f>
        <v>1603</v>
      </c>
      <c r="BR47" s="243">
        <f>19+281+657+94+579</f>
        <v>1630</v>
      </c>
      <c r="BS47" s="243">
        <f>234+640+102+666</f>
        <v>1642</v>
      </c>
      <c r="BT47" s="243">
        <v>581</v>
      </c>
      <c r="BU47" s="243">
        <v>527</v>
      </c>
      <c r="BV47" s="243">
        <v>551</v>
      </c>
      <c r="BW47" s="243">
        <v>574</v>
      </c>
      <c r="BX47" s="243">
        <v>586</v>
      </c>
      <c r="BY47" s="243">
        <v>522</v>
      </c>
      <c r="BZ47" s="243">
        <v>492</v>
      </c>
      <c r="CA47" s="243">
        <v>423</v>
      </c>
      <c r="CB47" s="243">
        <v>412</v>
      </c>
      <c r="CC47" s="243">
        <v>386</v>
      </c>
      <c r="CD47" s="243">
        <v>375</v>
      </c>
      <c r="CE47" s="243">
        <v>431</v>
      </c>
      <c r="CF47" s="243">
        <v>407</v>
      </c>
      <c r="CG47" s="243">
        <v>447</v>
      </c>
      <c r="CH47" s="243">
        <v>413</v>
      </c>
      <c r="CI47" s="243">
        <v>415</v>
      </c>
      <c r="CJ47" s="243">
        <v>388</v>
      </c>
      <c r="CK47" s="243">
        <v>334</v>
      </c>
      <c r="CL47" s="243">
        <v>333</v>
      </c>
      <c r="CM47" s="243">
        <v>374</v>
      </c>
      <c r="CN47" s="243">
        <v>368</v>
      </c>
      <c r="CO47" s="243">
        <v>325</v>
      </c>
      <c r="CP47" s="243">
        <v>286</v>
      </c>
      <c r="CQ47" s="243">
        <v>302</v>
      </c>
      <c r="CR47" s="243">
        <v>312</v>
      </c>
      <c r="CS47" s="243">
        <v>294</v>
      </c>
      <c r="CT47" s="243">
        <v>278</v>
      </c>
      <c r="CU47" s="243">
        <f>305-CU33</f>
        <v>178</v>
      </c>
      <c r="CV47" s="243">
        <v>293</v>
      </c>
      <c r="CW47" s="243">
        <v>251</v>
      </c>
      <c r="CX47" s="243">
        <v>198</v>
      </c>
      <c r="CY47" s="243">
        <v>274</v>
      </c>
      <c r="CZ47" s="243">
        <v>243</v>
      </c>
      <c r="DA47" s="243">
        <v>236</v>
      </c>
      <c r="DB47" s="243">
        <v>213</v>
      </c>
      <c r="DC47" s="243">
        <v>349</v>
      </c>
      <c r="DD47" s="243">
        <v>313</v>
      </c>
      <c r="DE47" s="243">
        <v>332</v>
      </c>
      <c r="DF47" s="243">
        <v>312</v>
      </c>
      <c r="DG47" s="243">
        <v>311</v>
      </c>
      <c r="DH47" s="243">
        <f t="shared" ref="DH47" si="216">+DD47</f>
        <v>313</v>
      </c>
      <c r="DI47" s="243">
        <f t="shared" ref="DI47" si="217">+DE47</f>
        <v>332</v>
      </c>
      <c r="DJ47" s="243">
        <f t="shared" ref="DJ47" si="218">+DF47</f>
        <v>312</v>
      </c>
      <c r="DK47" s="243">
        <f t="shared" ref="DK47" si="219">+DG47</f>
        <v>311</v>
      </c>
      <c r="DL47" s="243">
        <f t="shared" ref="DL47" si="220">+DH47</f>
        <v>313</v>
      </c>
      <c r="DM47" s="243">
        <f t="shared" ref="DM47" si="221">+DI47</f>
        <v>332</v>
      </c>
      <c r="DN47" s="243">
        <f t="shared" ref="DN47" si="222">+DJ47</f>
        <v>312</v>
      </c>
      <c r="DP47" s="274" t="s">
        <v>121</v>
      </c>
      <c r="DQ47" s="271"/>
      <c r="DR47" s="271"/>
      <c r="DS47" s="271"/>
      <c r="DT47" s="271"/>
      <c r="DU47" s="271"/>
      <c r="DV47" s="235">
        <v>1857</v>
      </c>
      <c r="DW47" s="235">
        <v>2307</v>
      </c>
      <c r="DX47" s="235">
        <v>2025</v>
      </c>
      <c r="DY47" s="235">
        <v>1976</v>
      </c>
      <c r="DZ47" s="235">
        <v>1656</v>
      </c>
      <c r="EA47" s="235">
        <f>SUM(X47:AA47)</f>
        <v>2677</v>
      </c>
      <c r="EB47" s="235">
        <f>SUM(Y47:AB47)</f>
        <v>2834</v>
      </c>
      <c r="EC47" s="235">
        <f>SUM(Z47:AC47)</f>
        <v>2964</v>
      </c>
      <c r="ED47" s="235">
        <f>SUM(AA47:AD47)</f>
        <v>3101</v>
      </c>
      <c r="EE47" s="235">
        <f>22128-SUM(EE8:EE40)</f>
        <v>6625</v>
      </c>
      <c r="EF47" s="235">
        <f>22322-SUM(EF8:EF40)</f>
        <v>6921.6</v>
      </c>
      <c r="EG47" s="235">
        <f t="shared" ref="EG47:EG60" si="223">SUM(AM47:AP47)</f>
        <v>4854</v>
      </c>
      <c r="EH47" s="235">
        <f t="shared" ref="EH47:EH60" si="224">SUM(AQ47:AT47)</f>
        <v>4468</v>
      </c>
      <c r="EI47" s="235">
        <f t="shared" ref="EI47:EI58" si="225">SUM(AU47:AX47)</f>
        <v>4971.55</v>
      </c>
      <c r="EJ47" s="235">
        <f t="shared" ref="EJ47:EJ58" si="226">SUM(AY47:BB47)</f>
        <v>5303</v>
      </c>
      <c r="EK47" s="235">
        <f t="shared" ref="EK47:EK58" si="227">SUM(BC47:BF47)</f>
        <v>6364</v>
      </c>
      <c r="EL47" s="235">
        <f>SUM(BG47:BJ47)</f>
        <v>6136</v>
      </c>
      <c r="EM47" s="235">
        <f t="shared" ref="EM47:EM60" si="228">SUM(BK47:BN47)</f>
        <v>6898</v>
      </c>
      <c r="EN47" s="235">
        <f>SUM(BO47:BR47)</f>
        <v>6460</v>
      </c>
      <c r="EO47" s="235">
        <f>EN47*0.95</f>
        <v>6137</v>
      </c>
      <c r="EP47" s="235">
        <f>EO47</f>
        <v>6137</v>
      </c>
      <c r="EQ47" s="235">
        <f>EP47</f>
        <v>6137</v>
      </c>
      <c r="ER47" s="235"/>
      <c r="ES47" s="235">
        <f t="shared" si="164"/>
        <v>1470</v>
      </c>
      <c r="ET47" s="235">
        <f t="shared" si="165"/>
        <v>1353</v>
      </c>
      <c r="EU47" s="235">
        <f t="shared" si="166"/>
        <v>1186</v>
      </c>
      <c r="EV47" s="235">
        <f t="shared" si="167"/>
        <v>920</v>
      </c>
      <c r="EW47" s="235">
        <f t="shared" si="168"/>
        <v>966</v>
      </c>
      <c r="EX47" s="235">
        <f>SUM(DC47:DF47)</f>
        <v>1306</v>
      </c>
      <c r="EY47" s="235">
        <f t="shared" si="28"/>
        <v>1268</v>
      </c>
      <c r="EZ47" s="235">
        <f t="shared" ref="EZ47" si="229">EY47</f>
        <v>1268</v>
      </c>
      <c r="FA47" s="235">
        <f t="shared" ref="FA47" si="230">EZ47</f>
        <v>1268</v>
      </c>
      <c r="FB47" s="235">
        <f t="shared" ref="FB47" si="231">FA47</f>
        <v>1268</v>
      </c>
      <c r="FC47" s="235">
        <f t="shared" ref="FC47" si="232">FB47</f>
        <v>1268</v>
      </c>
      <c r="FD47" s="235">
        <f t="shared" ref="FD47" si="233">FC47</f>
        <v>1268</v>
      </c>
      <c r="FE47" s="235">
        <f t="shared" ref="FE47" si="234">FD47</f>
        <v>1268</v>
      </c>
      <c r="FF47" s="235">
        <f t="shared" ref="FF47" si="235">FE47</f>
        <v>1268</v>
      </c>
      <c r="FG47" s="235">
        <f t="shared" ref="FG47" si="236">FF47</f>
        <v>1268</v>
      </c>
      <c r="FH47" s="235">
        <f t="shared" ref="FH47" si="237">FG47</f>
        <v>1268</v>
      </c>
      <c r="FI47" s="235">
        <f t="shared" ref="FI47" si="238">FH47</f>
        <v>1268</v>
      </c>
      <c r="FJ47" s="235">
        <f t="shared" ref="FJ47" si="239">FI47</f>
        <v>1268</v>
      </c>
    </row>
    <row r="48" spans="2:169" s="254" customFormat="1" ht="12.75" customHeight="1" x14ac:dyDescent="0.2">
      <c r="B48" t="s">
        <v>1955</v>
      </c>
      <c r="C48" s="243">
        <f>G48/0.67</f>
        <v>362.68656716417911</v>
      </c>
      <c r="D48" s="243">
        <f>H48/0.61</f>
        <v>380.32786885245901</v>
      </c>
      <c r="E48" s="243">
        <f>I48/0.65</f>
        <v>316.92307692307691</v>
      </c>
      <c r="F48" s="243">
        <f>143+125</f>
        <v>268</v>
      </c>
      <c r="G48" s="76">
        <f>124+119</f>
        <v>243</v>
      </c>
      <c r="H48" s="76">
        <f>119+113</f>
        <v>232</v>
      </c>
      <c r="I48" s="76">
        <f>102+104</f>
        <v>206</v>
      </c>
      <c r="J48" s="76">
        <f>104+122</f>
        <v>226</v>
      </c>
      <c r="K48" s="243">
        <v>223</v>
      </c>
      <c r="L48" s="243">
        <v>242</v>
      </c>
      <c r="M48" s="243">
        <v>229</v>
      </c>
      <c r="N48" s="243">
        <v>241</v>
      </c>
      <c r="O48" s="243">
        <f>111+137</f>
        <v>248</v>
      </c>
      <c r="P48" s="243">
        <f>117+131</f>
        <v>248</v>
      </c>
      <c r="Q48" s="243">
        <f>149.4+121.4</f>
        <v>270.8</v>
      </c>
      <c r="R48" s="243">
        <f>165+124</f>
        <v>289</v>
      </c>
      <c r="S48" s="243">
        <f>167+143</f>
        <v>310</v>
      </c>
      <c r="T48" s="243">
        <v>341</v>
      </c>
      <c r="U48" s="243">
        <v>326</v>
      </c>
      <c r="V48" s="76">
        <v>366</v>
      </c>
      <c r="W48" s="76">
        <v>369</v>
      </c>
      <c r="X48" s="76">
        <v>409</v>
      </c>
      <c r="Y48" s="76">
        <v>415</v>
      </c>
      <c r="Z48" s="76">
        <v>449</v>
      </c>
      <c r="AA48" s="76">
        <v>420</v>
      </c>
      <c r="AB48" s="76">
        <v>599</v>
      </c>
      <c r="AC48" s="76">
        <v>791</v>
      </c>
      <c r="AD48" s="76">
        <v>896</v>
      </c>
      <c r="AE48" s="243">
        <v>877</v>
      </c>
      <c r="AF48" s="243">
        <v>664</v>
      </c>
      <c r="AG48" s="243">
        <v>756</v>
      </c>
      <c r="AH48" s="243">
        <v>915</v>
      </c>
      <c r="AI48" s="243">
        <v>969</v>
      </c>
      <c r="AJ48" s="243">
        <v>1014</v>
      </c>
      <c r="AK48" s="243">
        <v>994</v>
      </c>
      <c r="AL48" s="243">
        <v>1005</v>
      </c>
      <c r="AM48" s="243">
        <v>1075</v>
      </c>
      <c r="AN48" s="243">
        <v>1068</v>
      </c>
      <c r="AO48" s="243">
        <v>983</v>
      </c>
      <c r="AP48" s="243">
        <v>961</v>
      </c>
      <c r="AQ48" s="243">
        <v>928</v>
      </c>
      <c r="AR48" s="243">
        <v>852</v>
      </c>
      <c r="AS48" s="243">
        <v>777</v>
      </c>
      <c r="AT48" s="243">
        <v>868</v>
      </c>
      <c r="AU48" s="243">
        <v>835</v>
      </c>
      <c r="AV48" s="243">
        <v>852</v>
      </c>
      <c r="AW48" s="243">
        <v>726</v>
      </c>
      <c r="AX48" s="243">
        <v>722</v>
      </c>
      <c r="AY48" s="243">
        <v>668</v>
      </c>
      <c r="AZ48" s="243">
        <v>674</v>
      </c>
      <c r="BA48" s="243">
        <v>640</v>
      </c>
      <c r="BB48" s="243">
        <v>697</v>
      </c>
      <c r="BC48" s="243">
        <v>672</v>
      </c>
      <c r="BD48" s="243">
        <v>655</v>
      </c>
      <c r="BE48" s="243">
        <v>596</v>
      </c>
      <c r="BF48" s="243">
        <v>629</v>
      </c>
      <c r="BG48" s="243">
        <v>635</v>
      </c>
      <c r="BH48" s="243">
        <v>587</v>
      </c>
      <c r="BI48" s="243">
        <v>526</v>
      </c>
      <c r="BJ48" s="243">
        <v>540</v>
      </c>
      <c r="BK48" s="243">
        <v>482</v>
      </c>
      <c r="BL48" s="243">
        <v>504</v>
      </c>
      <c r="BM48" s="243">
        <v>493</v>
      </c>
      <c r="BN48" s="243">
        <v>506</v>
      </c>
      <c r="BO48" s="243">
        <v>513</v>
      </c>
      <c r="BP48" s="243">
        <v>529</v>
      </c>
      <c r="BQ48" s="243">
        <v>501</v>
      </c>
      <c r="BR48" s="243">
        <v>534</v>
      </c>
      <c r="BS48" s="243">
        <v>541</v>
      </c>
      <c r="BT48" s="243">
        <v>567</v>
      </c>
      <c r="BU48" s="243">
        <v>542</v>
      </c>
      <c r="BV48" s="243">
        <v>558</v>
      </c>
      <c r="BW48" s="243">
        <v>529</v>
      </c>
      <c r="BX48" s="243">
        <v>544</v>
      </c>
      <c r="BY48" s="243">
        <v>524</v>
      </c>
      <c r="BZ48" s="243">
        <v>439</v>
      </c>
      <c r="CA48" s="243">
        <v>443</v>
      </c>
      <c r="CB48" s="243">
        <v>470</v>
      </c>
      <c r="CC48" s="243">
        <v>451</v>
      </c>
      <c r="CD48" s="243">
        <v>485</v>
      </c>
      <c r="CE48" s="243">
        <v>499</v>
      </c>
      <c r="CF48" s="243">
        <v>523</v>
      </c>
      <c r="CG48" s="243">
        <v>553</v>
      </c>
      <c r="CH48" s="243">
        <v>568</v>
      </c>
      <c r="CI48" s="243">
        <v>640</v>
      </c>
      <c r="CJ48" s="243">
        <v>667</v>
      </c>
      <c r="CK48" s="243">
        <v>653</v>
      </c>
      <c r="CL48" s="243">
        <v>686</v>
      </c>
      <c r="CM48" s="243">
        <v>732</v>
      </c>
      <c r="CN48" s="243">
        <v>750</v>
      </c>
      <c r="CO48" s="243">
        <v>741</v>
      </c>
      <c r="CP48" s="243">
        <v>774</v>
      </c>
      <c r="CQ48" s="243">
        <v>727</v>
      </c>
      <c r="CR48" s="243">
        <v>590</v>
      </c>
      <c r="CS48" s="243">
        <v>836</v>
      </c>
      <c r="CT48" s="243">
        <v>893</v>
      </c>
      <c r="CU48" s="243">
        <v>949</v>
      </c>
      <c r="CV48" s="243">
        <v>1046</v>
      </c>
      <c r="CW48" s="243">
        <v>957</v>
      </c>
      <c r="CX48" s="243">
        <v>1019</v>
      </c>
      <c r="CY48" s="243">
        <v>1092</v>
      </c>
      <c r="CZ48" s="243">
        <v>1049</v>
      </c>
      <c r="DA48" s="243">
        <v>1060</v>
      </c>
      <c r="DB48" s="243">
        <v>994</v>
      </c>
      <c r="DC48" s="243">
        <v>1092</v>
      </c>
      <c r="DD48" s="243">
        <f>1196+331+93</f>
        <v>1620</v>
      </c>
      <c r="DE48" s="243">
        <f>1161+311+87</f>
        <v>1559</v>
      </c>
      <c r="DF48" s="243">
        <v>1239</v>
      </c>
      <c r="DG48" s="243">
        <v>1344</v>
      </c>
      <c r="DH48" s="243">
        <f>+DD48*1.03</f>
        <v>1668.6000000000001</v>
      </c>
      <c r="DI48" s="243">
        <f t="shared" ref="DI48:DI50" si="240">+DE48*1.03</f>
        <v>1605.77</v>
      </c>
      <c r="DJ48" s="243">
        <f t="shared" ref="DJ48:DJ50" si="241">+DF48*1.03</f>
        <v>1276.17</v>
      </c>
      <c r="DK48" s="243">
        <f t="shared" ref="DK48:DK50" si="242">+DG48*1.03</f>
        <v>1384.32</v>
      </c>
      <c r="DL48" s="243">
        <f t="shared" ref="DL48:DL50" si="243">+DH48*1.03</f>
        <v>1718.6580000000001</v>
      </c>
      <c r="DM48" s="243">
        <f t="shared" ref="DM48:DM50" si="244">+DI48*1.03</f>
        <v>1653.9431</v>
      </c>
      <c r="DN48" s="243">
        <f t="shared" ref="DN48:DN50" si="245">+DJ48*1.03</f>
        <v>1314.4551000000001</v>
      </c>
      <c r="DP48" s="271"/>
      <c r="DQ48" s="271"/>
      <c r="DR48" s="271"/>
      <c r="DS48" s="271"/>
      <c r="DT48" s="271"/>
      <c r="DU48" s="271"/>
      <c r="DV48" s="271"/>
      <c r="DW48" s="235">
        <f>+DX48/0.98</f>
        <v>1362.2448979591836</v>
      </c>
      <c r="DX48" s="235">
        <v>1335</v>
      </c>
      <c r="DY48" s="235">
        <f>SUM(G48:J48)</f>
        <v>907</v>
      </c>
      <c r="DZ48" s="235">
        <v>942</v>
      </c>
      <c r="EA48" s="235">
        <f t="shared" ref="EA48:EA59" si="246">SUM(O48:R48)</f>
        <v>1055.8</v>
      </c>
      <c r="EB48" s="235">
        <f t="shared" ref="EB48:EB59" si="247">SUM(S48:V48)</f>
        <v>1343</v>
      </c>
      <c r="EC48" s="235">
        <f t="shared" ref="EC48:EC59" si="248">SUM(W48:Z48)</f>
        <v>1642</v>
      </c>
      <c r="ED48" s="235">
        <f t="shared" ref="ED48:ED60" si="249">SUM(AA48:AD48)</f>
        <v>2706</v>
      </c>
      <c r="EE48" s="235">
        <f t="shared" ref="EE48:EE60" si="250">SUM(AE48:AH48)</f>
        <v>3212</v>
      </c>
      <c r="EF48" s="235">
        <f t="shared" ref="EF48:EF60" si="251">SUM(AI48:AL48)</f>
        <v>3982</v>
      </c>
      <c r="EG48" s="235">
        <f t="shared" si="223"/>
        <v>4087</v>
      </c>
      <c r="EH48" s="235">
        <f t="shared" si="224"/>
        <v>3425</v>
      </c>
      <c r="EI48" s="235">
        <f t="shared" si="225"/>
        <v>3135</v>
      </c>
      <c r="EJ48" s="235">
        <f t="shared" si="226"/>
        <v>2679</v>
      </c>
      <c r="EK48" s="235">
        <f t="shared" si="227"/>
        <v>2552</v>
      </c>
      <c r="EL48" s="235">
        <f t="shared" ref="EL48:EL60" si="252">SUM(BG48:BJ48)</f>
        <v>2288</v>
      </c>
      <c r="EM48" s="235">
        <f t="shared" si="228"/>
        <v>1985</v>
      </c>
      <c r="EN48" s="235">
        <f t="shared" ref="EN48:EN58" si="253">SUM(BO48:BR48)</f>
        <v>2077</v>
      </c>
      <c r="EO48" s="235">
        <f>EN48*1.02</f>
        <v>2118.54</v>
      </c>
      <c r="EP48" s="235">
        <f t="shared" ref="EP48:EQ48" si="254">EO48*1.02</f>
        <v>2160.9108000000001</v>
      </c>
      <c r="EQ48" s="235">
        <f t="shared" si="254"/>
        <v>2204.1290160000003</v>
      </c>
      <c r="ER48" s="235"/>
      <c r="ES48" s="235">
        <f t="shared" ref="ES48:ES51" si="255">SUM(CI48:CL48)</f>
        <v>2646</v>
      </c>
      <c r="ET48" s="235">
        <f t="shared" ref="ET48:ET51" si="256">SUM(CM48:CP48)</f>
        <v>2997</v>
      </c>
      <c r="EU48" s="235">
        <f t="shared" ref="EU48:EU51" si="257">SUM(CQ48:CT48)</f>
        <v>3046</v>
      </c>
      <c r="EV48" s="235">
        <f t="shared" ref="EV48:EV51" si="258">SUM(CU48:CX48)</f>
        <v>3971</v>
      </c>
      <c r="EW48" s="235">
        <f t="shared" ref="EW48:EW51" si="259">SUM(CY48:DB48)</f>
        <v>4195</v>
      </c>
      <c r="EX48" s="235">
        <f t="shared" ref="EX48:EY48" si="260">EW48*1.02</f>
        <v>4278.8999999999996</v>
      </c>
      <c r="EY48" s="235">
        <f t="shared" si="260"/>
        <v>4364.4780000000001</v>
      </c>
      <c r="EZ48" s="235">
        <f t="shared" ref="EZ48" si="261">EY48*1.02</f>
        <v>4451.7675600000002</v>
      </c>
      <c r="FA48" s="235">
        <f t="shared" ref="FA48" si="262">EZ48*1.02</f>
        <v>4540.8029112000004</v>
      </c>
      <c r="FB48" s="235">
        <f t="shared" ref="FB48" si="263">FA48*1.02</f>
        <v>4631.6189694240002</v>
      </c>
      <c r="FC48" s="235">
        <f t="shared" ref="FC48" si="264">FB48*1.02</f>
        <v>4724.2513488124805</v>
      </c>
      <c r="FD48" s="235">
        <f t="shared" ref="FD48" si="265">FC48*1.02</f>
        <v>4818.7363757887306</v>
      </c>
      <c r="FE48" s="235">
        <f t="shared" ref="FE48" si="266">FD48*1.02</f>
        <v>4915.1111033045054</v>
      </c>
      <c r="FF48" s="235">
        <f t="shared" ref="FF48" si="267">FE48*1.02</f>
        <v>5013.4133253705959</v>
      </c>
      <c r="FG48" s="235">
        <f t="shared" ref="FG48" si="268">FF48*1.02</f>
        <v>5113.6815918780076</v>
      </c>
      <c r="FH48" s="235">
        <f t="shared" ref="FH48" si="269">FG48*1.02</f>
        <v>5215.9552237155676</v>
      </c>
      <c r="FI48" s="235">
        <f t="shared" ref="FI48" si="270">FH48*1.02</f>
        <v>5320.2743281898793</v>
      </c>
      <c r="FJ48" s="235">
        <f t="shared" ref="FJ48" si="271">FI48*1.02</f>
        <v>5426.6798147536765</v>
      </c>
      <c r="FM48"/>
    </row>
    <row r="49" spans="1:172" s="254" customFormat="1" ht="12.75" customHeight="1" x14ac:dyDescent="0.2">
      <c r="B49" t="s">
        <v>1956</v>
      </c>
      <c r="C49" s="243"/>
      <c r="D49" s="243"/>
      <c r="E49" s="243"/>
      <c r="F49" s="243"/>
      <c r="G49" s="76"/>
      <c r="H49" s="76"/>
      <c r="I49" s="76"/>
      <c r="J49" s="76"/>
      <c r="K49" s="243"/>
      <c r="L49" s="243"/>
      <c r="M49" s="243"/>
      <c r="N49" s="243"/>
      <c r="O49" s="243"/>
      <c r="P49" s="243"/>
      <c r="Q49" s="243"/>
      <c r="R49" s="243"/>
      <c r="S49" s="243"/>
      <c r="T49" s="243"/>
      <c r="U49" s="243"/>
      <c r="V49" s="76"/>
      <c r="W49" s="76"/>
      <c r="X49" s="76"/>
      <c r="Y49" s="76"/>
      <c r="Z49" s="76"/>
      <c r="AA49" s="76"/>
      <c r="AB49" s="76"/>
      <c r="AC49" s="76"/>
      <c r="AD49" s="76"/>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243"/>
      <c r="BI49" s="243"/>
      <c r="BJ49" s="243"/>
      <c r="BK49" s="243"/>
      <c r="BL49" s="243"/>
      <c r="BM49" s="243"/>
      <c r="BN49" s="243"/>
      <c r="BO49" s="243"/>
      <c r="BP49" s="243"/>
      <c r="BQ49" s="243"/>
      <c r="BR49" s="243"/>
      <c r="BS49" s="243"/>
      <c r="BT49" s="243"/>
      <c r="BU49" s="243"/>
      <c r="BV49" s="243"/>
      <c r="BW49" s="243"/>
      <c r="BX49" s="243"/>
      <c r="BY49" s="243"/>
      <c r="BZ49" s="243"/>
      <c r="CA49" s="243"/>
      <c r="CB49" s="243"/>
      <c r="CC49" s="243"/>
      <c r="CD49" s="243"/>
      <c r="CE49" s="243"/>
      <c r="CF49" s="243"/>
      <c r="CG49" s="243"/>
      <c r="CH49" s="243"/>
      <c r="CI49" s="243"/>
      <c r="CJ49" s="243"/>
      <c r="CK49" s="243"/>
      <c r="CL49" s="243"/>
      <c r="CM49" s="243"/>
      <c r="CN49" s="243"/>
      <c r="CO49" s="243"/>
      <c r="CP49" s="243"/>
      <c r="CQ49" s="243"/>
      <c r="CR49" s="243"/>
      <c r="CS49" s="243"/>
      <c r="CT49" s="243"/>
      <c r="CU49" s="243"/>
      <c r="CV49" s="243"/>
      <c r="CW49" s="243"/>
      <c r="CX49" s="243"/>
      <c r="CY49" s="243"/>
      <c r="CZ49" s="243"/>
      <c r="DA49" s="243"/>
      <c r="DB49" s="243">
        <v>31</v>
      </c>
      <c r="DC49" s="243">
        <v>324</v>
      </c>
      <c r="DD49" s="243"/>
      <c r="DE49" s="243"/>
      <c r="DF49" s="243">
        <v>340</v>
      </c>
      <c r="DG49" s="243">
        <v>371</v>
      </c>
      <c r="DH49" s="243">
        <f t="shared" ref="DH49:DH50" si="272">+DD49*1.03</f>
        <v>0</v>
      </c>
      <c r="DI49" s="243">
        <f t="shared" si="240"/>
        <v>0</v>
      </c>
      <c r="DJ49" s="243">
        <f t="shared" si="241"/>
        <v>350.2</v>
      </c>
      <c r="DK49" s="243">
        <f t="shared" si="242"/>
        <v>382.13</v>
      </c>
      <c r="DL49" s="243">
        <f t="shared" si="243"/>
        <v>0</v>
      </c>
      <c r="DM49" s="243">
        <f t="shared" si="244"/>
        <v>0</v>
      </c>
      <c r="DN49" s="243">
        <f t="shared" si="245"/>
        <v>360.70600000000002</v>
      </c>
      <c r="DP49" s="271"/>
      <c r="DQ49" s="271"/>
      <c r="DR49" s="271"/>
      <c r="DS49" s="271"/>
      <c r="DT49" s="271"/>
      <c r="DU49" s="271"/>
      <c r="DV49" s="271"/>
      <c r="DW49" s="235"/>
      <c r="DX49" s="235"/>
      <c r="DY49" s="235"/>
      <c r="DZ49" s="235"/>
      <c r="EA49" s="235"/>
      <c r="EB49" s="235"/>
      <c r="EC49" s="235"/>
      <c r="ED49" s="235"/>
      <c r="EE49" s="235"/>
      <c r="EF49" s="235"/>
      <c r="EG49" s="235"/>
      <c r="EH49" s="235"/>
      <c r="EI49" s="235"/>
      <c r="EJ49" s="235"/>
      <c r="EK49" s="235"/>
      <c r="EL49" s="235"/>
      <c r="EM49" s="235"/>
      <c r="EN49" s="235"/>
      <c r="EO49" s="235"/>
      <c r="EP49" s="235"/>
      <c r="EQ49" s="235"/>
      <c r="ER49" s="235"/>
      <c r="ES49" s="235"/>
      <c r="ET49" s="235"/>
      <c r="EU49" s="235"/>
      <c r="EV49" s="235"/>
      <c r="EW49" s="235"/>
      <c r="EX49" s="235"/>
      <c r="EY49" s="235"/>
      <c r="EZ49" s="235"/>
      <c r="FA49" s="235"/>
      <c r="FB49" s="235"/>
      <c r="FC49" s="235"/>
      <c r="FD49" s="235"/>
      <c r="FE49" s="235"/>
      <c r="FF49" s="235"/>
      <c r="FG49" s="235"/>
      <c r="FH49" s="235"/>
      <c r="FI49" s="235"/>
      <c r="FJ49" s="235"/>
      <c r="FM49"/>
    </row>
    <row r="50" spans="1:172" s="254" customFormat="1" ht="12.75" customHeight="1" x14ac:dyDescent="0.2">
      <c r="B50" t="s">
        <v>1957</v>
      </c>
      <c r="C50" s="243"/>
      <c r="D50" s="243"/>
      <c r="E50" s="243"/>
      <c r="F50" s="243"/>
      <c r="G50" s="76"/>
      <c r="H50" s="76"/>
      <c r="I50" s="76"/>
      <c r="J50" s="76"/>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v>73</v>
      </c>
      <c r="DC50" s="243">
        <v>87</v>
      </c>
      <c r="DD50" s="243"/>
      <c r="DE50" s="243"/>
      <c r="DF50" s="243">
        <v>89</v>
      </c>
      <c r="DG50" s="243">
        <v>92</v>
      </c>
      <c r="DH50" s="243">
        <f t="shared" si="272"/>
        <v>0</v>
      </c>
      <c r="DI50" s="243">
        <f t="shared" si="240"/>
        <v>0</v>
      </c>
      <c r="DJ50" s="243">
        <f t="shared" si="241"/>
        <v>91.67</v>
      </c>
      <c r="DK50" s="243">
        <f t="shared" si="242"/>
        <v>94.76</v>
      </c>
      <c r="DL50" s="243">
        <f t="shared" si="243"/>
        <v>0</v>
      </c>
      <c r="DM50" s="243">
        <f t="shared" si="244"/>
        <v>0</v>
      </c>
      <c r="DN50" s="243">
        <f t="shared" si="245"/>
        <v>94.420100000000005</v>
      </c>
      <c r="DP50" s="271"/>
      <c r="DQ50" s="271"/>
      <c r="DR50" s="271"/>
      <c r="DS50" s="271"/>
      <c r="DT50" s="271"/>
      <c r="DU50" s="271"/>
      <c r="DV50" s="271"/>
      <c r="DW50" s="235"/>
      <c r="DX50" s="235"/>
      <c r="DY50" s="235"/>
      <c r="DZ50" s="235"/>
      <c r="EA50" s="235"/>
      <c r="EB50" s="235"/>
      <c r="EC50" s="235"/>
      <c r="ED50" s="235"/>
      <c r="EE50" s="235"/>
      <c r="EF50" s="235"/>
      <c r="EG50" s="235"/>
      <c r="EH50" s="235"/>
      <c r="EI50" s="235"/>
      <c r="EJ50" s="235"/>
      <c r="EK50" s="235"/>
      <c r="EL50" s="235"/>
      <c r="EM50" s="235"/>
      <c r="EN50" s="235"/>
      <c r="EO50" s="235"/>
      <c r="EP50" s="235"/>
      <c r="EQ50" s="235"/>
      <c r="ER50" s="235"/>
      <c r="ES50" s="235"/>
      <c r="ET50" s="235"/>
      <c r="EU50" s="235"/>
      <c r="EV50" s="235"/>
      <c r="EW50" s="235"/>
      <c r="EX50" s="235"/>
      <c r="EY50" s="235"/>
      <c r="EZ50" s="235"/>
      <c r="FA50" s="235"/>
      <c r="FB50" s="235"/>
      <c r="FC50" s="235"/>
      <c r="FD50" s="235"/>
      <c r="FE50" s="235"/>
      <c r="FF50" s="235"/>
      <c r="FG50" s="235"/>
      <c r="FH50" s="235"/>
      <c r="FI50" s="235"/>
      <c r="FJ50" s="235"/>
      <c r="FM50"/>
    </row>
    <row r="51" spans="1:172" s="254" customFormat="1" ht="12.75" customHeight="1" x14ac:dyDescent="0.2">
      <c r="B51" t="s">
        <v>1537</v>
      </c>
      <c r="C51" s="76"/>
      <c r="D51" s="76"/>
      <c r="E51" s="76"/>
      <c r="F51" s="76"/>
      <c r="G51" s="76"/>
      <c r="H51" s="76"/>
      <c r="I51" s="76"/>
      <c r="J51" s="76"/>
      <c r="K51" s="243">
        <v>428</v>
      </c>
      <c r="L51" s="243">
        <v>420</v>
      </c>
      <c r="M51" s="243">
        <v>420</v>
      </c>
      <c r="N51" s="243">
        <v>434</v>
      </c>
      <c r="O51" s="243">
        <v>471</v>
      </c>
      <c r="P51" s="243">
        <v>456</v>
      </c>
      <c r="Q51" s="243">
        <v>429</v>
      </c>
      <c r="R51" s="243">
        <v>460</v>
      </c>
      <c r="S51" s="243">
        <v>511</v>
      </c>
      <c r="T51" s="243">
        <v>508</v>
      </c>
      <c r="U51" s="243">
        <v>495</v>
      </c>
      <c r="V51" s="76">
        <v>540</v>
      </c>
      <c r="W51" s="76">
        <v>617</v>
      </c>
      <c r="X51" s="76">
        <v>633</v>
      </c>
      <c r="Y51" s="76">
        <v>615</v>
      </c>
      <c r="Z51" s="76">
        <v>672</v>
      </c>
      <c r="AA51" s="76">
        <v>739</v>
      </c>
      <c r="AB51" s="76">
        <v>748</v>
      </c>
      <c r="AC51" s="76">
        <v>718</v>
      </c>
      <c r="AD51" s="76">
        <v>802</v>
      </c>
      <c r="AE51" s="243">
        <v>839</v>
      </c>
      <c r="AF51" s="243">
        <v>839</v>
      </c>
      <c r="AG51" s="243">
        <v>790</v>
      </c>
      <c r="AH51" s="243">
        <v>952</v>
      </c>
      <c r="AI51" s="243">
        <v>993</v>
      </c>
      <c r="AJ51" s="243">
        <v>980</v>
      </c>
      <c r="AK51" s="243">
        <v>897</v>
      </c>
      <c r="AL51" s="243">
        <v>977</v>
      </c>
      <c r="AM51" s="243">
        <v>1039</v>
      </c>
      <c r="AN51" s="243">
        <v>1035</v>
      </c>
      <c r="AO51" s="243">
        <v>971</v>
      </c>
      <c r="AP51" s="243">
        <v>1060</v>
      </c>
      <c r="AQ51" s="243">
        <v>1157</v>
      </c>
      <c r="AR51" s="243">
        <v>1135</v>
      </c>
      <c r="AS51" s="243">
        <v>1086</v>
      </c>
      <c r="AT51" s="243">
        <v>1209</v>
      </c>
      <c r="AU51" s="243">
        <v>1253</v>
      </c>
      <c r="AV51" s="243">
        <v>1289</v>
      </c>
      <c r="AW51" s="243">
        <v>1195</v>
      </c>
      <c r="AX51" s="243">
        <v>1252</v>
      </c>
      <c r="AY51" s="243">
        <v>1292</v>
      </c>
      <c r="AZ51" s="243">
        <v>1323</v>
      </c>
      <c r="BA51" s="243">
        <v>1284</v>
      </c>
      <c r="BB51" s="243">
        <v>1473</v>
      </c>
      <c r="BC51" s="243">
        <v>1454</v>
      </c>
      <c r="BD51" s="243">
        <v>1375</v>
      </c>
      <c r="BE51" s="243">
        <v>1309</v>
      </c>
      <c r="BF51" s="243">
        <v>1447</v>
      </c>
      <c r="BG51" s="243">
        <v>1503</v>
      </c>
      <c r="BH51" s="243">
        <v>1469</v>
      </c>
      <c r="BI51" s="243">
        <v>1384</v>
      </c>
      <c r="BJ51" s="243">
        <v>1453</v>
      </c>
      <c r="BK51" s="243">
        <v>1493</v>
      </c>
      <c r="BL51" s="243">
        <v>1628</v>
      </c>
      <c r="BM51" s="243">
        <v>2290</v>
      </c>
      <c r="BN51" s="243">
        <v>2388</v>
      </c>
      <c r="BO51" s="243">
        <v>2385</v>
      </c>
      <c r="BP51" s="243">
        <v>2385</v>
      </c>
      <c r="BQ51" s="243">
        <v>2283</v>
      </c>
      <c r="BR51" s="243">
        <v>2456</v>
      </c>
      <c r="BS51" s="243">
        <v>2421</v>
      </c>
      <c r="BT51" s="243">
        <v>2469</v>
      </c>
      <c r="BU51" s="243">
        <v>2344</v>
      </c>
      <c r="BV51" s="243">
        <v>2441</v>
      </c>
      <c r="BW51" s="243">
        <v>2328</v>
      </c>
      <c r="BX51" s="243">
        <v>2330</v>
      </c>
      <c r="BY51" s="243">
        <v>2181</v>
      </c>
      <c r="BZ51" s="243">
        <v>2423</v>
      </c>
      <c r="CA51" s="243">
        <v>2341</v>
      </c>
      <c r="CB51" s="243">
        <v>2355</v>
      </c>
      <c r="CC51" s="243">
        <v>2251</v>
      </c>
      <c r="CD51" s="243">
        <v>2387</v>
      </c>
      <c r="CE51" s="243">
        <v>2325</v>
      </c>
      <c r="CF51" s="243">
        <v>2343</v>
      </c>
      <c r="CG51" s="243">
        <v>2204</v>
      </c>
      <c r="CH51" s="243">
        <v>2339</v>
      </c>
      <c r="CI51" s="243">
        <v>2250</v>
      </c>
      <c r="CJ51" s="243">
        <v>2262</v>
      </c>
      <c r="CK51" s="243">
        <v>2111</v>
      </c>
      <c r="CL51" s="243">
        <v>2262</v>
      </c>
      <c r="CM51" s="243">
        <v>2204</v>
      </c>
      <c r="CN51" s="243">
        <v>2224</v>
      </c>
      <c r="CO51" s="243">
        <v>2138</v>
      </c>
      <c r="CP51" s="243">
        <v>2273</v>
      </c>
      <c r="CQ51" s="243">
        <v>2038</v>
      </c>
      <c r="CR51" s="243">
        <v>1451</v>
      </c>
      <c r="CS51" s="243">
        <v>2083</v>
      </c>
      <c r="CT51" s="243">
        <v>2191</v>
      </c>
      <c r="CU51" s="243">
        <v>2113</v>
      </c>
      <c r="CV51" s="243">
        <v>2227</v>
      </c>
      <c r="CW51" s="243">
        <v>2093</v>
      </c>
      <c r="CX51" s="243">
        <v>2155</v>
      </c>
      <c r="CY51" s="243">
        <v>2188</v>
      </c>
      <c r="CZ51" s="243">
        <v>2157</v>
      </c>
      <c r="DA51" s="243">
        <v>2095</v>
      </c>
      <c r="DB51" s="243">
        <v>2148</v>
      </c>
      <c r="DC51" s="243">
        <v>2245</v>
      </c>
      <c r="DD51" s="243">
        <f>397+363+739+766</f>
        <v>2265</v>
      </c>
      <c r="DE51" s="243">
        <v>2164</v>
      </c>
      <c r="DF51" s="243">
        <v>2268</v>
      </c>
      <c r="DG51" s="243">
        <v>2340</v>
      </c>
      <c r="DH51" s="243">
        <f>+DD51*1.05</f>
        <v>2378.25</v>
      </c>
      <c r="DI51" s="243">
        <f>+DE51*1.05</f>
        <v>2272.2000000000003</v>
      </c>
      <c r="DJ51" s="243">
        <f t="shared" ref="DJ51:DN51" si="273">+DF51*1.05</f>
        <v>2381.4</v>
      </c>
      <c r="DK51" s="243">
        <f t="shared" si="273"/>
        <v>2457</v>
      </c>
      <c r="DL51" s="243">
        <f t="shared" si="273"/>
        <v>2497.1624999999999</v>
      </c>
      <c r="DM51" s="243">
        <f t="shared" si="273"/>
        <v>2385.8100000000004</v>
      </c>
      <c r="DN51" s="243">
        <f t="shared" si="273"/>
        <v>2500.4700000000003</v>
      </c>
      <c r="DP51" s="271"/>
      <c r="DQ51" s="271"/>
      <c r="DR51" s="271"/>
      <c r="DS51" s="271"/>
      <c r="DT51" s="271"/>
      <c r="DU51" s="271"/>
      <c r="DV51" s="271"/>
      <c r="DW51" s="271"/>
      <c r="DX51" s="271"/>
      <c r="DY51" s="235">
        <v>795</v>
      </c>
      <c r="DZ51" s="235">
        <v>1751</v>
      </c>
      <c r="EA51" s="235">
        <f t="shared" si="246"/>
        <v>1816</v>
      </c>
      <c r="EB51" s="235">
        <f t="shared" si="247"/>
        <v>2054</v>
      </c>
      <c r="EC51" s="235">
        <f t="shared" si="248"/>
        <v>2537</v>
      </c>
      <c r="ED51" s="235">
        <f t="shared" si="249"/>
        <v>3007</v>
      </c>
      <c r="EE51" s="235">
        <f t="shared" si="250"/>
        <v>3420</v>
      </c>
      <c r="EF51" s="235">
        <f t="shared" si="251"/>
        <v>3847</v>
      </c>
      <c r="EG51" s="235">
        <f t="shared" si="223"/>
        <v>4105</v>
      </c>
      <c r="EH51" s="235">
        <f t="shared" si="224"/>
        <v>4587</v>
      </c>
      <c r="EI51" s="235">
        <f t="shared" si="225"/>
        <v>4989</v>
      </c>
      <c r="EJ51" s="235">
        <f t="shared" si="226"/>
        <v>5372</v>
      </c>
      <c r="EK51" s="235">
        <f t="shared" si="227"/>
        <v>5585</v>
      </c>
      <c r="EL51" s="235">
        <f t="shared" si="252"/>
        <v>5809</v>
      </c>
      <c r="EM51" s="235">
        <f t="shared" si="228"/>
        <v>7799</v>
      </c>
      <c r="EN51" s="235">
        <f t="shared" si="253"/>
        <v>9509</v>
      </c>
      <c r="EO51" s="235">
        <f t="shared" ref="EO51:EQ51" si="274">EN51*1.03</f>
        <v>9794.27</v>
      </c>
      <c r="EP51" s="235">
        <f t="shared" si="274"/>
        <v>10088.098100000001</v>
      </c>
      <c r="EQ51" s="235">
        <f t="shared" si="274"/>
        <v>10390.741043000002</v>
      </c>
      <c r="ER51" s="235"/>
      <c r="ES51" s="235">
        <f t="shared" si="255"/>
        <v>8885</v>
      </c>
      <c r="ET51" s="235">
        <f t="shared" si="256"/>
        <v>8839</v>
      </c>
      <c r="EU51" s="235">
        <f t="shared" si="257"/>
        <v>7763</v>
      </c>
      <c r="EV51" s="235">
        <f t="shared" si="258"/>
        <v>8588</v>
      </c>
      <c r="EW51" s="235">
        <f t="shared" si="259"/>
        <v>8588</v>
      </c>
      <c r="EX51" s="235">
        <f t="shared" ref="EX51" si="275">EW51*1.03</f>
        <v>8845.64</v>
      </c>
      <c r="EY51" s="235">
        <f t="shared" ref="EY51" si="276">EX51*1.03</f>
        <v>9111.0092000000004</v>
      </c>
      <c r="EZ51" s="235">
        <f t="shared" ref="EZ51" si="277">EY51*1.03</f>
        <v>9384.339476000001</v>
      </c>
      <c r="FA51" s="235">
        <f t="shared" ref="FA51" si="278">EZ51*1.03</f>
        <v>9665.869660280001</v>
      </c>
      <c r="FB51" s="235">
        <f t="shared" ref="FB51" si="279">FA51*1.03</f>
        <v>9955.8457500884015</v>
      </c>
      <c r="FC51" s="235">
        <f t="shared" ref="FC51" si="280">FB51*1.03</f>
        <v>10254.521122591053</v>
      </c>
      <c r="FD51" s="235">
        <f t="shared" ref="FD51" si="281">FC51*1.03</f>
        <v>10562.156756268785</v>
      </c>
      <c r="FE51" s="235">
        <f t="shared" ref="FE51" si="282">FD51*1.03</f>
        <v>10879.02145895685</v>
      </c>
      <c r="FF51" s="235">
        <f t="shared" ref="FF51" si="283">FE51*1.03</f>
        <v>11205.392102725555</v>
      </c>
      <c r="FG51" s="235">
        <f t="shared" ref="FG51" si="284">FF51*1.03</f>
        <v>11541.553865807322</v>
      </c>
      <c r="FH51" s="235">
        <f t="shared" ref="FH51" si="285">FG51*1.03</f>
        <v>11887.800481781542</v>
      </c>
      <c r="FI51" s="235">
        <f t="shared" ref="FI51" si="286">FH51*1.03</f>
        <v>12244.434496234988</v>
      </c>
      <c r="FJ51" s="235">
        <f t="shared" ref="FJ51" si="287">FI51*1.03</f>
        <v>12611.767531122037</v>
      </c>
      <c r="FM51"/>
    </row>
    <row r="52" spans="1:172" s="254" customFormat="1" ht="12.75" customHeight="1" x14ac:dyDescent="0.2">
      <c r="B52" t="s">
        <v>230</v>
      </c>
      <c r="C52" s="243">
        <f>G52/1.04</f>
        <v>381.73076923076923</v>
      </c>
      <c r="D52" s="243">
        <f>H52/1.03</f>
        <v>383.49514563106794</v>
      </c>
      <c r="E52" s="243">
        <f>I52/1.04</f>
        <v>374.03846153846155</v>
      </c>
      <c r="F52" s="243">
        <f>147+231</f>
        <v>378</v>
      </c>
      <c r="G52" s="243">
        <f>156+241</f>
        <v>397</v>
      </c>
      <c r="H52" s="243">
        <f>158+237</f>
        <v>395</v>
      </c>
      <c r="I52" s="243">
        <f>164+225</f>
        <v>389</v>
      </c>
      <c r="J52" s="243">
        <f>172+254</f>
        <v>426</v>
      </c>
      <c r="K52" s="243">
        <v>480</v>
      </c>
      <c r="L52" s="243">
        <v>475</v>
      </c>
      <c r="M52" s="243">
        <v>467</v>
      </c>
      <c r="N52" s="243">
        <v>495</v>
      </c>
      <c r="O52" s="243">
        <v>482</v>
      </c>
      <c r="P52" s="243">
        <v>509</v>
      </c>
      <c r="Q52" s="243">
        <v>482</v>
      </c>
      <c r="R52" s="243">
        <v>503</v>
      </c>
      <c r="S52" s="243">
        <v>519</v>
      </c>
      <c r="T52" s="243">
        <v>530</v>
      </c>
      <c r="U52" s="243">
        <v>532</v>
      </c>
      <c r="V52" s="76">
        <v>618</v>
      </c>
      <c r="W52" s="76">
        <v>564</v>
      </c>
      <c r="X52" s="76">
        <v>606</v>
      </c>
      <c r="Y52" s="76">
        <v>596</v>
      </c>
      <c r="Z52" s="76">
        <v>620</v>
      </c>
      <c r="AA52" s="76">
        <v>629</v>
      </c>
      <c r="AB52" s="76">
        <v>673</v>
      </c>
      <c r="AC52" s="76">
        <v>640</v>
      </c>
      <c r="AD52" s="76">
        <v>697</v>
      </c>
      <c r="AE52" s="243">
        <v>681</v>
      </c>
      <c r="AF52" s="243">
        <v>716</v>
      </c>
      <c r="AG52" s="243">
        <v>687</v>
      </c>
      <c r="AH52" s="243">
        <v>753</v>
      </c>
      <c r="AI52" s="243">
        <v>787</v>
      </c>
      <c r="AJ52" s="243">
        <v>798</v>
      </c>
      <c r="AK52" s="243">
        <v>745</v>
      </c>
      <c r="AL52" s="243">
        <v>769</v>
      </c>
      <c r="AM52" s="243">
        <v>774</v>
      </c>
      <c r="AN52" s="243">
        <v>816</v>
      </c>
      <c r="AO52" s="243">
        <v>796</v>
      </c>
      <c r="AP52" s="243">
        <v>827</v>
      </c>
      <c r="AQ52" s="243">
        <v>870</v>
      </c>
      <c r="AR52" s="243">
        <v>901</v>
      </c>
      <c r="AS52" s="243">
        <v>877</v>
      </c>
      <c r="AT52" s="243">
        <v>944</v>
      </c>
      <c r="AU52" s="243">
        <v>945</v>
      </c>
      <c r="AV52" s="243">
        <v>1020</v>
      </c>
      <c r="AW52" s="243">
        <v>957</v>
      </c>
      <c r="AX52" s="243">
        <v>918</v>
      </c>
      <c r="AY52" s="243">
        <v>953</v>
      </c>
      <c r="AZ52" s="243">
        <v>1041</v>
      </c>
      <c r="BA52" s="243">
        <v>1019</v>
      </c>
      <c r="BB52" s="243">
        <v>1109</v>
      </c>
      <c r="BC52" s="243">
        <v>1147</v>
      </c>
      <c r="BD52" s="243">
        <v>1132</v>
      </c>
      <c r="BE52" s="243">
        <v>1072</v>
      </c>
      <c r="BF52" s="243">
        <v>1152</v>
      </c>
      <c r="BG52" s="243">
        <v>1193</v>
      </c>
      <c r="BH52" s="243">
        <v>1257</v>
      </c>
      <c r="BI52" s="243">
        <v>1187</v>
      </c>
      <c r="BJ52" s="243">
        <v>1233</v>
      </c>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c r="DJ52" s="243"/>
      <c r="DK52" s="243"/>
      <c r="DL52" s="243"/>
      <c r="DM52" s="243"/>
      <c r="DN52" s="243"/>
      <c r="DP52" s="271"/>
      <c r="DQ52" s="271"/>
      <c r="DR52" s="271"/>
      <c r="DS52" s="271"/>
      <c r="DT52" s="271"/>
      <c r="DU52" s="271"/>
      <c r="DV52" s="271"/>
      <c r="DW52" s="235">
        <f>DX52*1</f>
        <v>1525</v>
      </c>
      <c r="DX52" s="235">
        <f>586+939</f>
        <v>1525</v>
      </c>
      <c r="DY52" s="235">
        <f>SUM(G52:J52)</f>
        <v>1607</v>
      </c>
      <c r="DZ52" s="235">
        <f>1828+108</f>
        <v>1936</v>
      </c>
      <c r="EA52" s="235">
        <f t="shared" si="246"/>
        <v>1976</v>
      </c>
      <c r="EB52" s="235">
        <f t="shared" si="247"/>
        <v>2199</v>
      </c>
      <c r="EC52" s="235">
        <f t="shared" si="248"/>
        <v>2386</v>
      </c>
      <c r="ED52" s="235">
        <f t="shared" si="249"/>
        <v>2639</v>
      </c>
      <c r="EE52" s="235">
        <f t="shared" si="250"/>
        <v>2837</v>
      </c>
      <c r="EF52" s="235">
        <f t="shared" si="251"/>
        <v>3099</v>
      </c>
      <c r="EG52" s="235">
        <f t="shared" si="223"/>
        <v>3213</v>
      </c>
      <c r="EH52" s="235">
        <f t="shared" si="224"/>
        <v>3592</v>
      </c>
      <c r="EI52" s="235">
        <f t="shared" si="225"/>
        <v>3840</v>
      </c>
      <c r="EJ52" s="235">
        <f t="shared" si="226"/>
        <v>4122</v>
      </c>
      <c r="EK52" s="235">
        <f t="shared" si="227"/>
        <v>4503</v>
      </c>
      <c r="EL52" s="235">
        <f t="shared" si="252"/>
        <v>4870</v>
      </c>
      <c r="EM52" s="235"/>
      <c r="EN52" s="235"/>
      <c r="EO52" s="235"/>
      <c r="EP52" s="235"/>
      <c r="EQ52" s="235"/>
      <c r="ER52" s="235"/>
      <c r="ES52" s="235"/>
      <c r="ET52" s="235"/>
      <c r="EU52" s="235"/>
      <c r="EV52" s="235"/>
      <c r="EW52" s="235"/>
      <c r="EX52" s="235"/>
      <c r="EY52" s="235"/>
      <c r="EZ52" s="235"/>
      <c r="FA52" s="235"/>
      <c r="FB52" s="235"/>
      <c r="FC52" s="235"/>
      <c r="FD52" s="235"/>
      <c r="FE52" s="235"/>
      <c r="FF52" s="235"/>
      <c r="FG52" s="235"/>
      <c r="FH52" s="235"/>
      <c r="FI52" s="235"/>
      <c r="FJ52" s="235"/>
      <c r="FM52"/>
    </row>
    <row r="53" spans="1:172" s="254" customFormat="1" ht="12.75" customHeight="1" x14ac:dyDescent="0.2">
      <c r="B53" t="s">
        <v>334</v>
      </c>
      <c r="C53" s="243">
        <f>G53/1.16</f>
        <v>244.82758620689657</v>
      </c>
      <c r="D53" s="243">
        <f>H53/1.17</f>
        <v>247.86324786324789</v>
      </c>
      <c r="E53" s="243">
        <f>I53/1.17</f>
        <v>252.13675213675216</v>
      </c>
      <c r="F53" s="243">
        <f>164+100</f>
        <v>264</v>
      </c>
      <c r="G53" s="243">
        <f>171+113</f>
        <v>284</v>
      </c>
      <c r="H53" s="243">
        <f>178+112</f>
        <v>290</v>
      </c>
      <c r="I53" s="243">
        <f>193+102</f>
        <v>295</v>
      </c>
      <c r="J53" s="243">
        <f>196+127</f>
        <v>323</v>
      </c>
      <c r="K53" s="243">
        <v>427</v>
      </c>
      <c r="L53" s="243">
        <v>431</v>
      </c>
      <c r="M53" s="243">
        <v>431</v>
      </c>
      <c r="N53" s="243">
        <v>450</v>
      </c>
      <c r="O53" s="243">
        <v>448</v>
      </c>
      <c r="P53" s="243">
        <v>463</v>
      </c>
      <c r="Q53" s="243">
        <v>447</v>
      </c>
      <c r="R53" s="243">
        <v>482</v>
      </c>
      <c r="S53" s="243">
        <v>475</v>
      </c>
      <c r="T53" s="243">
        <v>499</v>
      </c>
      <c r="U53" s="243">
        <v>503</v>
      </c>
      <c r="V53" s="76">
        <v>523</v>
      </c>
      <c r="W53" s="76">
        <v>521</v>
      </c>
      <c r="X53" s="76">
        <v>575</v>
      </c>
      <c r="Y53" s="76">
        <v>571</v>
      </c>
      <c r="Z53" s="76">
        <v>625</v>
      </c>
      <c r="AA53" s="76">
        <v>623</v>
      </c>
      <c r="AB53" s="76">
        <v>649</v>
      </c>
      <c r="AC53" s="76">
        <v>622</v>
      </c>
      <c r="AD53" s="76">
        <v>693</v>
      </c>
      <c r="AE53" s="243">
        <v>665</v>
      </c>
      <c r="AF53" s="243">
        <v>710</v>
      </c>
      <c r="AG53" s="243">
        <v>672</v>
      </c>
      <c r="AH53" s="243">
        <v>802</v>
      </c>
      <c r="AI53" s="243">
        <v>767</v>
      </c>
      <c r="AJ53" s="243">
        <v>785</v>
      </c>
      <c r="AK53" s="243">
        <v>723</v>
      </c>
      <c r="AL53" s="243">
        <v>823</v>
      </c>
      <c r="AM53" s="243">
        <v>794</v>
      </c>
      <c r="AN53" s="243">
        <v>857</v>
      </c>
      <c r="AO53" s="243">
        <v>826</v>
      </c>
      <c r="AP53" s="243">
        <v>900</v>
      </c>
      <c r="AQ53" s="243">
        <v>891</v>
      </c>
      <c r="AR53" s="243">
        <v>957</v>
      </c>
      <c r="AS53" s="243">
        <v>922</v>
      </c>
      <c r="AT53" s="243">
        <v>1064</v>
      </c>
      <c r="AU53" s="243">
        <v>1003</v>
      </c>
      <c r="AV53" s="243">
        <v>1124</v>
      </c>
      <c r="AW53" s="243">
        <v>1042</v>
      </c>
      <c r="AX53" s="243">
        <v>1117</v>
      </c>
      <c r="AY53" s="243">
        <v>1015</v>
      </c>
      <c r="AZ53" s="243">
        <v>1115</v>
      </c>
      <c r="BA53" s="243">
        <v>1106</v>
      </c>
      <c r="BB53" s="243">
        <v>1256</v>
      </c>
      <c r="BC53" s="243">
        <v>1168</v>
      </c>
      <c r="BD53" s="243">
        <v>1196</v>
      </c>
      <c r="BE53" s="243">
        <v>1137</v>
      </c>
      <c r="BF53" s="243">
        <v>1257</v>
      </c>
      <c r="BG53" s="243">
        <v>1221</v>
      </c>
      <c r="BH53" s="243">
        <v>1295</v>
      </c>
      <c r="BI53" s="243">
        <v>1231</v>
      </c>
      <c r="BJ53" s="243">
        <v>1333</v>
      </c>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c r="DJ53" s="243"/>
      <c r="DK53" s="243"/>
      <c r="DL53" s="243"/>
      <c r="DM53" s="243"/>
      <c r="DN53" s="243"/>
      <c r="DP53" s="271"/>
      <c r="DQ53" s="271"/>
      <c r="DR53" s="271"/>
      <c r="DS53" s="271"/>
      <c r="DT53" s="271"/>
      <c r="DU53" s="271"/>
      <c r="DV53" s="271"/>
      <c r="DW53" s="235">
        <f>+DX53/1.16</f>
        <v>869.67895362663512</v>
      </c>
      <c r="DX53" s="235">
        <f>SUM(C53:F53)</f>
        <v>1008.8275862068966</v>
      </c>
      <c r="DY53" s="235">
        <f>SUM(G53:J53)</f>
        <v>1192</v>
      </c>
      <c r="DZ53" s="235">
        <f>SUM(K53:N53)</f>
        <v>1739</v>
      </c>
      <c r="EA53" s="235">
        <f t="shared" si="246"/>
        <v>1840</v>
      </c>
      <c r="EB53" s="235">
        <f t="shared" si="247"/>
        <v>2000</v>
      </c>
      <c r="EC53" s="235">
        <f t="shared" si="248"/>
        <v>2292</v>
      </c>
      <c r="ED53" s="235">
        <f t="shared" si="249"/>
        <v>2587</v>
      </c>
      <c r="EE53" s="235">
        <f t="shared" si="250"/>
        <v>2849</v>
      </c>
      <c r="EF53" s="235">
        <f t="shared" si="251"/>
        <v>3098</v>
      </c>
      <c r="EG53" s="235">
        <f t="shared" si="223"/>
        <v>3377</v>
      </c>
      <c r="EH53" s="235">
        <f t="shared" si="224"/>
        <v>3834</v>
      </c>
      <c r="EI53" s="235">
        <f t="shared" si="225"/>
        <v>4286</v>
      </c>
      <c r="EJ53" s="235">
        <f t="shared" si="226"/>
        <v>4492</v>
      </c>
      <c r="EK53" s="235">
        <f t="shared" si="227"/>
        <v>4758</v>
      </c>
      <c r="EL53" s="235">
        <f t="shared" si="252"/>
        <v>5080</v>
      </c>
      <c r="EM53" s="235"/>
      <c r="EN53" s="235"/>
      <c r="EO53" s="235"/>
      <c r="EP53" s="235"/>
      <c r="EQ53" s="235"/>
      <c r="ER53" s="235"/>
      <c r="ES53" s="235"/>
      <c r="ET53" s="235"/>
      <c r="EU53" s="235"/>
      <c r="EV53" s="235"/>
      <c r="EW53" s="235"/>
      <c r="EX53" s="235"/>
      <c r="EY53" s="235"/>
      <c r="EZ53" s="235"/>
      <c r="FA53" s="235"/>
      <c r="FB53" s="235"/>
      <c r="FC53" s="235"/>
      <c r="FD53" s="235"/>
      <c r="FE53" s="235"/>
      <c r="FF53" s="235"/>
      <c r="FG53" s="235"/>
      <c r="FH53" s="235"/>
      <c r="FI53" s="235"/>
      <c r="FJ53" s="235"/>
      <c r="FM53"/>
    </row>
    <row r="54" spans="1:172" s="254" customFormat="1" ht="12.75" customHeight="1" x14ac:dyDescent="0.2">
      <c r="B54" t="s">
        <v>1630</v>
      </c>
      <c r="C54" s="243"/>
      <c r="D54" s="243"/>
      <c r="E54" s="243"/>
      <c r="F54" s="243"/>
      <c r="G54" s="243"/>
      <c r="H54" s="243"/>
      <c r="I54" s="243"/>
      <c r="J54" s="243"/>
      <c r="K54" s="243"/>
      <c r="L54" s="243"/>
      <c r="M54" s="243"/>
      <c r="N54" s="243"/>
      <c r="O54" s="243"/>
      <c r="P54" s="243"/>
      <c r="Q54" s="243"/>
      <c r="R54" s="243"/>
      <c r="S54" s="243"/>
      <c r="T54" s="243"/>
      <c r="U54" s="243"/>
      <c r="V54" s="76"/>
      <c r="W54" s="76"/>
      <c r="X54" s="76"/>
      <c r="Y54" s="76"/>
      <c r="Z54" s="76"/>
      <c r="AA54" s="76"/>
      <c r="AB54" s="76"/>
      <c r="AC54" s="76"/>
      <c r="AD54" s="76"/>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37">
        <f>577+216</f>
        <v>793</v>
      </c>
      <c r="BH54" s="243"/>
      <c r="BI54" s="243">
        <f>576+220</f>
        <v>796</v>
      </c>
      <c r="BJ54" s="243">
        <f>634+238</f>
        <v>872</v>
      </c>
      <c r="BK54" s="243">
        <f>628+244</f>
        <v>872</v>
      </c>
      <c r="BL54" s="243">
        <f>646+230</f>
        <v>876</v>
      </c>
      <c r="BM54" s="243">
        <f>597+232</f>
        <v>829</v>
      </c>
      <c r="BN54" s="243">
        <f>655+246</f>
        <v>901</v>
      </c>
      <c r="BO54" s="243">
        <f>627+212</f>
        <v>839</v>
      </c>
      <c r="BP54" s="243">
        <f>656+234</f>
        <v>890</v>
      </c>
      <c r="BQ54" s="243">
        <f>626+220</f>
        <v>846</v>
      </c>
      <c r="BR54" s="243">
        <f>683+246</f>
        <v>929</v>
      </c>
      <c r="BS54" s="243">
        <v>874</v>
      </c>
      <c r="BT54" s="243">
        <v>905</v>
      </c>
      <c r="BU54" s="243">
        <v>858</v>
      </c>
      <c r="BV54" s="243">
        <f>849+374</f>
        <v>1223</v>
      </c>
      <c r="BW54" s="243">
        <f>770+353</f>
        <v>1123</v>
      </c>
      <c r="BX54" s="243">
        <v>879</v>
      </c>
      <c r="BY54" s="243">
        <f>795+342</f>
        <v>1137</v>
      </c>
      <c r="BZ54" s="243">
        <f>870+396</f>
        <v>1266</v>
      </c>
      <c r="CA54" s="243">
        <f>816+342</f>
        <v>1158</v>
      </c>
      <c r="CB54" s="243">
        <f>909+361</f>
        <v>1270</v>
      </c>
      <c r="CC54" s="243">
        <f>884+337</f>
        <v>1221</v>
      </c>
      <c r="CD54" s="243">
        <f>908+377</f>
        <v>1285</v>
      </c>
      <c r="CE54" s="243">
        <f>877+320</f>
        <v>1197</v>
      </c>
      <c r="CF54" s="243">
        <f>933+337</f>
        <v>1270</v>
      </c>
      <c r="CG54" s="243">
        <f>923+318</f>
        <v>1241</v>
      </c>
      <c r="CH54" s="243">
        <f>1023+365</f>
        <v>1388</v>
      </c>
      <c r="CI54" s="243">
        <f>966+330</f>
        <v>1296</v>
      </c>
      <c r="CJ54" s="243">
        <f>1005+341</f>
        <v>1346</v>
      </c>
      <c r="CK54" s="243">
        <f>976+320</f>
        <v>1296</v>
      </c>
      <c r="CL54" s="243">
        <f>1055+351</f>
        <v>1406</v>
      </c>
      <c r="CM54" s="243">
        <f>980+325</f>
        <v>1305</v>
      </c>
      <c r="CN54" s="243">
        <f>1029+206</f>
        <v>1235</v>
      </c>
      <c r="CO54" s="243">
        <f>1010+200</f>
        <v>1210</v>
      </c>
      <c r="CP54" s="243">
        <f>1076+195</f>
        <v>1271</v>
      </c>
      <c r="CQ54" s="243">
        <v>948</v>
      </c>
      <c r="CR54" s="243">
        <v>775</v>
      </c>
      <c r="CS54" s="243">
        <v>1000</v>
      </c>
      <c r="CT54" s="243">
        <v>1116</v>
      </c>
      <c r="CU54" s="243">
        <v>1118</v>
      </c>
      <c r="CV54" s="243">
        <v>1168</v>
      </c>
      <c r="CW54" s="243">
        <v>1144</v>
      </c>
      <c r="CX54" s="243">
        <v>1192</v>
      </c>
      <c r="CY54" s="243">
        <v>1146</v>
      </c>
      <c r="CZ54" s="243">
        <v>1156</v>
      </c>
      <c r="DA54" s="243">
        <v>1158</v>
      </c>
      <c r="DB54" s="243">
        <v>1109</v>
      </c>
      <c r="DC54" s="243">
        <v>1118</v>
      </c>
      <c r="DD54" s="243">
        <v>1222</v>
      </c>
      <c r="DE54" s="243">
        <v>1164</v>
      </c>
      <c r="DF54" s="243">
        <v>1167</v>
      </c>
      <c r="DG54" s="243">
        <v>1087</v>
      </c>
      <c r="DH54" s="243">
        <f>+DD54*1.01</f>
        <v>1234.22</v>
      </c>
      <c r="DI54" s="243">
        <f t="shared" ref="DI54:DI55" si="288">+DE54*1.01</f>
        <v>1175.6400000000001</v>
      </c>
      <c r="DJ54" s="243">
        <f t="shared" ref="DJ54:DJ55" si="289">+DF54*1.01</f>
        <v>1178.67</v>
      </c>
      <c r="DK54" s="243">
        <f t="shared" ref="DK54:DK55" si="290">+DG54*1.01</f>
        <v>1097.8700000000001</v>
      </c>
      <c r="DL54" s="243">
        <f t="shared" ref="DL54:DL55" si="291">+DH54*1.01</f>
        <v>1246.5622000000001</v>
      </c>
      <c r="DM54" s="243">
        <f t="shared" ref="DM54:DM55" si="292">+DI54*1.01</f>
        <v>1187.3964000000001</v>
      </c>
      <c r="DN54" s="243">
        <f t="shared" ref="DN54:DN55" si="293">+DJ54*1.01</f>
        <v>1190.4567000000002</v>
      </c>
      <c r="DP54" s="271"/>
      <c r="DQ54" s="271"/>
      <c r="DR54" s="271"/>
      <c r="DS54" s="271"/>
      <c r="DT54" s="271"/>
      <c r="DU54" s="271"/>
      <c r="DV54" s="271"/>
      <c r="DW54" s="235"/>
      <c r="DX54" s="235"/>
      <c r="DY54" s="235"/>
      <c r="DZ54" s="235"/>
      <c r="EA54" s="235"/>
      <c r="EB54" s="235"/>
      <c r="EC54" s="235"/>
      <c r="ED54" s="235"/>
      <c r="EE54" s="235"/>
      <c r="EF54" s="235"/>
      <c r="EG54" s="235"/>
      <c r="EH54" s="235"/>
      <c r="EI54" s="235"/>
      <c r="EJ54" s="235"/>
      <c r="EK54" s="235"/>
      <c r="EL54" s="235"/>
      <c r="EM54" s="235">
        <f t="shared" si="228"/>
        <v>3478</v>
      </c>
      <c r="EN54" s="235">
        <f t="shared" si="253"/>
        <v>3504</v>
      </c>
      <c r="EO54" s="235">
        <f t="shared" ref="EO54:EQ54" si="294">+EN54*1.01</f>
        <v>3539.04</v>
      </c>
      <c r="EP54" s="235">
        <f t="shared" si="294"/>
        <v>3574.4304000000002</v>
      </c>
      <c r="EQ54" s="235">
        <f t="shared" si="294"/>
        <v>3610.174704</v>
      </c>
      <c r="ER54" s="235"/>
      <c r="ES54" s="235">
        <f t="shared" ref="ES54:ES58" si="295">SUM(CI54:CL54)</f>
        <v>5344</v>
      </c>
      <c r="ET54" s="235">
        <f t="shared" ref="ET54:ET58" si="296">SUM(CM54:CP54)</f>
        <v>5021</v>
      </c>
      <c r="EU54" s="235">
        <f t="shared" ref="EU54:EU58" si="297">SUM(CQ54:CT54)</f>
        <v>3839</v>
      </c>
      <c r="EV54" s="235">
        <f t="shared" ref="EV54:EV58" si="298">SUM(CU54:CX54)</f>
        <v>4622</v>
      </c>
      <c r="EW54" s="235">
        <f t="shared" ref="EW54:EW55" si="299">SUM(CY54:DB54)</f>
        <v>4569</v>
      </c>
      <c r="EX54" s="235">
        <f t="shared" ref="EX54:EX55" si="300">+EW54*1.01</f>
        <v>4614.6899999999996</v>
      </c>
      <c r="EY54" s="235">
        <f t="shared" ref="EY54:EY55" si="301">+EX54*1.01</f>
        <v>4660.8368999999993</v>
      </c>
      <c r="EZ54" s="235">
        <f t="shared" ref="EZ54:EZ55" si="302">+EY54*1.01</f>
        <v>4707.4452689999989</v>
      </c>
      <c r="FA54" s="235">
        <f t="shared" ref="FA54:FA55" si="303">+EZ54*1.01</f>
        <v>4754.5197216899987</v>
      </c>
      <c r="FB54" s="235">
        <f t="shared" ref="FB54:FB55" si="304">+FA54*1.01</f>
        <v>4802.064918906899</v>
      </c>
      <c r="FC54" s="235">
        <f t="shared" ref="FC54:FC55" si="305">+FB54*1.01</f>
        <v>4850.0855680959685</v>
      </c>
      <c r="FD54" s="235">
        <f t="shared" ref="FD54:FD55" si="306">+FC54*1.01</f>
        <v>4898.5864237769283</v>
      </c>
      <c r="FE54" s="235">
        <f t="shared" ref="FE54:FE55" si="307">+FD54*1.01</f>
        <v>4947.5722880146977</v>
      </c>
      <c r="FF54" s="235">
        <f t="shared" ref="FF54:FF55" si="308">+FE54*1.01</f>
        <v>4997.048010894845</v>
      </c>
      <c r="FG54" s="235">
        <f t="shared" ref="FG54:FG55" si="309">+FF54*1.01</f>
        <v>5047.0184910037933</v>
      </c>
      <c r="FH54" s="235">
        <f t="shared" ref="FH54:FH55" si="310">+FG54*1.01</f>
        <v>5097.4886759138317</v>
      </c>
      <c r="FI54" s="235">
        <f t="shared" ref="FI54:FI55" si="311">+FH54*1.01</f>
        <v>5148.4635626729696</v>
      </c>
      <c r="FJ54" s="235">
        <f t="shared" ref="FJ54:FJ55" si="312">+FI54*1.01</f>
        <v>5199.9481982996995</v>
      </c>
      <c r="FM54"/>
    </row>
    <row r="55" spans="1:172" s="254" customFormat="1" ht="12.75" customHeight="1" x14ac:dyDescent="0.2">
      <c r="B55" t="s">
        <v>1538</v>
      </c>
      <c r="C55" s="243"/>
      <c r="D55" s="243"/>
      <c r="E55" s="243"/>
      <c r="F55" s="243"/>
      <c r="G55" s="243"/>
      <c r="H55" s="243"/>
      <c r="I55" s="243"/>
      <c r="J55" s="243"/>
      <c r="K55" s="243"/>
      <c r="L55" s="243"/>
      <c r="M55" s="243"/>
      <c r="N55" s="243"/>
      <c r="O55" s="243"/>
      <c r="P55" s="243"/>
      <c r="Q55" s="243"/>
      <c r="R55" s="243"/>
      <c r="S55" s="243"/>
      <c r="T55" s="243"/>
      <c r="U55" s="243"/>
      <c r="V55" s="76"/>
      <c r="W55" s="76"/>
      <c r="X55" s="76"/>
      <c r="Y55" s="76"/>
      <c r="Z55" s="76"/>
      <c r="AA55" s="76"/>
      <c r="AB55" s="76"/>
      <c r="AC55" s="76"/>
      <c r="AD55" s="76"/>
      <c r="AE55" s="243"/>
      <c r="AF55" s="243"/>
      <c r="AG55" s="243"/>
      <c r="AH55" s="243"/>
      <c r="AI55" s="243"/>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3"/>
      <c r="BF55" s="243"/>
      <c r="BG55" s="237" t="s">
        <v>1544</v>
      </c>
      <c r="BH55" s="243"/>
      <c r="BI55" s="243">
        <v>1622</v>
      </c>
      <c r="BJ55" s="243">
        <v>1694</v>
      </c>
      <c r="BK55" s="243">
        <v>1625</v>
      </c>
      <c r="BL55" s="243">
        <v>1640</v>
      </c>
      <c r="BM55" s="243">
        <v>1551</v>
      </c>
      <c r="BN55" s="243">
        <v>1667</v>
      </c>
      <c r="BO55" s="243">
        <v>1508</v>
      </c>
      <c r="BP55" s="243">
        <v>1588</v>
      </c>
      <c r="BQ55" s="243">
        <v>1534</v>
      </c>
      <c r="BR55" s="243">
        <v>1639</v>
      </c>
      <c r="BS55" s="243">
        <v>1508</v>
      </c>
      <c r="BT55" s="243">
        <v>1575</v>
      </c>
      <c r="BU55" s="243">
        <v>1521</v>
      </c>
      <c r="BV55" s="243">
        <v>1253</v>
      </c>
      <c r="BW55" s="243">
        <v>1133</v>
      </c>
      <c r="BX55" s="243">
        <v>1449</v>
      </c>
      <c r="BY55" s="243">
        <v>1083</v>
      </c>
      <c r="BZ55" s="243">
        <v>1147</v>
      </c>
      <c r="CA55" s="243">
        <v>1070</v>
      </c>
      <c r="CB55" s="243">
        <v>1127</v>
      </c>
      <c r="CC55" s="243">
        <v>1063</v>
      </c>
      <c r="CD55" s="243">
        <v>1102</v>
      </c>
      <c r="CE55" s="243">
        <v>1074</v>
      </c>
      <c r="CF55" s="243">
        <v>1114</v>
      </c>
      <c r="CG55" s="243">
        <v>1105</v>
      </c>
      <c r="CH55" s="243">
        <v>1170</v>
      </c>
      <c r="CI55" s="243">
        <v>1127</v>
      </c>
      <c r="CJ55" s="243">
        <v>1169</v>
      </c>
      <c r="CK55" s="243">
        <v>1080</v>
      </c>
      <c r="CL55" s="243">
        <v>1181</v>
      </c>
      <c r="CM55" s="243">
        <v>1089</v>
      </c>
      <c r="CN55" s="243">
        <v>1119</v>
      </c>
      <c r="CO55" s="243">
        <v>1101</v>
      </c>
      <c r="CP55" s="243">
        <v>1171</v>
      </c>
      <c r="CQ55" s="243">
        <v>1153</v>
      </c>
      <c r="CR55" s="243">
        <v>775</v>
      </c>
      <c r="CS55" s="243">
        <v>1152</v>
      </c>
      <c r="CT55" s="243">
        <v>1312</v>
      </c>
      <c r="CU55" s="243">
        <v>1254</v>
      </c>
      <c r="CV55" s="243">
        <v>1354</v>
      </c>
      <c r="CW55" s="243">
        <v>1261</v>
      </c>
      <c r="CX55" s="243">
        <v>1321</v>
      </c>
      <c r="CY55" s="243">
        <v>1288</v>
      </c>
      <c r="CZ55" s="243">
        <v>1294</v>
      </c>
      <c r="DA55" s="243">
        <v>1264</v>
      </c>
      <c r="DB55" s="243">
        <v>1275</v>
      </c>
      <c r="DC55" s="243">
        <v>1316</v>
      </c>
      <c r="DD55" s="243">
        <v>1372</v>
      </c>
      <c r="DE55" s="243">
        <v>1314</v>
      </c>
      <c r="DF55" s="243">
        <v>1364</v>
      </c>
      <c r="DG55" s="243">
        <v>1330</v>
      </c>
      <c r="DH55" s="243">
        <f t="shared" ref="DH55" si="313">+DD55*1.01</f>
        <v>1385.72</v>
      </c>
      <c r="DI55" s="243">
        <f t="shared" si="288"/>
        <v>1327.14</v>
      </c>
      <c r="DJ55" s="243">
        <f t="shared" si="289"/>
        <v>1377.64</v>
      </c>
      <c r="DK55" s="243">
        <f t="shared" si="290"/>
        <v>1343.3</v>
      </c>
      <c r="DL55" s="243">
        <f t="shared" si="291"/>
        <v>1399.5771999999999</v>
      </c>
      <c r="DM55" s="243">
        <f t="shared" si="292"/>
        <v>1340.4114000000002</v>
      </c>
      <c r="DN55" s="243">
        <f t="shared" si="293"/>
        <v>1391.4164000000001</v>
      </c>
      <c r="DP55" s="271"/>
      <c r="DQ55" s="271"/>
      <c r="DR55" s="271"/>
      <c r="DS55" s="271"/>
      <c r="DT55" s="271"/>
      <c r="DU55" s="271"/>
      <c r="DV55" s="271"/>
      <c r="DW55" s="235"/>
      <c r="DX55" s="235"/>
      <c r="DY55" s="235"/>
      <c r="DZ55" s="235"/>
      <c r="EA55" s="235"/>
      <c r="EB55" s="235"/>
      <c r="EC55" s="235"/>
      <c r="ED55" s="235"/>
      <c r="EE55" s="235"/>
      <c r="EF55" s="235"/>
      <c r="EG55" s="235"/>
      <c r="EH55" s="235"/>
      <c r="EI55" s="235"/>
      <c r="EJ55" s="235"/>
      <c r="EK55" s="235"/>
      <c r="EL55" s="235"/>
      <c r="EM55" s="235">
        <f t="shared" si="228"/>
        <v>6483</v>
      </c>
      <c r="EN55" s="235">
        <f t="shared" si="253"/>
        <v>6269</v>
      </c>
      <c r="EO55" s="235">
        <f t="shared" ref="EO55:EQ55" si="314">+EN55*1.01</f>
        <v>6331.6900000000005</v>
      </c>
      <c r="EP55" s="235">
        <f t="shared" si="314"/>
        <v>6395.0069000000003</v>
      </c>
      <c r="EQ55" s="235">
        <f t="shared" si="314"/>
        <v>6458.9569690000008</v>
      </c>
      <c r="ER55" s="235"/>
      <c r="ES55" s="235">
        <f t="shared" si="295"/>
        <v>4557</v>
      </c>
      <c r="ET55" s="235">
        <f t="shared" si="296"/>
        <v>4480</v>
      </c>
      <c r="EU55" s="235">
        <f t="shared" si="297"/>
        <v>4392</v>
      </c>
      <c r="EV55" s="235">
        <f t="shared" si="298"/>
        <v>5190</v>
      </c>
      <c r="EW55" s="235">
        <f t="shared" si="299"/>
        <v>5121</v>
      </c>
      <c r="EX55" s="235">
        <f t="shared" si="300"/>
        <v>5172.21</v>
      </c>
      <c r="EY55" s="235">
        <f t="shared" si="301"/>
        <v>5223.9321</v>
      </c>
      <c r="EZ55" s="235">
        <f t="shared" si="302"/>
        <v>5276.171421</v>
      </c>
      <c r="FA55" s="235">
        <f t="shared" si="303"/>
        <v>5328.9331352099998</v>
      </c>
      <c r="FB55" s="235">
        <f t="shared" si="304"/>
        <v>5382.2224665620997</v>
      </c>
      <c r="FC55" s="235">
        <f t="shared" si="305"/>
        <v>5436.0446912277212</v>
      </c>
      <c r="FD55" s="235">
        <f t="shared" si="306"/>
        <v>5490.4051381399986</v>
      </c>
      <c r="FE55" s="235">
        <f t="shared" si="307"/>
        <v>5545.3091895213984</v>
      </c>
      <c r="FF55" s="235">
        <f t="shared" si="308"/>
        <v>5600.7622814166125</v>
      </c>
      <c r="FG55" s="235">
        <f t="shared" si="309"/>
        <v>5656.7699042307786</v>
      </c>
      <c r="FH55" s="235">
        <f t="shared" si="310"/>
        <v>5713.3376032730866</v>
      </c>
      <c r="FI55" s="235">
        <f t="shared" si="311"/>
        <v>5770.4709793058173</v>
      </c>
      <c r="FJ55" s="235">
        <f t="shared" si="312"/>
        <v>5828.1756890988754</v>
      </c>
      <c r="FM55"/>
    </row>
    <row r="56" spans="1:172" s="254" customFormat="1" ht="12.75" customHeight="1" x14ac:dyDescent="0.2">
      <c r="B56" t="s">
        <v>1121</v>
      </c>
      <c r="C56" s="243">
        <f>G56/1.1</f>
        <v>210.90909090909088</v>
      </c>
      <c r="D56" s="243">
        <f>H56/0.95</f>
        <v>229.47368421052633</v>
      </c>
      <c r="E56" s="243">
        <f>I56/1.08</f>
        <v>241.66666666666666</v>
      </c>
      <c r="F56" s="243">
        <f>177+74</f>
        <v>251</v>
      </c>
      <c r="G56" s="243">
        <f>166+66</f>
        <v>232</v>
      </c>
      <c r="H56" s="243">
        <f>146+72</f>
        <v>218</v>
      </c>
      <c r="I56" s="243">
        <f>198+63</f>
        <v>261</v>
      </c>
      <c r="J56" s="243">
        <f>195+92</f>
        <v>287</v>
      </c>
      <c r="K56" s="243">
        <f>184+76</f>
        <v>260</v>
      </c>
      <c r="L56" s="243">
        <f>168+78</f>
        <v>246</v>
      </c>
      <c r="M56" s="243">
        <f>192+71</f>
        <v>263</v>
      </c>
      <c r="N56" s="243">
        <f>177+97</f>
        <v>274</v>
      </c>
      <c r="O56" s="243">
        <v>233</v>
      </c>
      <c r="P56" s="243">
        <v>252</v>
      </c>
      <c r="Q56" s="243">
        <v>254</v>
      </c>
      <c r="R56" s="243">
        <v>249</v>
      </c>
      <c r="S56" s="243">
        <v>263</v>
      </c>
      <c r="T56" s="243">
        <v>266</v>
      </c>
      <c r="U56" s="243">
        <v>293</v>
      </c>
      <c r="V56" s="76">
        <v>285</v>
      </c>
      <c r="W56" s="76">
        <v>318</v>
      </c>
      <c r="X56" s="76">
        <v>353</v>
      </c>
      <c r="Y56" s="76">
        <v>324</v>
      </c>
      <c r="Z56" s="76">
        <v>347</v>
      </c>
      <c r="AA56" s="76">
        <v>348</v>
      </c>
      <c r="AB56" s="76">
        <v>330</v>
      </c>
      <c r="AC56" s="76">
        <v>362</v>
      </c>
      <c r="AD56" s="76">
        <v>387</v>
      </c>
      <c r="AE56" s="243">
        <v>400</v>
      </c>
      <c r="AF56" s="243">
        <v>420</v>
      </c>
      <c r="AG56" s="243">
        <v>420</v>
      </c>
      <c r="AH56" s="243">
        <v>461</v>
      </c>
      <c r="AI56" s="243">
        <v>501</v>
      </c>
      <c r="AJ56" s="243">
        <v>474</v>
      </c>
      <c r="AK56" s="243">
        <v>462</v>
      </c>
      <c r="AL56" s="243">
        <v>473</v>
      </c>
      <c r="AM56" s="243">
        <v>504</v>
      </c>
      <c r="AN56" s="243">
        <v>522</v>
      </c>
      <c r="AO56" s="243">
        <v>505</v>
      </c>
      <c r="AP56" s="243">
        <v>542</v>
      </c>
      <c r="AQ56" s="243">
        <v>549</v>
      </c>
      <c r="AR56" s="243">
        <v>596</v>
      </c>
      <c r="AS56" s="243">
        <v>585</v>
      </c>
      <c r="AT56" s="243">
        <v>643</v>
      </c>
      <c r="AU56" s="243">
        <v>615</v>
      </c>
      <c r="AV56" s="243">
        <v>674</v>
      </c>
      <c r="AW56" s="243">
        <v>667</v>
      </c>
      <c r="AX56" s="243">
        <v>579</v>
      </c>
      <c r="AY56" s="243">
        <v>541</v>
      </c>
      <c r="AZ56" s="243">
        <v>610</v>
      </c>
      <c r="BA56" s="243">
        <v>634</v>
      </c>
      <c r="BB56" s="243">
        <v>655</v>
      </c>
      <c r="BC56" s="243">
        <v>597</v>
      </c>
      <c r="BD56" s="243">
        <v>616</v>
      </c>
      <c r="BE56" s="243">
        <v>613</v>
      </c>
      <c r="BF56" s="243">
        <v>644</v>
      </c>
      <c r="BG56" s="243">
        <v>637</v>
      </c>
      <c r="BH56" s="243">
        <v>681</v>
      </c>
      <c r="BI56" s="243">
        <v>664</v>
      </c>
      <c r="BJ56" s="243">
        <v>670</v>
      </c>
      <c r="BK56" s="243">
        <v>670</v>
      </c>
      <c r="BL56" s="243">
        <v>673</v>
      </c>
      <c r="BM56" s="243">
        <v>629</v>
      </c>
      <c r="BN56" s="243">
        <v>644</v>
      </c>
      <c r="BO56" s="243">
        <v>600</v>
      </c>
      <c r="BP56" s="243">
        <v>589</v>
      </c>
      <c r="BQ56" s="243">
        <v>557</v>
      </c>
      <c r="BR56" s="243">
        <v>563</v>
      </c>
      <c r="BS56" s="243">
        <v>512</v>
      </c>
      <c r="BT56" s="243">
        <v>558</v>
      </c>
      <c r="BU56" s="243">
        <v>558</v>
      </c>
      <c r="BV56" s="243">
        <v>514</v>
      </c>
      <c r="BW56" s="243">
        <v>484</v>
      </c>
      <c r="BX56" s="243">
        <v>494</v>
      </c>
      <c r="BY56" s="243">
        <v>470</v>
      </c>
      <c r="BZ56" s="243">
        <v>480</v>
      </c>
      <c r="CA56" s="243">
        <v>429</v>
      </c>
      <c r="CB56" s="243">
        <v>471</v>
      </c>
      <c r="CC56" s="243">
        <v>427</v>
      </c>
      <c r="CD56" s="243">
        <v>462</v>
      </c>
      <c r="CE56" s="243">
        <v>399</v>
      </c>
      <c r="CF56" s="243">
        <v>421</v>
      </c>
      <c r="CG56" s="243">
        <v>405</v>
      </c>
      <c r="CH56" s="243">
        <v>390</v>
      </c>
      <c r="CI56" s="243">
        <v>339</v>
      </c>
      <c r="CJ56" s="243">
        <v>355</v>
      </c>
      <c r="CK56" s="243">
        <v>315</v>
      </c>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+DX56/1.15</f>
        <v>811.34734068372518</v>
      </c>
      <c r="DX56" s="235">
        <f>SUM(C56:F56)</f>
        <v>933.04944178628386</v>
      </c>
      <c r="DY56" s="235">
        <f>SUM(G56:J56)</f>
        <v>998</v>
      </c>
      <c r="DZ56" s="235">
        <f>SUM(K56:N56)</f>
        <v>1043</v>
      </c>
      <c r="EA56" s="235">
        <f t="shared" si="246"/>
        <v>988</v>
      </c>
      <c r="EB56" s="235">
        <f t="shared" si="247"/>
        <v>1107</v>
      </c>
      <c r="EC56" s="235">
        <f t="shared" si="248"/>
        <v>1342</v>
      </c>
      <c r="ED56" s="235">
        <f t="shared" si="249"/>
        <v>1427</v>
      </c>
      <c r="EE56" s="235">
        <f t="shared" si="250"/>
        <v>1701</v>
      </c>
      <c r="EF56" s="235">
        <f t="shared" si="251"/>
        <v>1910</v>
      </c>
      <c r="EG56" s="235">
        <f t="shared" si="223"/>
        <v>2073</v>
      </c>
      <c r="EH56" s="235">
        <f t="shared" si="224"/>
        <v>2373</v>
      </c>
      <c r="EI56" s="235">
        <f t="shared" si="225"/>
        <v>2535</v>
      </c>
      <c r="EJ56" s="235">
        <f t="shared" si="226"/>
        <v>2440</v>
      </c>
      <c r="EK56" s="235">
        <f t="shared" si="227"/>
        <v>2470</v>
      </c>
      <c r="EL56" s="235">
        <f t="shared" si="252"/>
        <v>2652</v>
      </c>
      <c r="EM56" s="235">
        <f t="shared" si="228"/>
        <v>2616</v>
      </c>
      <c r="EN56" s="235">
        <f t="shared" si="253"/>
        <v>2309</v>
      </c>
      <c r="EO56" s="235">
        <f>+EN56*0.995</f>
        <v>2297.4549999999999</v>
      </c>
      <c r="EP56" s="235">
        <f t="shared" ref="EP56:EQ56" si="315">+EO56*0.995</f>
        <v>2285.967725</v>
      </c>
      <c r="EQ56" s="235">
        <f t="shared" si="315"/>
        <v>2274.5378863749997</v>
      </c>
      <c r="ER56" s="235"/>
      <c r="ES56" s="235">
        <f t="shared" si="295"/>
        <v>1009</v>
      </c>
      <c r="ET56" s="235"/>
      <c r="EU56" s="235"/>
      <c r="EV56" s="235"/>
      <c r="EW56" s="235"/>
      <c r="EX56" s="235"/>
      <c r="EY56" s="235"/>
      <c r="EZ56" s="235"/>
      <c r="FA56" s="235"/>
      <c r="FB56" s="235"/>
      <c r="FC56" s="235"/>
      <c r="FD56" s="235"/>
      <c r="FE56" s="235"/>
      <c r="FF56" s="235"/>
      <c r="FG56" s="235"/>
      <c r="FH56" s="235"/>
      <c r="FI56" s="235"/>
      <c r="FJ56" s="235"/>
      <c r="FM56"/>
    </row>
    <row r="57" spans="1:172" s="254" customFormat="1" ht="12.75" customHeight="1" x14ac:dyDescent="0.2">
      <c r="B57" t="s">
        <v>1127</v>
      </c>
      <c r="C57" s="243">
        <f>G57/0.94</f>
        <v>255.31914893617022</v>
      </c>
      <c r="D57" s="243">
        <f>H57/0.92</f>
        <v>259.78260869565219</v>
      </c>
      <c r="E57" s="243">
        <f>I57/0.94</f>
        <v>238.29787234042556</v>
      </c>
      <c r="F57" s="243">
        <f>141+141</f>
        <v>282</v>
      </c>
      <c r="G57" s="243">
        <f>120+120</f>
        <v>240</v>
      </c>
      <c r="H57" s="243">
        <f>116+123</f>
        <v>239</v>
      </c>
      <c r="I57" s="243">
        <f>109+115</f>
        <v>224</v>
      </c>
      <c r="J57" s="243">
        <f>141+144</f>
        <v>285</v>
      </c>
      <c r="K57" s="243">
        <f>114+120</f>
        <v>234</v>
      </c>
      <c r="L57" s="243">
        <f>121+118</f>
        <v>239</v>
      </c>
      <c r="M57" s="243">
        <f>108+118</f>
        <v>226</v>
      </c>
      <c r="N57" s="243">
        <f>114+127</f>
        <v>241</v>
      </c>
      <c r="O57" s="243">
        <v>249</v>
      </c>
      <c r="P57" s="243">
        <v>250</v>
      </c>
      <c r="Q57" s="243">
        <v>238</v>
      </c>
      <c r="R57" s="243">
        <v>241</v>
      </c>
      <c r="S57" s="243">
        <v>263</v>
      </c>
      <c r="T57" s="243">
        <v>254</v>
      </c>
      <c r="U57" s="243">
        <v>254</v>
      </c>
      <c r="V57" s="76">
        <v>252</v>
      </c>
      <c r="W57" s="76">
        <v>269</v>
      </c>
      <c r="X57" s="76">
        <v>269</v>
      </c>
      <c r="Y57" s="76">
        <v>274</v>
      </c>
      <c r="Z57" s="76">
        <v>282</v>
      </c>
      <c r="AA57" s="76">
        <v>286</v>
      </c>
      <c r="AB57" s="76">
        <v>294</v>
      </c>
      <c r="AC57" s="76">
        <v>287</v>
      </c>
      <c r="AD57" s="76">
        <v>309</v>
      </c>
      <c r="AE57" s="243">
        <v>303</v>
      </c>
      <c r="AF57" s="243">
        <v>317</v>
      </c>
      <c r="AG57" s="243">
        <v>309</v>
      </c>
      <c r="AH57" s="243">
        <v>344</v>
      </c>
      <c r="AI57" s="243">
        <v>355</v>
      </c>
      <c r="AJ57" s="243">
        <v>366</v>
      </c>
      <c r="AK57" s="243">
        <v>343</v>
      </c>
      <c r="AL57" s="243">
        <v>344</v>
      </c>
      <c r="AM57" s="243">
        <v>370</v>
      </c>
      <c r="AN57" s="243">
        <v>368</v>
      </c>
      <c r="AO57" s="243">
        <v>360</v>
      </c>
      <c r="AP57" s="243">
        <v>390</v>
      </c>
      <c r="AQ57" s="243">
        <v>393</v>
      </c>
      <c r="AR57" s="243">
        <v>406</v>
      </c>
      <c r="AS57" s="243">
        <v>404</v>
      </c>
      <c r="AT57" s="243">
        <v>456</v>
      </c>
      <c r="AU57" s="243">
        <v>443</v>
      </c>
      <c r="AV57" s="243">
        <v>476</v>
      </c>
      <c r="AW57" s="243">
        <v>470</v>
      </c>
      <c r="AX57" s="243">
        <v>452</v>
      </c>
      <c r="AY57" s="243">
        <v>467</v>
      </c>
      <c r="AZ57" s="243">
        <v>494</v>
      </c>
      <c r="BA57" s="243">
        <v>501</v>
      </c>
      <c r="BB57" s="243">
        <v>501</v>
      </c>
      <c r="BC57" s="243">
        <v>525</v>
      </c>
      <c r="BD57" s="243">
        <v>494</v>
      </c>
      <c r="BE57" s="243">
        <v>498</v>
      </c>
      <c r="BF57" s="243">
        <v>536</v>
      </c>
      <c r="BG57" s="243">
        <v>521</v>
      </c>
      <c r="BH57" s="243">
        <v>550</v>
      </c>
      <c r="BI57" s="243">
        <v>539</v>
      </c>
      <c r="BJ57" s="243">
        <v>554</v>
      </c>
      <c r="BK57" s="243">
        <v>512</v>
      </c>
      <c r="BL57" s="243">
        <v>514</v>
      </c>
      <c r="BM57" s="243">
        <v>513</v>
      </c>
      <c r="BN57" s="243">
        <v>530</v>
      </c>
      <c r="BO57" s="243">
        <v>477</v>
      </c>
      <c r="BP57" s="243">
        <v>483</v>
      </c>
      <c r="BQ57" s="243">
        <v>459</v>
      </c>
      <c r="BR57" s="243">
        <v>466</v>
      </c>
      <c r="BS57" s="243">
        <v>443</v>
      </c>
      <c r="BT57" s="243">
        <v>461</v>
      </c>
      <c r="BU57" s="243">
        <v>44</v>
      </c>
      <c r="BV57" s="243">
        <v>14</v>
      </c>
      <c r="BW57" s="243">
        <v>30</v>
      </c>
      <c r="BX57" s="243">
        <v>16</v>
      </c>
      <c r="BY57" s="243">
        <v>16</v>
      </c>
      <c r="BZ57" s="243">
        <v>24</v>
      </c>
      <c r="CA57" s="243">
        <v>28</v>
      </c>
      <c r="CB57" s="243">
        <v>31</v>
      </c>
      <c r="CC57" s="243">
        <v>7</v>
      </c>
      <c r="CD57" s="243"/>
      <c r="CE57" s="243">
        <v>1</v>
      </c>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P57" s="271"/>
      <c r="DQ57" s="271"/>
      <c r="DR57" s="271"/>
      <c r="DS57" s="271"/>
      <c r="DT57" s="271"/>
      <c r="DU57" s="271"/>
      <c r="DV57" s="271"/>
      <c r="DW57" s="235">
        <f>+DX57/0.96</f>
        <v>1083.3333333333335</v>
      </c>
      <c r="DX57" s="235">
        <v>1040</v>
      </c>
      <c r="DY57" s="235">
        <f>SUM(G57:J57)</f>
        <v>988</v>
      </c>
      <c r="DZ57" s="235">
        <f>SUM(K57:N57)</f>
        <v>940</v>
      </c>
      <c r="EA57" s="235">
        <f t="shared" si="246"/>
        <v>978</v>
      </c>
      <c r="EB57" s="235">
        <f t="shared" si="247"/>
        <v>1023</v>
      </c>
      <c r="EC57" s="235">
        <f t="shared" si="248"/>
        <v>1094</v>
      </c>
      <c r="ED57" s="235">
        <f t="shared" si="249"/>
        <v>1176</v>
      </c>
      <c r="EE57" s="235">
        <f t="shared" si="250"/>
        <v>1273</v>
      </c>
      <c r="EF57" s="235">
        <f t="shared" si="251"/>
        <v>1408</v>
      </c>
      <c r="EG57" s="235">
        <f t="shared" si="223"/>
        <v>1488</v>
      </c>
      <c r="EH57" s="235">
        <f t="shared" si="224"/>
        <v>1659</v>
      </c>
      <c r="EI57" s="235">
        <f t="shared" si="225"/>
        <v>1841</v>
      </c>
      <c r="EJ57" s="235">
        <f t="shared" si="226"/>
        <v>1963</v>
      </c>
      <c r="EK57" s="235">
        <f t="shared" si="227"/>
        <v>2053</v>
      </c>
      <c r="EL57" s="235">
        <f t="shared" si="252"/>
        <v>2164</v>
      </c>
      <c r="EM57" s="235">
        <f t="shared" si="228"/>
        <v>2069</v>
      </c>
      <c r="EN57" s="235">
        <f t="shared" si="253"/>
        <v>1885</v>
      </c>
      <c r="EO57" s="235">
        <f>+EN57*0.995</f>
        <v>1875.575</v>
      </c>
      <c r="EP57" s="235">
        <f t="shared" ref="EP57:EQ57" si="316">+EO57*0.995</f>
        <v>1866.1971250000001</v>
      </c>
      <c r="EQ57" s="235">
        <f t="shared" si="316"/>
        <v>1856.8661393750001</v>
      </c>
      <c r="ER57" s="235"/>
      <c r="ES57" s="235">
        <f t="shared" si="295"/>
        <v>0</v>
      </c>
      <c r="ET57" s="235"/>
      <c r="EU57" s="235"/>
      <c r="EV57" s="235"/>
      <c r="EW57" s="235"/>
      <c r="EX57" s="235"/>
      <c r="EY57" s="235"/>
      <c r="EZ57" s="235"/>
      <c r="FA57" s="235"/>
      <c r="FB57" s="235"/>
      <c r="FC57" s="235"/>
      <c r="FD57" s="235"/>
      <c r="FE57" s="235"/>
      <c r="FF57" s="235"/>
      <c r="FG57" s="235"/>
      <c r="FH57" s="235"/>
      <c r="FI57" s="235"/>
      <c r="FJ57" s="235"/>
      <c r="FM57"/>
    </row>
    <row r="58" spans="1:172" ht="12.75" customHeight="1" x14ac:dyDescent="0.2">
      <c r="B58" t="s">
        <v>335</v>
      </c>
      <c r="C58" s="243">
        <f>G58/1.03</f>
        <v>200.97087378640776</v>
      </c>
      <c r="D58" s="243">
        <f>H58/1</f>
        <v>210</v>
      </c>
      <c r="E58" s="243">
        <f>H58/0.95</f>
        <v>221.05263157894737</v>
      </c>
      <c r="F58" s="243">
        <f>99+107</f>
        <v>206</v>
      </c>
      <c r="G58" s="243">
        <f>100+107</f>
        <v>207</v>
      </c>
      <c r="H58" s="243">
        <f>94+116</f>
        <v>210</v>
      </c>
      <c r="I58" s="243">
        <f>95+122</f>
        <v>217</v>
      </c>
      <c r="J58" s="243">
        <f>92+128</f>
        <v>220</v>
      </c>
      <c r="K58" s="243">
        <v>221</v>
      </c>
      <c r="L58" s="243">
        <v>234</v>
      </c>
      <c r="M58" s="243">
        <v>249</v>
      </c>
      <c r="N58" s="243">
        <v>233</v>
      </c>
      <c r="O58" s="243">
        <v>242</v>
      </c>
      <c r="P58" s="243">
        <v>255</v>
      </c>
      <c r="Q58" s="243">
        <v>274</v>
      </c>
      <c r="R58" s="243">
        <v>260</v>
      </c>
      <c r="S58" s="243">
        <v>264</v>
      </c>
      <c r="T58" s="243">
        <v>265</v>
      </c>
      <c r="U58" s="243">
        <v>282</v>
      </c>
      <c r="V58" s="76">
        <v>252</v>
      </c>
      <c r="W58" s="76">
        <v>270</v>
      </c>
      <c r="X58" s="76">
        <v>288</v>
      </c>
      <c r="Y58" s="76">
        <v>312</v>
      </c>
      <c r="Z58" s="76">
        <v>298</v>
      </c>
      <c r="AA58" s="76">
        <v>300</v>
      </c>
      <c r="AB58" s="76">
        <v>317</v>
      </c>
      <c r="AC58" s="76">
        <v>342</v>
      </c>
      <c r="AD58" s="76">
        <v>339</v>
      </c>
      <c r="AE58" s="243">
        <v>354</v>
      </c>
      <c r="AF58" s="243">
        <v>377</v>
      </c>
      <c r="AG58" s="243">
        <v>392</v>
      </c>
      <c r="AH58" s="243">
        <v>407</v>
      </c>
      <c r="AI58" s="243">
        <v>407</v>
      </c>
      <c r="AJ58" s="243">
        <v>426</v>
      </c>
      <c r="AK58" s="243">
        <v>443</v>
      </c>
      <c r="AL58" s="243">
        <v>418</v>
      </c>
      <c r="AM58" s="243">
        <v>441</v>
      </c>
      <c r="AN58" s="243">
        <v>474</v>
      </c>
      <c r="AO58" s="243">
        <v>493</v>
      </c>
      <c r="AP58" s="243">
        <v>471</v>
      </c>
      <c r="AQ58" s="243">
        <v>513</v>
      </c>
      <c r="AR58" s="243">
        <v>553</v>
      </c>
      <c r="AS58" s="243">
        <v>577</v>
      </c>
      <c r="AT58" s="243">
        <v>566</v>
      </c>
      <c r="AU58" s="243">
        <v>607</v>
      </c>
      <c r="AV58" s="243">
        <v>639</v>
      </c>
      <c r="AW58" s="243">
        <v>652</v>
      </c>
      <c r="AX58" s="243">
        <v>602</v>
      </c>
      <c r="AY58" s="243">
        <v>599</v>
      </c>
      <c r="AZ58" s="243">
        <v>630</v>
      </c>
      <c r="BA58" s="243">
        <v>659</v>
      </c>
      <c r="BB58" s="243">
        <v>618</v>
      </c>
      <c r="BC58" s="243">
        <v>664</v>
      </c>
      <c r="BD58" s="243">
        <v>662</v>
      </c>
      <c r="BE58" s="243">
        <v>695</v>
      </c>
      <c r="BF58" s="243">
        <v>659</v>
      </c>
      <c r="BG58" s="243">
        <v>722</v>
      </c>
      <c r="BH58" s="243">
        <v>732</v>
      </c>
      <c r="BI58" s="243">
        <v>752</v>
      </c>
      <c r="BJ58" s="243">
        <v>710</v>
      </c>
      <c r="BK58" s="243">
        <v>757</v>
      </c>
      <c r="BL58" s="243">
        <v>730</v>
      </c>
      <c r="BM58" s="243">
        <v>764</v>
      </c>
      <c r="BN58" s="243">
        <v>745</v>
      </c>
      <c r="BO58" s="243">
        <v>740</v>
      </c>
      <c r="BP58" s="243">
        <v>730</v>
      </c>
      <c r="BQ58" s="243">
        <v>748</v>
      </c>
      <c r="BR58" s="243">
        <v>719</v>
      </c>
      <c r="BS58" s="243">
        <v>761</v>
      </c>
      <c r="BT58" s="243">
        <v>707</v>
      </c>
      <c r="BU58" s="243">
        <v>704</v>
      </c>
      <c r="BV58" s="243">
        <v>646</v>
      </c>
      <c r="BW58" s="243">
        <v>631</v>
      </c>
      <c r="BX58" s="243">
        <v>646</v>
      </c>
      <c r="BY58" s="243">
        <v>683</v>
      </c>
      <c r="BZ58" s="243">
        <v>648</v>
      </c>
      <c r="CA58" s="243">
        <v>640</v>
      </c>
      <c r="CB58" s="243">
        <v>685</v>
      </c>
      <c r="CC58" s="243">
        <v>739</v>
      </c>
      <c r="CD58" s="243">
        <v>721</v>
      </c>
      <c r="CE58" s="243">
        <v>798</v>
      </c>
      <c r="CF58" s="243">
        <v>1055</v>
      </c>
      <c r="CG58" s="243">
        <v>1091</v>
      </c>
      <c r="CH58" s="243">
        <f>800+319</f>
        <v>1119</v>
      </c>
      <c r="CI58" s="243">
        <v>1115</v>
      </c>
      <c r="CJ58" s="243">
        <v>1173</v>
      </c>
      <c r="CK58" s="243">
        <v>1132</v>
      </c>
      <c r="CL58" s="243">
        <v>1133</v>
      </c>
      <c r="CM58" s="243">
        <v>1129</v>
      </c>
      <c r="CN58" s="243">
        <v>1161</v>
      </c>
      <c r="CO58" s="243">
        <v>1193</v>
      </c>
      <c r="CP58" s="243">
        <v>1141</v>
      </c>
      <c r="CQ58" s="243">
        <v>1067</v>
      </c>
      <c r="CR58" s="243">
        <v>695</v>
      </c>
      <c r="CS58" s="243">
        <v>1081</v>
      </c>
      <c r="CT58" s="243">
        <v>1076</v>
      </c>
      <c r="CU58" s="243">
        <v>1145</v>
      </c>
      <c r="CV58" s="243">
        <v>1183</v>
      </c>
      <c r="CW58" s="243">
        <v>1189</v>
      </c>
      <c r="CX58" s="243">
        <v>1171</v>
      </c>
      <c r="CY58" s="243">
        <v>1257</v>
      </c>
      <c r="CZ58" s="243">
        <v>1241</v>
      </c>
      <c r="DA58" s="243">
        <v>1206</v>
      </c>
      <c r="DB58" s="243">
        <v>1145</v>
      </c>
      <c r="DC58" s="243">
        <v>1300</v>
      </c>
      <c r="DD58" s="243">
        <v>1308</v>
      </c>
      <c r="DE58" s="243">
        <v>1256</v>
      </c>
      <c r="DF58" s="243">
        <v>1208</v>
      </c>
      <c r="DG58" s="243">
        <v>1258</v>
      </c>
      <c r="DH58" s="243">
        <f t="shared" ref="DH58" si="317">+DD58*1.01</f>
        <v>1321.08</v>
      </c>
      <c r="DI58" s="243">
        <f t="shared" ref="DI58" si="318">+DE58*1.01</f>
        <v>1268.56</v>
      </c>
      <c r="DJ58" s="243">
        <f t="shared" ref="DJ58" si="319">+DF58*1.01</f>
        <v>1220.08</v>
      </c>
      <c r="DK58" s="243">
        <f t="shared" ref="DK58" si="320">+DG58*1.01</f>
        <v>1270.58</v>
      </c>
      <c r="DL58" s="243">
        <f t="shared" ref="DL58" si="321">+DH58*1.01</f>
        <v>1334.2908</v>
      </c>
      <c r="DM58" s="243">
        <f t="shared" ref="DM58" si="322">+DI58*1.01</f>
        <v>1281.2456</v>
      </c>
      <c r="DN58" s="243">
        <f t="shared" ref="DN58" si="323">+DJ58*1.01</f>
        <v>1232.2808</v>
      </c>
      <c r="DP58" s="271"/>
      <c r="DQ58" s="271"/>
      <c r="DR58" s="271"/>
      <c r="DS58" s="271"/>
      <c r="DT58" s="271"/>
      <c r="DU58" s="271"/>
      <c r="DV58" s="271"/>
      <c r="DW58" s="235">
        <f>+DX58/1.17</f>
        <v>723.07692307692309</v>
      </c>
      <c r="DX58" s="235">
        <f>427+419</f>
        <v>846</v>
      </c>
      <c r="DY58" s="235">
        <f>SUM(G58:J58)</f>
        <v>854</v>
      </c>
      <c r="DZ58" s="235">
        <v>953</v>
      </c>
      <c r="EA58" s="235">
        <f t="shared" si="246"/>
        <v>1031</v>
      </c>
      <c r="EB58" s="235">
        <f t="shared" si="247"/>
        <v>1063</v>
      </c>
      <c r="EC58" s="235">
        <f t="shared" si="248"/>
        <v>1168</v>
      </c>
      <c r="ED58" s="235">
        <f t="shared" si="249"/>
        <v>1298</v>
      </c>
      <c r="EE58" s="235">
        <f t="shared" si="250"/>
        <v>1530</v>
      </c>
      <c r="EF58" s="235">
        <f t="shared" si="251"/>
        <v>1694</v>
      </c>
      <c r="EG58" s="235">
        <f t="shared" si="223"/>
        <v>1879</v>
      </c>
      <c r="EH58" s="235">
        <f t="shared" si="224"/>
        <v>2209</v>
      </c>
      <c r="EI58" s="235">
        <f t="shared" si="225"/>
        <v>2500</v>
      </c>
      <c r="EJ58" s="235">
        <f t="shared" si="226"/>
        <v>2506</v>
      </c>
      <c r="EK58" s="235">
        <f t="shared" si="227"/>
        <v>2680</v>
      </c>
      <c r="EL58" s="235">
        <f>SUM(BG58:BJ58)</f>
        <v>2916</v>
      </c>
      <c r="EM58" s="235">
        <f>SUM(BK58:BN58)</f>
        <v>2996</v>
      </c>
      <c r="EN58" s="235">
        <f t="shared" si="253"/>
        <v>2937</v>
      </c>
      <c r="EO58" s="235">
        <f>+EN58*0.995</f>
        <v>2922.3150000000001</v>
      </c>
      <c r="EP58" s="235">
        <f t="shared" ref="EP58:EY58" si="324">+EO58*0.995</f>
        <v>2907.7034250000002</v>
      </c>
      <c r="EQ58" s="235">
        <f t="shared" si="324"/>
        <v>2893.1649078750002</v>
      </c>
      <c r="ER58" s="235"/>
      <c r="ES58" s="235">
        <f t="shared" si="295"/>
        <v>4553</v>
      </c>
      <c r="ET58" s="235">
        <f t="shared" si="296"/>
        <v>4624</v>
      </c>
      <c r="EU58" s="235">
        <f t="shared" si="297"/>
        <v>3919</v>
      </c>
      <c r="EV58" s="235">
        <f t="shared" si="298"/>
        <v>4688</v>
      </c>
      <c r="EW58" s="235">
        <f>SUM(CY58:DB58)</f>
        <v>4849</v>
      </c>
      <c r="EX58" s="235">
        <f t="shared" si="324"/>
        <v>4824.7550000000001</v>
      </c>
      <c r="EY58" s="235">
        <f t="shared" si="324"/>
        <v>4800.6312250000001</v>
      </c>
      <c r="EZ58" s="235">
        <f t="shared" ref="EZ58" si="325">+EY58*0.995</f>
        <v>4776.6280688750003</v>
      </c>
      <c r="FA58" s="235">
        <f t="shared" ref="FA58" si="326">+EZ58*0.995</f>
        <v>4752.7449285306257</v>
      </c>
      <c r="FB58" s="235">
        <f t="shared" ref="FB58" si="327">+FA58*0.995</f>
        <v>4728.9812038879727</v>
      </c>
      <c r="FC58" s="235">
        <f t="shared" ref="FC58" si="328">+FB58*0.995</f>
        <v>4705.3362978685327</v>
      </c>
      <c r="FD58" s="235">
        <f t="shared" ref="FD58" si="329">+FC58*0.995</f>
        <v>4681.8096163791897</v>
      </c>
      <c r="FE58" s="235">
        <f t="shared" ref="FE58" si="330">+FD58*0.995</f>
        <v>4658.4005682972938</v>
      </c>
      <c r="FF58" s="235">
        <f t="shared" ref="FF58" si="331">+FE58*0.995</f>
        <v>4635.1085654558074</v>
      </c>
      <c r="FG58" s="235">
        <f t="shared" ref="FG58" si="332">+FF58*0.995</f>
        <v>4611.9330226285283</v>
      </c>
      <c r="FH58" s="235">
        <f t="shared" ref="FH58" si="333">+FG58*0.995</f>
        <v>4588.8733575153856</v>
      </c>
      <c r="FI58" s="235">
        <f t="shared" ref="FI58" si="334">+FH58*0.995</f>
        <v>4565.9289907278089</v>
      </c>
      <c r="FJ58" s="235">
        <f t="shared" ref="FJ58" si="335">+FI58*0.995</f>
        <v>4543.0993457741697</v>
      </c>
      <c r="FP58" s="3"/>
    </row>
    <row r="59" spans="1:172" ht="12.75" customHeight="1" x14ac:dyDescent="0.2">
      <c r="B59" t="s">
        <v>336</v>
      </c>
      <c r="C59" s="243"/>
      <c r="D59" s="243"/>
      <c r="E59" s="243"/>
      <c r="F59" s="243"/>
      <c r="G59" s="243"/>
      <c r="H59" s="243"/>
      <c r="I59" s="243"/>
      <c r="J59" s="243"/>
      <c r="K59" s="243">
        <v>161</v>
      </c>
      <c r="L59" s="243">
        <v>168</v>
      </c>
      <c r="M59" s="243">
        <v>161</v>
      </c>
      <c r="N59" s="243">
        <v>214</v>
      </c>
      <c r="O59" s="243">
        <v>153</v>
      </c>
      <c r="P59" s="243">
        <v>146</v>
      </c>
      <c r="Q59" s="243">
        <v>154</v>
      </c>
      <c r="R59" s="243">
        <v>144</v>
      </c>
      <c r="S59" s="243">
        <v>141</v>
      </c>
      <c r="T59" s="243">
        <v>131</v>
      </c>
      <c r="U59" s="243">
        <v>99</v>
      </c>
      <c r="V59" s="76">
        <v>18</v>
      </c>
      <c r="W59" s="76">
        <v>30</v>
      </c>
      <c r="X59" s="76">
        <v>33</v>
      </c>
      <c r="Y59" s="76">
        <v>35</v>
      </c>
      <c r="Z59" s="76">
        <v>26</v>
      </c>
      <c r="AA59" s="76">
        <v>19</v>
      </c>
      <c r="AB59" s="76">
        <v>19</v>
      </c>
      <c r="AC59" s="76">
        <v>17</v>
      </c>
      <c r="AD59" s="76">
        <v>18</v>
      </c>
      <c r="AE59" s="243">
        <f>4136-SUM(AE48:AE58)</f>
        <v>17</v>
      </c>
      <c r="AF59" s="243">
        <f>4057-SUM(AF48:AF58)</f>
        <v>14</v>
      </c>
      <c r="AG59" s="243">
        <f>4044-SUM(AG48:AG58)</f>
        <v>18</v>
      </c>
      <c r="AH59" s="243">
        <f>4650-SUM(AH48:AH58)</f>
        <v>16</v>
      </c>
      <c r="AI59" s="243">
        <f>4797-SUM(AI48:AI58)</f>
        <v>18</v>
      </c>
      <c r="AJ59" s="243">
        <f>4856-SUM(AJ48:AJ58)</f>
        <v>13</v>
      </c>
      <c r="AK59" s="243">
        <f>4622-SUM(AK48:AK58)</f>
        <v>15</v>
      </c>
      <c r="AL59" s="243">
        <f>4821-SUM(AL48:AL58)</f>
        <v>12</v>
      </c>
      <c r="AM59" s="243">
        <f>5011-SUM(AM48:AM58)</f>
        <v>14</v>
      </c>
      <c r="AN59" s="243">
        <f>5155-SUM(AN48:AN58)</f>
        <v>15</v>
      </c>
      <c r="AO59" s="243">
        <f>4950-SUM(AO48:AO58)</f>
        <v>16</v>
      </c>
      <c r="AP59" s="243">
        <f>5167-SUM(AP48:AP58)</f>
        <v>16</v>
      </c>
      <c r="AQ59" s="243">
        <f>5320-SUM(AQ48:AQ58)</f>
        <v>19</v>
      </c>
      <c r="AR59" s="243">
        <f>5418-SUM(AR48:AR58)</f>
        <v>18</v>
      </c>
      <c r="AS59" s="243">
        <f>5248-SUM(AS48:AS58)</f>
        <v>20</v>
      </c>
      <c r="AT59" s="243"/>
      <c r="AU59" s="243"/>
      <c r="AV59" s="243"/>
      <c r="AW59" s="243"/>
      <c r="AX59" s="243"/>
      <c r="AY59" s="243"/>
      <c r="AZ59" s="243"/>
      <c r="BA59" s="243"/>
      <c r="BB59" s="243"/>
      <c r="BC59" s="243"/>
      <c r="BD59" s="243"/>
      <c r="BE59" s="243"/>
      <c r="BF59" s="243"/>
      <c r="BG59" s="243"/>
      <c r="BH59" s="243"/>
      <c r="BI59" s="243"/>
      <c r="BJ59" s="243"/>
      <c r="BK59" s="243"/>
      <c r="BL59" s="243"/>
      <c r="BM59" s="243"/>
      <c r="BN59" s="243"/>
      <c r="BO59" s="243"/>
      <c r="BP59" s="243"/>
      <c r="BQ59" s="243"/>
      <c r="BR59" s="243"/>
      <c r="BS59" s="243"/>
      <c r="BT59" s="243"/>
      <c r="BU59" s="243"/>
      <c r="BV59" s="243"/>
      <c r="BW59" s="243"/>
      <c r="BX59" s="243"/>
      <c r="BY59" s="243"/>
      <c r="BZ59" s="243"/>
      <c r="CA59" s="243"/>
      <c r="CB59" s="243"/>
      <c r="CC59" s="243"/>
      <c r="CD59" s="243"/>
      <c r="CE59" s="243"/>
      <c r="CF59" s="243"/>
      <c r="CG59" s="243"/>
      <c r="CH59" s="243"/>
      <c r="CI59" s="243"/>
      <c r="CJ59" s="243"/>
      <c r="CK59" s="243"/>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71"/>
      <c r="DX59" s="271"/>
      <c r="DY59" s="235">
        <f>1011+77</f>
        <v>1088</v>
      </c>
      <c r="DZ59" s="235">
        <v>1071</v>
      </c>
      <c r="EA59" s="235">
        <f t="shared" si="246"/>
        <v>597</v>
      </c>
      <c r="EB59" s="235">
        <f t="shared" si="247"/>
        <v>389</v>
      </c>
      <c r="EC59" s="235">
        <f t="shared" si="248"/>
        <v>124</v>
      </c>
      <c r="ED59" s="235">
        <f t="shared" si="249"/>
        <v>73</v>
      </c>
      <c r="EE59" s="235">
        <f t="shared" si="250"/>
        <v>65</v>
      </c>
      <c r="EF59" s="235">
        <f t="shared" si="251"/>
        <v>58</v>
      </c>
      <c r="EG59" s="235">
        <f t="shared" si="223"/>
        <v>61</v>
      </c>
      <c r="EH59" s="235">
        <f t="shared" si="224"/>
        <v>57</v>
      </c>
      <c r="EI59" s="235"/>
      <c r="EJ59" s="235"/>
      <c r="EK59" s="235"/>
      <c r="EL59" s="235"/>
      <c r="EM59" s="235"/>
      <c r="EN59" s="235"/>
      <c r="EO59" s="235"/>
      <c r="EP59" s="235"/>
      <c r="EQ59" s="235"/>
      <c r="ER59" s="235"/>
      <c r="ES59" s="235"/>
      <c r="ET59" s="235"/>
      <c r="EU59" s="235"/>
      <c r="EV59" s="235"/>
      <c r="EW59" s="235"/>
      <c r="EX59" s="235"/>
      <c r="EY59" s="235"/>
      <c r="EZ59" s="235"/>
      <c r="FA59" s="235"/>
      <c r="FB59" s="235"/>
      <c r="FC59" s="235"/>
      <c r="FD59" s="235"/>
      <c r="FE59" s="235"/>
      <c r="FF59" s="235"/>
      <c r="FG59" s="235"/>
      <c r="FH59" s="235"/>
      <c r="FI59" s="235"/>
      <c r="FJ59" s="235"/>
    </row>
    <row r="60" spans="1:172" s="275" customFormat="1" ht="12.75" customHeight="1" x14ac:dyDescent="0.2">
      <c r="A60"/>
      <c r="B60" t="s">
        <v>232</v>
      </c>
      <c r="C60" s="243"/>
      <c r="D60" s="243"/>
      <c r="E60" s="243"/>
      <c r="F60" s="243"/>
      <c r="G60" s="243"/>
      <c r="H60" s="243"/>
      <c r="I60" s="243"/>
      <c r="J60" s="243"/>
      <c r="K60" s="243">
        <v>1728</v>
      </c>
      <c r="L60" s="243">
        <v>1687</v>
      </c>
      <c r="M60" s="243">
        <v>1704</v>
      </c>
      <c r="N60" s="243">
        <v>1744</v>
      </c>
      <c r="O60" s="243">
        <v>1752</v>
      </c>
      <c r="P60" s="243">
        <v>1707</v>
      </c>
      <c r="Q60" s="243">
        <v>1722</v>
      </c>
      <c r="R60" s="243">
        <v>1723</v>
      </c>
      <c r="S60" s="243">
        <v>1785</v>
      </c>
      <c r="T60" s="243">
        <v>1684</v>
      </c>
      <c r="U60" s="243">
        <v>1777</v>
      </c>
      <c r="V60" s="243">
        <v>1551</v>
      </c>
      <c r="W60" s="243">
        <v>1604</v>
      </c>
      <c r="X60" s="243">
        <v>1648</v>
      </c>
      <c r="Y60" s="243">
        <v>1661</v>
      </c>
      <c r="Z60" s="243">
        <v>1652</v>
      </c>
      <c r="AA60" s="243">
        <v>1791</v>
      </c>
      <c r="AB60" s="243">
        <v>1819</v>
      </c>
      <c r="AC60" s="243">
        <v>1841</v>
      </c>
      <c r="AD60" s="243">
        <v>1979</v>
      </c>
      <c r="AE60" s="243">
        <v>2047</v>
      </c>
      <c r="AF60" s="243">
        <v>2000</v>
      </c>
      <c r="AG60" s="243">
        <v>2024</v>
      </c>
      <c r="AH60" s="243">
        <v>2262</v>
      </c>
      <c r="AI60" s="243">
        <v>2280</v>
      </c>
      <c r="AJ60" s="243">
        <v>2278</v>
      </c>
      <c r="AK60" s="243">
        <v>2231</v>
      </c>
      <c r="AL60" s="243">
        <v>2307</v>
      </c>
      <c r="AM60" s="243">
        <v>2355</v>
      </c>
      <c r="AN60" s="243">
        <v>2398</v>
      </c>
      <c r="AO60" s="243">
        <v>2456</v>
      </c>
      <c r="AP60" s="243">
        <v>2565</v>
      </c>
      <c r="AQ60" s="243">
        <v>3496</v>
      </c>
      <c r="AR60" s="243">
        <v>3564</v>
      </c>
      <c r="AS60" s="243">
        <v>3623</v>
      </c>
      <c r="AT60" s="243">
        <v>3810</v>
      </c>
      <c r="AU60" s="243">
        <v>4064</v>
      </c>
      <c r="AV60" s="243">
        <v>4036</v>
      </c>
      <c r="AW60" s="243">
        <v>4099</v>
      </c>
      <c r="AX60" s="243">
        <v>3855</v>
      </c>
      <c r="AY60" s="243">
        <v>3711</v>
      </c>
      <c r="AZ60" s="243">
        <v>3854</v>
      </c>
      <c r="BA60" s="243">
        <v>3989</v>
      </c>
      <c r="BB60" s="243">
        <v>4249</v>
      </c>
      <c r="BC60" s="243">
        <v>3766</v>
      </c>
      <c r="BD60" s="243">
        <v>3647</v>
      </c>
      <c r="BE60" s="243">
        <v>3567</v>
      </c>
      <c r="BF60" s="243">
        <v>3610</v>
      </c>
      <c r="BG60" s="243">
        <v>3682</v>
      </c>
      <c r="BH60" s="243">
        <v>3793</v>
      </c>
      <c r="BI60" s="243">
        <v>3740</v>
      </c>
      <c r="BJ60" s="243">
        <v>3668</v>
      </c>
      <c r="BK60" s="243">
        <v>3595</v>
      </c>
      <c r="BL60" s="243">
        <v>3619</v>
      </c>
      <c r="BM60" s="243">
        <v>3581</v>
      </c>
      <c r="BN60" s="243">
        <v>3652</v>
      </c>
      <c r="BO60" s="243">
        <v>3675</v>
      </c>
      <c r="BP60" s="243">
        <v>3658</v>
      </c>
      <c r="BQ60" s="243">
        <v>3611</v>
      </c>
      <c r="BR60" s="243">
        <v>3753</v>
      </c>
      <c r="BS60" s="243">
        <v>3557</v>
      </c>
      <c r="BT60" s="243">
        <v>3744</v>
      </c>
      <c r="BU60" s="243">
        <v>3589</v>
      </c>
      <c r="BV60" s="243">
        <v>3606</v>
      </c>
      <c r="BW60" s="243">
        <v>3390</v>
      </c>
      <c r="BX60" s="243">
        <v>3483</v>
      </c>
      <c r="BY60" s="243">
        <v>3314</v>
      </c>
      <c r="BZ60" s="243">
        <v>3320</v>
      </c>
      <c r="CA60" s="243">
        <v>3195</v>
      </c>
      <c r="CB60" s="243">
        <v>3419</v>
      </c>
      <c r="CC60" s="243">
        <v>3261</v>
      </c>
      <c r="CD60" s="243">
        <v>3432</v>
      </c>
      <c r="CE60" s="243">
        <v>3228</v>
      </c>
      <c r="CF60" s="243">
        <v>3478</v>
      </c>
      <c r="CG60" s="243">
        <v>3356</v>
      </c>
      <c r="CH60" s="243">
        <v>3540</v>
      </c>
      <c r="CI60" s="243">
        <v>3398</v>
      </c>
      <c r="CJ60" s="243">
        <v>3504</v>
      </c>
      <c r="CK60" s="243">
        <v>3415</v>
      </c>
      <c r="CL60" s="243">
        <v>3536</v>
      </c>
      <c r="CM60" s="243">
        <v>3318</v>
      </c>
      <c r="CN60" s="243">
        <v>3544</v>
      </c>
      <c r="CO60" s="243">
        <v>3469</v>
      </c>
      <c r="CP60" s="243">
        <v>3567</v>
      </c>
      <c r="CQ60" s="243">
        <v>3625</v>
      </c>
      <c r="CR60" s="243">
        <v>3296</v>
      </c>
      <c r="CS60" s="243">
        <v>3514</v>
      </c>
      <c r="CT60" s="243">
        <v>3618</v>
      </c>
      <c r="CU60" s="243">
        <v>3641</v>
      </c>
      <c r="CV60" s="243">
        <v>3854</v>
      </c>
      <c r="CW60" s="243">
        <v>3700</v>
      </c>
      <c r="CX60" s="243">
        <v>3728</v>
      </c>
      <c r="CY60" s="243">
        <v>3586</v>
      </c>
      <c r="CZ60" s="243">
        <v>3805</v>
      </c>
      <c r="DA60" s="243">
        <v>3795</v>
      </c>
      <c r="DB60" s="243">
        <v>3767</v>
      </c>
      <c r="DC60" s="237" t="s">
        <v>1958</v>
      </c>
      <c r="DD60" s="243">
        <v>4011</v>
      </c>
      <c r="DE60" s="243"/>
      <c r="DF60" s="243"/>
      <c r="DG60" s="243"/>
      <c r="DH60" s="243"/>
      <c r="DI60" s="243"/>
      <c r="DJ60" s="243"/>
      <c r="DK60" s="243"/>
      <c r="DL60" s="243"/>
      <c r="DM60" s="243"/>
      <c r="DN60" s="243"/>
      <c r="DP60" s="276"/>
      <c r="DQ60" s="276"/>
      <c r="DR60" s="276"/>
      <c r="DS60" s="243">
        <v>4780</v>
      </c>
      <c r="DT60" s="243">
        <v>4824</v>
      </c>
      <c r="DU60" s="243">
        <v>5251</v>
      </c>
      <c r="DV60" s="243">
        <v>5831</v>
      </c>
      <c r="DW60" s="243">
        <v>6364</v>
      </c>
      <c r="DX60" s="243">
        <v>6498</v>
      </c>
      <c r="DY60" s="243">
        <v>6526</v>
      </c>
      <c r="DZ60" s="243">
        <v>6864</v>
      </c>
      <c r="EA60" s="243">
        <v>6904</v>
      </c>
      <c r="EB60" s="243">
        <v>6962</v>
      </c>
      <c r="EC60" s="243">
        <v>6563.9</v>
      </c>
      <c r="ED60" s="235">
        <f t="shared" si="249"/>
        <v>7430</v>
      </c>
      <c r="EE60" s="235">
        <f t="shared" si="250"/>
        <v>8333</v>
      </c>
      <c r="EF60" s="235">
        <f t="shared" si="251"/>
        <v>9096</v>
      </c>
      <c r="EG60" s="235">
        <f t="shared" si="223"/>
        <v>9774</v>
      </c>
      <c r="EH60" s="235">
        <f t="shared" si="224"/>
        <v>14493</v>
      </c>
      <c r="EI60" s="235">
        <f>SUM(AU60:AX60)</f>
        <v>16054</v>
      </c>
      <c r="EJ60" s="235">
        <f>SUM(AY60:BB60)</f>
        <v>15803</v>
      </c>
      <c r="EK60" s="243">
        <f>SUM(BC60:BF60)</f>
        <v>14590</v>
      </c>
      <c r="EL60" s="235">
        <f t="shared" si="252"/>
        <v>14883</v>
      </c>
      <c r="EM60" s="235">
        <f t="shared" si="228"/>
        <v>14447</v>
      </c>
      <c r="EN60" s="235">
        <f>SUM(BO60:BR60)</f>
        <v>14697</v>
      </c>
      <c r="EO60" s="243">
        <f t="shared" ref="EO60:EQ60" si="336">EN60*1.02</f>
        <v>14990.94</v>
      </c>
      <c r="EP60" s="243">
        <f t="shared" si="336"/>
        <v>15290.758800000001</v>
      </c>
      <c r="EQ60" s="243">
        <f t="shared" si="336"/>
        <v>15596.573976000001</v>
      </c>
      <c r="ER60" s="243"/>
      <c r="ES60" s="235">
        <f t="shared" ref="ES60:ES65" si="337">SUM(CI60:CL60)</f>
        <v>13853</v>
      </c>
      <c r="ET60" s="235">
        <f t="shared" ref="ET60:ET68" si="338">SUM(CM60:CP60)</f>
        <v>13898</v>
      </c>
      <c r="EU60" s="235">
        <f t="shared" ref="EU60:EU65" si="339">SUM(CQ60:CT60)</f>
        <v>14053</v>
      </c>
      <c r="EV60" s="235">
        <f>SUM(CU60:CX60)</f>
        <v>14923</v>
      </c>
      <c r="EW60" s="235">
        <f>SUM(CY60:DB60)</f>
        <v>14953</v>
      </c>
      <c r="EX60" s="243">
        <f t="shared" ref="EX60" si="340">EW60*1.02</f>
        <v>15252.06</v>
      </c>
      <c r="EY60" s="243">
        <f t="shared" ref="EY60" si="341">EX60*1.02</f>
        <v>15557.101199999999</v>
      </c>
      <c r="EZ60" s="243">
        <f>+EY60*1.03</f>
        <v>16023.814236</v>
      </c>
      <c r="FA60" s="243">
        <f t="shared" ref="FA60:FE60" si="342">+EZ60*1.03</f>
        <v>16504.52866308</v>
      </c>
      <c r="FB60" s="243">
        <f t="shared" si="342"/>
        <v>16999.664522972402</v>
      </c>
      <c r="FC60" s="243">
        <f t="shared" si="342"/>
        <v>17509.654458661575</v>
      </c>
      <c r="FD60" s="243">
        <f t="shared" si="342"/>
        <v>18034.944092421421</v>
      </c>
      <c r="FE60" s="243">
        <f t="shared" si="342"/>
        <v>18575.992415194065</v>
      </c>
      <c r="FF60" s="243">
        <f t="shared" ref="FF60" si="343">+FE60*1.03</f>
        <v>19133.272187649887</v>
      </c>
      <c r="FG60" s="243">
        <f t="shared" ref="FG60" si="344">+FF60*1.03</f>
        <v>19707.270353279386</v>
      </c>
      <c r="FH60" s="243">
        <f t="shared" ref="FH60" si="345">+FG60*1.03</f>
        <v>20298.488463877769</v>
      </c>
      <c r="FI60" s="243">
        <f t="shared" ref="FI60" si="346">+FH60*1.03</f>
        <v>20907.443117794104</v>
      </c>
      <c r="FJ60" s="243">
        <f t="shared" ref="FJ60" si="347">+FI60*1.03</f>
        <v>21534.666411327929</v>
      </c>
      <c r="FO60" s="277"/>
      <c r="FP60" s="277"/>
    </row>
    <row r="61" spans="1:172" s="279" customFormat="1" ht="12.75" customHeight="1" x14ac:dyDescent="0.2">
      <c r="A61" s="1"/>
      <c r="B61" s="1" t="s">
        <v>1368</v>
      </c>
      <c r="C61" s="239">
        <v>5715</v>
      </c>
      <c r="D61" s="239">
        <v>5698</v>
      </c>
      <c r="E61" s="239">
        <v>5586</v>
      </c>
      <c r="F61" s="239">
        <v>5630</v>
      </c>
      <c r="G61" s="239">
        <v>5783</v>
      </c>
      <c r="H61" s="239">
        <v>5783</v>
      </c>
      <c r="I61" s="239">
        <v>5724</v>
      </c>
      <c r="J61" s="239">
        <v>6367</v>
      </c>
      <c r="K61" s="239">
        <v>6638</v>
      </c>
      <c r="L61" s="239">
        <v>6854</v>
      </c>
      <c r="M61" s="239">
        <v>6749</v>
      </c>
      <c r="N61" s="239">
        <v>6877</v>
      </c>
      <c r="O61" s="239">
        <v>7319</v>
      </c>
      <c r="P61" s="239">
        <v>7508</v>
      </c>
      <c r="Q61" s="239">
        <v>7204</v>
      </c>
      <c r="R61" s="239">
        <v>7108</v>
      </c>
      <c r="S61" s="239">
        <v>7791</v>
      </c>
      <c r="T61" s="239">
        <v>8342</v>
      </c>
      <c r="U61" s="239">
        <v>8238</v>
      </c>
      <c r="V61" s="239">
        <v>8403</v>
      </c>
      <c r="W61" s="239">
        <v>8743</v>
      </c>
      <c r="X61" s="239">
        <v>9073</v>
      </c>
      <c r="Y61" s="239">
        <v>9079</v>
      </c>
      <c r="Z61" s="239">
        <v>9403</v>
      </c>
      <c r="AA61" s="239">
        <f t="shared" ref="AA61:BH61" si="348">SUM(AA3:AA60)</f>
        <v>9822</v>
      </c>
      <c r="AB61" s="239">
        <f t="shared" si="348"/>
        <v>10332</v>
      </c>
      <c r="AC61" s="239">
        <f t="shared" si="348"/>
        <v>10454</v>
      </c>
      <c r="AD61" s="239">
        <f t="shared" si="348"/>
        <v>11389</v>
      </c>
      <c r="AE61" s="239">
        <f t="shared" si="348"/>
        <v>11984</v>
      </c>
      <c r="AF61" s="239">
        <f t="shared" si="348"/>
        <v>11892</v>
      </c>
      <c r="AG61" s="239">
        <f t="shared" si="348"/>
        <v>11553</v>
      </c>
      <c r="AH61" s="239">
        <f t="shared" si="348"/>
        <v>12752</v>
      </c>
      <c r="AI61" s="239">
        <f t="shared" si="348"/>
        <v>12832</v>
      </c>
      <c r="AJ61" s="239">
        <f t="shared" si="348"/>
        <v>12762</v>
      </c>
      <c r="AK61" s="239">
        <f t="shared" si="348"/>
        <v>12310</v>
      </c>
      <c r="AL61" s="278">
        <f t="shared" si="348"/>
        <v>12610</v>
      </c>
      <c r="AM61" s="278">
        <f t="shared" si="348"/>
        <v>12992</v>
      </c>
      <c r="AN61" s="278">
        <f t="shared" si="348"/>
        <v>13363</v>
      </c>
      <c r="AO61" s="278">
        <f t="shared" si="348"/>
        <v>13287</v>
      </c>
      <c r="AP61" s="278">
        <f t="shared" si="348"/>
        <v>13682</v>
      </c>
      <c r="AQ61" s="278">
        <f t="shared" si="348"/>
        <v>15087</v>
      </c>
      <c r="AR61" s="278">
        <f t="shared" si="348"/>
        <v>15142</v>
      </c>
      <c r="AS61" s="278">
        <f t="shared" si="348"/>
        <v>15007</v>
      </c>
      <c r="AT61" s="278">
        <f t="shared" si="348"/>
        <v>15957</v>
      </c>
      <c r="AU61" s="278">
        <f t="shared" si="348"/>
        <v>16194</v>
      </c>
      <c r="AV61" s="278">
        <f t="shared" si="348"/>
        <v>16450</v>
      </c>
      <c r="AW61" s="278">
        <f t="shared" si="348"/>
        <v>15921</v>
      </c>
      <c r="AX61" s="278">
        <f t="shared" si="348"/>
        <v>15182</v>
      </c>
      <c r="AY61" s="278">
        <f t="shared" si="348"/>
        <v>15026</v>
      </c>
      <c r="AZ61" s="278">
        <f t="shared" si="348"/>
        <v>15239</v>
      </c>
      <c r="BA61" s="278">
        <f t="shared" si="348"/>
        <v>15081</v>
      </c>
      <c r="BB61" s="278">
        <f t="shared" si="348"/>
        <v>16551</v>
      </c>
      <c r="BC61" s="278">
        <f t="shared" si="348"/>
        <v>15631</v>
      </c>
      <c r="BD61" s="278">
        <f t="shared" si="348"/>
        <v>15389</v>
      </c>
      <c r="BE61" s="278">
        <f t="shared" si="348"/>
        <v>14982</v>
      </c>
      <c r="BF61" s="278">
        <f t="shared" si="348"/>
        <v>15644</v>
      </c>
      <c r="BG61" s="278">
        <f t="shared" si="348"/>
        <v>16966</v>
      </c>
      <c r="BH61" s="278">
        <f t="shared" si="348"/>
        <v>16597</v>
      </c>
      <c r="BI61" s="278">
        <f>SUM(BI3:BI51,BI54:BI60)</f>
        <v>16005</v>
      </c>
      <c r="BJ61" s="278">
        <f t="shared" ref="BJ61:CH61" si="349">SUM(BJ3:BJ60)</f>
        <v>18821</v>
      </c>
      <c r="BK61" s="278">
        <f t="shared" si="349"/>
        <v>16139</v>
      </c>
      <c r="BL61" s="278">
        <f t="shared" si="349"/>
        <v>16626</v>
      </c>
      <c r="BM61" s="278">
        <f t="shared" si="349"/>
        <v>17191</v>
      </c>
      <c r="BN61" s="278">
        <f t="shared" si="349"/>
        <v>17791</v>
      </c>
      <c r="BO61" s="278">
        <f t="shared" si="349"/>
        <v>17548</v>
      </c>
      <c r="BP61" s="278">
        <f t="shared" si="349"/>
        <v>17933</v>
      </c>
      <c r="BQ61" s="278">
        <f t="shared" si="349"/>
        <v>17639</v>
      </c>
      <c r="BR61" s="278">
        <f t="shared" si="349"/>
        <v>18451</v>
      </c>
      <c r="BS61" s="278">
        <f t="shared" si="349"/>
        <v>18219</v>
      </c>
      <c r="BT61" s="278">
        <f t="shared" si="349"/>
        <v>19495</v>
      </c>
      <c r="BU61" s="278">
        <f t="shared" si="349"/>
        <v>18467</v>
      </c>
      <c r="BV61" s="278">
        <f t="shared" si="349"/>
        <v>18254</v>
      </c>
      <c r="BW61" s="278">
        <f t="shared" si="349"/>
        <v>17374</v>
      </c>
      <c r="BX61" s="278">
        <f>SUM(BX3:BX60)</f>
        <v>17787</v>
      </c>
      <c r="BY61" s="278">
        <f>SUM(BY3:BY60)</f>
        <v>17102</v>
      </c>
      <c r="BZ61" s="278">
        <f>SUM(BZ3:BZ60)</f>
        <v>17811</v>
      </c>
      <c r="CA61" s="278">
        <f>SUM(CA3:CA60)</f>
        <v>17482</v>
      </c>
      <c r="CB61" s="278">
        <f t="shared" si="349"/>
        <v>18482</v>
      </c>
      <c r="CC61" s="278">
        <f t="shared" si="349"/>
        <v>17820</v>
      </c>
      <c r="CD61" s="278">
        <f t="shared" si="349"/>
        <v>18106</v>
      </c>
      <c r="CE61" s="278">
        <f t="shared" si="349"/>
        <v>17766</v>
      </c>
      <c r="CF61" s="278">
        <f t="shared" si="349"/>
        <v>18839</v>
      </c>
      <c r="CG61" s="278">
        <f t="shared" si="349"/>
        <v>19650</v>
      </c>
      <c r="CH61" s="278">
        <f t="shared" si="349"/>
        <v>20195</v>
      </c>
      <c r="CI61" s="278">
        <f t="shared" ref="CI61:DA61" si="350">SUM(CI3:CI60)</f>
        <v>20009</v>
      </c>
      <c r="CJ61" s="278">
        <f t="shared" si="350"/>
        <v>20830</v>
      </c>
      <c r="CK61" s="278">
        <f t="shared" si="350"/>
        <v>20348</v>
      </c>
      <c r="CL61" s="278">
        <f t="shared" si="350"/>
        <v>20394</v>
      </c>
      <c r="CM61" s="278">
        <f t="shared" si="350"/>
        <v>20021</v>
      </c>
      <c r="CN61" s="278">
        <f t="shared" si="350"/>
        <v>20564</v>
      </c>
      <c r="CO61" s="278">
        <f t="shared" si="350"/>
        <v>20728</v>
      </c>
      <c r="CP61" s="278">
        <f t="shared" si="350"/>
        <v>20744</v>
      </c>
      <c r="CQ61" s="278">
        <f t="shared" si="350"/>
        <v>20690</v>
      </c>
      <c r="CR61" s="278">
        <f t="shared" si="350"/>
        <v>18338</v>
      </c>
      <c r="CS61" s="278">
        <f t="shared" si="350"/>
        <v>21082</v>
      </c>
      <c r="CT61" s="278">
        <f t="shared" si="350"/>
        <v>22476</v>
      </c>
      <c r="CU61" s="278">
        <f t="shared" si="350"/>
        <v>22321</v>
      </c>
      <c r="CV61" s="278">
        <f t="shared" si="350"/>
        <v>23441</v>
      </c>
      <c r="CW61" s="278">
        <f t="shared" si="350"/>
        <v>23335</v>
      </c>
      <c r="CX61" s="278">
        <f t="shared" si="350"/>
        <v>24878</v>
      </c>
      <c r="CY61" s="278">
        <f t="shared" si="350"/>
        <v>23524</v>
      </c>
      <c r="CZ61" s="278">
        <f t="shared" si="350"/>
        <v>24129</v>
      </c>
      <c r="DA61" s="278">
        <f t="shared" si="350"/>
        <v>23947</v>
      </c>
      <c r="DB61" s="278">
        <f>SUM(DB3:DB60)+2</f>
        <v>23879</v>
      </c>
      <c r="DC61" s="278">
        <f>SUM(DC3:DC60)</f>
        <v>20894</v>
      </c>
      <c r="DD61" s="278">
        <f>SUM(DD3:DD60)</f>
        <v>25624</v>
      </c>
      <c r="DE61" s="278">
        <f>SUM(DE3:DE60)</f>
        <v>21461</v>
      </c>
      <c r="DF61" s="278">
        <f>SUM(DF3:DF60)</f>
        <v>21396</v>
      </c>
      <c r="DG61" s="278">
        <f>SUM(DG3:DG60)</f>
        <v>21382</v>
      </c>
      <c r="DH61" s="278">
        <f t="shared" ref="DH61:DN61" si="351">SUM(DH3:DH60)</f>
        <v>21624.300000000003</v>
      </c>
      <c r="DI61" s="278">
        <f t="shared" si="351"/>
        <v>21647.66</v>
      </c>
      <c r="DJ61" s="278">
        <f t="shared" si="351"/>
        <v>21949.589</v>
      </c>
      <c r="DK61" s="278">
        <f t="shared" si="351"/>
        <v>21852.974099999999</v>
      </c>
      <c r="DL61" s="278">
        <f t="shared" si="351"/>
        <v>22200.307489999999</v>
      </c>
      <c r="DM61" s="278">
        <f t="shared" si="351"/>
        <v>22285.055220999999</v>
      </c>
      <c r="DN61" s="278">
        <f t="shared" si="351"/>
        <v>22640.4354389</v>
      </c>
      <c r="DP61" s="239">
        <v>9757</v>
      </c>
      <c r="DQ61" s="239">
        <v>11232</v>
      </c>
      <c r="DR61" s="239">
        <v>12447</v>
      </c>
      <c r="DS61" s="239">
        <v>13753</v>
      </c>
      <c r="DT61" s="239">
        <v>14138</v>
      </c>
      <c r="DU61" s="239">
        <v>15734</v>
      </c>
      <c r="DV61" s="239">
        <v>18842</v>
      </c>
      <c r="DW61" s="239">
        <v>21620</v>
      </c>
      <c r="DX61" s="239">
        <v>22629</v>
      </c>
      <c r="DY61" s="239">
        <v>23657</v>
      </c>
      <c r="DZ61" s="239">
        <v>27471</v>
      </c>
      <c r="EA61" s="239">
        <v>29139</v>
      </c>
      <c r="EB61" s="239">
        <v>33004</v>
      </c>
      <c r="EC61" s="239">
        <f>SUM(EC3:EC60)</f>
        <v>36911.9</v>
      </c>
      <c r="ED61" s="239">
        <f>SUM(ED3:ED60)</f>
        <v>42365.4</v>
      </c>
      <c r="EE61" s="239">
        <f>SUM(EE9:EE60)+EE3</f>
        <v>48117</v>
      </c>
      <c r="EF61" s="239">
        <f>SUM(EF9:EF60)+EF3</f>
        <v>49498</v>
      </c>
      <c r="EG61" s="239">
        <f>SUM(EG3:EG60)</f>
        <v>53324</v>
      </c>
      <c r="EH61" s="239">
        <f>SUM(EH9:EH60)+EH3</f>
        <v>61095</v>
      </c>
      <c r="EI61" s="239">
        <f t="shared" ref="EI61:FE61" si="352">SUM(EI3:EI60)</f>
        <v>63747</v>
      </c>
      <c r="EJ61" s="239">
        <f t="shared" si="352"/>
        <v>61897</v>
      </c>
      <c r="EK61" s="239">
        <f t="shared" si="352"/>
        <v>61455</v>
      </c>
      <c r="EL61" s="239">
        <f t="shared" si="352"/>
        <v>65030</v>
      </c>
      <c r="EM61" s="239">
        <f t="shared" si="352"/>
        <v>67747</v>
      </c>
      <c r="EN61" s="239">
        <f t="shared" si="352"/>
        <v>71312</v>
      </c>
      <c r="EO61" s="239">
        <f t="shared" si="352"/>
        <v>75247.425000000003</v>
      </c>
      <c r="EP61" s="239">
        <f t="shared" si="352"/>
        <v>76071.903275000004</v>
      </c>
      <c r="EQ61" s="239">
        <f t="shared" si="352"/>
        <v>70454.942341625007</v>
      </c>
      <c r="ER61" s="239">
        <f t="shared" si="352"/>
        <v>0.18300000000000002</v>
      </c>
      <c r="ES61" s="239">
        <f t="shared" si="352"/>
        <v>81581.018299999996</v>
      </c>
      <c r="ET61" s="239">
        <f t="shared" si="352"/>
        <v>82057.001829999994</v>
      </c>
      <c r="EU61" s="239">
        <f t="shared" si="352"/>
        <v>82586</v>
      </c>
      <c r="EV61" s="239">
        <f t="shared" si="352"/>
        <v>94199</v>
      </c>
      <c r="EW61" s="239">
        <f t="shared" si="352"/>
        <v>95373</v>
      </c>
      <c r="EX61" s="239">
        <f t="shared" si="352"/>
        <v>97619.255000000019</v>
      </c>
      <c r="EY61" s="239">
        <f t="shared" si="352"/>
        <v>98335.527625000017</v>
      </c>
      <c r="EZ61" s="239">
        <f t="shared" si="352"/>
        <v>92475.045530875024</v>
      </c>
      <c r="FA61" s="239">
        <f t="shared" si="352"/>
        <v>90827.560359990632</v>
      </c>
      <c r="FB61" s="239">
        <f t="shared" si="352"/>
        <v>90051.536239441804</v>
      </c>
      <c r="FC61" s="239">
        <f t="shared" si="352"/>
        <v>89759.836455136348</v>
      </c>
      <c r="FD61" s="239">
        <f t="shared" si="352"/>
        <v>88377.637280279479</v>
      </c>
      <c r="FE61" s="239">
        <f t="shared" si="352"/>
        <v>88056.980826748579</v>
      </c>
      <c r="FF61" s="239">
        <f t="shared" ref="FF61" si="353">SUM(FF3:FF60)</f>
        <v>88377.567697771505</v>
      </c>
      <c r="FG61" s="239">
        <f t="shared" ref="FG61" si="354">SUM(FG3:FG60)</f>
        <v>89115.489453365415</v>
      </c>
      <c r="FH61" s="239">
        <f t="shared" ref="FH61" si="355">SUM(FH3:FH60)</f>
        <v>90147.935587701548</v>
      </c>
      <c r="FI61" s="239">
        <f t="shared" ref="FI61" si="356">SUM(FI3:FI60)</f>
        <v>91404.984737335457</v>
      </c>
      <c r="FJ61" s="239">
        <f t="shared" ref="FJ61" si="357">SUM(FJ3:FJ60)</f>
        <v>92845.050225163068</v>
      </c>
      <c r="FO61" s="280"/>
    </row>
    <row r="62" spans="1:172" s="275" customFormat="1" ht="12.75" customHeight="1" x14ac:dyDescent="0.2">
      <c r="A62"/>
      <c r="B62" t="s">
        <v>337</v>
      </c>
      <c r="C62" s="235">
        <v>1772</v>
      </c>
      <c r="D62" s="235">
        <v>1749</v>
      </c>
      <c r="E62" s="235">
        <v>1750</v>
      </c>
      <c r="F62" s="235">
        <v>1881</v>
      </c>
      <c r="G62" s="235">
        <v>1777</v>
      </c>
      <c r="H62" s="235">
        <v>1803</v>
      </c>
      <c r="I62" s="235">
        <v>1758</v>
      </c>
      <c r="J62" s="235">
        <v>2098</v>
      </c>
      <c r="K62" s="235">
        <v>2038</v>
      </c>
      <c r="L62" s="235">
        <v>2086</v>
      </c>
      <c r="M62" s="235">
        <v>2030</v>
      </c>
      <c r="N62" s="235">
        <v>2181</v>
      </c>
      <c r="O62" s="235">
        <v>2241</v>
      </c>
      <c r="P62" s="235">
        <v>2256</v>
      </c>
      <c r="Q62" s="235">
        <v>2179</v>
      </c>
      <c r="R62" s="235">
        <v>2185</v>
      </c>
      <c r="S62" s="235">
        <v>2279</v>
      </c>
      <c r="T62" s="235">
        <v>2362</v>
      </c>
      <c r="U62" s="235">
        <v>2385</v>
      </c>
      <c r="V62" s="235">
        <v>2489</v>
      </c>
      <c r="W62" s="235">
        <v>2457</v>
      </c>
      <c r="X62" s="235">
        <v>2582</v>
      </c>
      <c r="Y62" s="235">
        <v>2611</v>
      </c>
      <c r="Z62" s="235">
        <v>2797</v>
      </c>
      <c r="AA62" s="235">
        <v>2722</v>
      </c>
      <c r="AB62" s="235">
        <v>2966</v>
      </c>
      <c r="AC62" s="235">
        <v>2980</v>
      </c>
      <c r="AD62" s="235">
        <v>3508</v>
      </c>
      <c r="AE62" s="235">
        <v>3367</v>
      </c>
      <c r="AF62" s="243">
        <v>3162</v>
      </c>
      <c r="AG62" s="243">
        <v>3187</v>
      </c>
      <c r="AH62" s="243">
        <v>3706</v>
      </c>
      <c r="AI62" s="243">
        <v>3496</v>
      </c>
      <c r="AJ62" s="243">
        <v>3522</v>
      </c>
      <c r="AK62" s="243">
        <v>3354</v>
      </c>
      <c r="AL62" s="243">
        <v>3638</v>
      </c>
      <c r="AM62" s="243">
        <v>3612</v>
      </c>
      <c r="AN62" s="243">
        <v>3788</v>
      </c>
      <c r="AO62" s="243">
        <v>3650</v>
      </c>
      <c r="AP62" s="243">
        <v>4007</v>
      </c>
      <c r="AQ62" s="243">
        <v>4385</v>
      </c>
      <c r="AR62" s="243">
        <v>4358</v>
      </c>
      <c r="AS62" s="243">
        <v>4274</v>
      </c>
      <c r="AT62" s="243">
        <v>4734</v>
      </c>
      <c r="AU62" s="243">
        <v>4614</v>
      </c>
      <c r="AV62" s="243">
        <v>4751</v>
      </c>
      <c r="AW62" s="243">
        <v>4774</v>
      </c>
      <c r="AX62" s="243">
        <v>4372</v>
      </c>
      <c r="AY62" s="243">
        <v>4251</v>
      </c>
      <c r="AZ62" s="243">
        <v>4450</v>
      </c>
      <c r="BA62" s="243">
        <v>4434</v>
      </c>
      <c r="BB62" s="243">
        <f>5312-113</f>
        <v>5199</v>
      </c>
      <c r="BC62" s="243">
        <v>4528</v>
      </c>
      <c r="BD62" s="243">
        <v>4630</v>
      </c>
      <c r="BE62" s="243">
        <v>4594</v>
      </c>
      <c r="BF62" s="243">
        <v>5040</v>
      </c>
      <c r="BG62" s="243">
        <v>4778</v>
      </c>
      <c r="BH62" s="243">
        <v>5172</v>
      </c>
      <c r="BI62" s="243">
        <v>5072</v>
      </c>
      <c r="BJ62" s="243">
        <v>5338</v>
      </c>
      <c r="BK62" s="243">
        <v>4915</v>
      </c>
      <c r="BL62" s="243">
        <v>5143</v>
      </c>
      <c r="BM62" s="243">
        <v>5597</v>
      </c>
      <c r="BN62" s="243">
        <v>6003</v>
      </c>
      <c r="BO62" s="243">
        <v>5554</v>
      </c>
      <c r="BP62" s="243">
        <v>5489</v>
      </c>
      <c r="BQ62" s="243">
        <v>5344</v>
      </c>
      <c r="BR62" s="243">
        <v>5955</v>
      </c>
      <c r="BS62" s="243">
        <v>5455</v>
      </c>
      <c r="BT62" s="243">
        <v>6039</v>
      </c>
      <c r="BU62" s="243">
        <v>5399</v>
      </c>
      <c r="BV62" s="243">
        <v>5853</v>
      </c>
      <c r="BW62" s="243">
        <v>5282</v>
      </c>
      <c r="BX62" s="243">
        <v>5357</v>
      </c>
      <c r="BY62" s="243">
        <v>5224</v>
      </c>
      <c r="BZ62" s="243">
        <v>5673</v>
      </c>
      <c r="CA62" s="243">
        <v>5329</v>
      </c>
      <c r="CB62" s="243">
        <v>5336</v>
      </c>
      <c r="CC62" s="243">
        <v>5486</v>
      </c>
      <c r="CD62" s="243">
        <v>5534</v>
      </c>
      <c r="CE62" s="243">
        <v>5386</v>
      </c>
      <c r="CF62" s="243">
        <v>5823</v>
      </c>
      <c r="CG62" s="243">
        <v>6902</v>
      </c>
      <c r="CH62" s="243">
        <v>5959</v>
      </c>
      <c r="CI62" s="243">
        <v>6614</v>
      </c>
      <c r="CJ62" s="243">
        <v>6927</v>
      </c>
      <c r="CK62" s="243">
        <v>6589</v>
      </c>
      <c r="CL62" s="243">
        <v>6961</v>
      </c>
      <c r="CM62" s="243">
        <v>6615</v>
      </c>
      <c r="CN62" s="243">
        <v>6940</v>
      </c>
      <c r="CO62" s="243">
        <v>6867</v>
      </c>
      <c r="CP62" s="243">
        <v>7134</v>
      </c>
      <c r="CQ62" s="243">
        <v>7062</v>
      </c>
      <c r="CR62" s="243">
        <v>6579</v>
      </c>
      <c r="CS62" s="243">
        <v>6972</v>
      </c>
      <c r="CT62" s="243">
        <v>7814</v>
      </c>
      <c r="CU62" s="243">
        <v>7063</v>
      </c>
      <c r="CV62" s="243">
        <v>6345</v>
      </c>
      <c r="CW62" s="243">
        <v>7250</v>
      </c>
      <c r="CX62" s="243">
        <v>7955</v>
      </c>
      <c r="CY62" s="243">
        <v>7598</v>
      </c>
      <c r="CZ62" s="243">
        <v>6600</v>
      </c>
      <c r="DA62" s="243">
        <v>7807</v>
      </c>
      <c r="DB62" s="243">
        <v>6472</v>
      </c>
      <c r="DC62" s="243">
        <v>6687</v>
      </c>
      <c r="DD62" s="243">
        <v>8212</v>
      </c>
      <c r="DE62" s="243">
        <v>6606</v>
      </c>
      <c r="DF62" s="243">
        <v>5530</v>
      </c>
      <c r="DG62" s="243">
        <v>5404</v>
      </c>
      <c r="DH62" s="243">
        <f>+DH61*0.25</f>
        <v>5406.0750000000007</v>
      </c>
      <c r="DI62" s="243">
        <f t="shared" ref="DI62:DN62" si="358">+DI61*0.25</f>
        <v>5411.915</v>
      </c>
      <c r="DJ62" s="243">
        <f t="shared" si="358"/>
        <v>5487.39725</v>
      </c>
      <c r="DK62" s="243">
        <f t="shared" si="358"/>
        <v>5463.2435249999999</v>
      </c>
      <c r="DL62" s="243">
        <f t="shared" si="358"/>
        <v>5550.0768724999998</v>
      </c>
      <c r="DM62" s="243">
        <f t="shared" si="358"/>
        <v>5571.2638052499997</v>
      </c>
      <c r="DN62" s="243">
        <f t="shared" si="358"/>
        <v>5660.108859725</v>
      </c>
      <c r="DP62" s="235">
        <v>3480</v>
      </c>
      <c r="DQ62" s="235">
        <v>3937</v>
      </c>
      <c r="DR62" s="235">
        <v>4204</v>
      </c>
      <c r="DS62" s="235">
        <v>4678</v>
      </c>
      <c r="DT62" s="235">
        <v>4791</v>
      </c>
      <c r="DU62" s="235">
        <v>5299</v>
      </c>
      <c r="DV62" s="235">
        <v>6235</v>
      </c>
      <c r="DW62" s="235">
        <v>7018</v>
      </c>
      <c r="DX62" s="235">
        <v>7152</v>
      </c>
      <c r="DY62" s="235">
        <f>7496-60</f>
        <v>7436</v>
      </c>
      <c r="DZ62" s="235">
        <v>8442</v>
      </c>
      <c r="EA62" s="235">
        <v>8861</v>
      </c>
      <c r="EB62" s="235">
        <v>9536</v>
      </c>
      <c r="EC62" s="235">
        <v>10447</v>
      </c>
      <c r="ED62" s="235">
        <v>12176</v>
      </c>
      <c r="EE62" s="235">
        <v>13422</v>
      </c>
      <c r="EF62" s="235">
        <v>13954</v>
      </c>
      <c r="EG62" s="235">
        <f>SUM(AM62:AP62)</f>
        <v>15057</v>
      </c>
      <c r="EH62" s="235">
        <f>SUM(AQ62:AT62)</f>
        <v>17751</v>
      </c>
      <c r="EI62" s="235">
        <f>SUM(AU62:AX62)</f>
        <v>18511</v>
      </c>
      <c r="EJ62" s="235">
        <f>EJ61-EJ63</f>
        <v>18334</v>
      </c>
      <c r="EK62" s="235">
        <f>SUM(BC62:BF62)</f>
        <v>18792</v>
      </c>
      <c r="EL62" s="235">
        <f>EL61-EL63</f>
        <v>17001</v>
      </c>
      <c r="EM62" s="235">
        <f>SUM(BK62:BN62)</f>
        <v>21658</v>
      </c>
      <c r="EN62" s="235">
        <f>SUM(BO62:BR62)</f>
        <v>22342</v>
      </c>
      <c r="EO62" s="235">
        <f t="shared" ref="EO62:EQ62" si="359">EO61-EO63</f>
        <v>23326.701750000007</v>
      </c>
      <c r="EP62" s="235">
        <f t="shared" si="359"/>
        <v>23582.290015250008</v>
      </c>
      <c r="EQ62" s="235">
        <f t="shared" si="359"/>
        <v>21841.032125903759</v>
      </c>
      <c r="ER62" s="235">
        <f>+ER61-ER63</f>
        <v>5.673000000000003E-2</v>
      </c>
      <c r="ES62" s="235">
        <f t="shared" si="337"/>
        <v>27091</v>
      </c>
      <c r="ET62" s="235">
        <f t="shared" si="338"/>
        <v>27556</v>
      </c>
      <c r="EU62" s="235">
        <f t="shared" si="339"/>
        <v>28427</v>
      </c>
      <c r="EV62" s="235">
        <f t="shared" ref="EV62:EV65" si="360">SUM(CU62:CX62)</f>
        <v>28613</v>
      </c>
      <c r="EW62" s="235">
        <f>SUM(CY62:DB62)</f>
        <v>28477</v>
      </c>
      <c r="EX62" s="235">
        <f t="shared" ref="EX62:EY62" si="361">+EX61-EX63</f>
        <v>30261.969050000014</v>
      </c>
      <c r="EY62" s="235">
        <f t="shared" si="361"/>
        <v>30484.013563750006</v>
      </c>
      <c r="EZ62" s="235">
        <f>+EZ61-EZ63</f>
        <v>28667.264114571262</v>
      </c>
      <c r="FA62" s="235">
        <f t="shared" ref="FA62:FE62" si="362">+FA61-FA63</f>
        <v>28156.5437115971</v>
      </c>
      <c r="FB62" s="235">
        <f t="shared" si="362"/>
        <v>27915.976234226961</v>
      </c>
      <c r="FC62" s="235">
        <f t="shared" si="362"/>
        <v>27825.549301092273</v>
      </c>
      <c r="FD62" s="235">
        <f t="shared" si="362"/>
        <v>27397.067556886643</v>
      </c>
      <c r="FE62" s="235">
        <f t="shared" si="362"/>
        <v>27297.664056292066</v>
      </c>
      <c r="FF62" s="235">
        <f t="shared" ref="FF62:FJ62" si="363">+FF61-FF63</f>
        <v>27397.045986309175</v>
      </c>
      <c r="FG62" s="235">
        <f t="shared" si="363"/>
        <v>27625.80173054328</v>
      </c>
      <c r="FH62" s="235">
        <f t="shared" si="363"/>
        <v>27945.860032187484</v>
      </c>
      <c r="FI62" s="235">
        <f t="shared" si="363"/>
        <v>28335.545268573995</v>
      </c>
      <c r="FJ62" s="235">
        <f t="shared" si="363"/>
        <v>28781.965569800559</v>
      </c>
    </row>
    <row r="63" spans="1:172" s="275" customFormat="1" ht="12.75" customHeight="1" x14ac:dyDescent="0.2">
      <c r="A63"/>
      <c r="B63" t="s">
        <v>338</v>
      </c>
      <c r="C63" s="235">
        <f t="shared" ref="C63:AW63" si="364">C61-C62</f>
        <v>3943</v>
      </c>
      <c r="D63" s="235">
        <f t="shared" si="364"/>
        <v>3949</v>
      </c>
      <c r="E63" s="235">
        <f t="shared" si="364"/>
        <v>3836</v>
      </c>
      <c r="F63" s="235">
        <f t="shared" si="364"/>
        <v>3749</v>
      </c>
      <c r="G63" s="235">
        <f t="shared" si="364"/>
        <v>4006</v>
      </c>
      <c r="H63" s="235">
        <f t="shared" si="364"/>
        <v>3980</v>
      </c>
      <c r="I63" s="235">
        <f t="shared" si="364"/>
        <v>3966</v>
      </c>
      <c r="J63" s="235">
        <f t="shared" si="364"/>
        <v>4269</v>
      </c>
      <c r="K63" s="235">
        <f t="shared" si="364"/>
        <v>4600</v>
      </c>
      <c r="L63" s="235">
        <f t="shared" si="364"/>
        <v>4768</v>
      </c>
      <c r="M63" s="235">
        <f t="shared" si="364"/>
        <v>4719</v>
      </c>
      <c r="N63" s="235">
        <f t="shared" si="364"/>
        <v>4696</v>
      </c>
      <c r="O63" s="235">
        <f t="shared" si="364"/>
        <v>5078</v>
      </c>
      <c r="P63" s="235">
        <f t="shared" si="364"/>
        <v>5252</v>
      </c>
      <c r="Q63" s="235">
        <f t="shared" si="364"/>
        <v>5025</v>
      </c>
      <c r="R63" s="235">
        <f t="shared" si="364"/>
        <v>4923</v>
      </c>
      <c r="S63" s="235">
        <f t="shared" si="364"/>
        <v>5512</v>
      </c>
      <c r="T63" s="235">
        <f t="shared" si="364"/>
        <v>5980</v>
      </c>
      <c r="U63" s="235">
        <f t="shared" si="364"/>
        <v>5853</v>
      </c>
      <c r="V63" s="235">
        <f t="shared" si="364"/>
        <v>5914</v>
      </c>
      <c r="W63" s="235">
        <f t="shared" si="364"/>
        <v>6286</v>
      </c>
      <c r="X63" s="235">
        <f t="shared" si="364"/>
        <v>6491</v>
      </c>
      <c r="Y63" s="235">
        <f t="shared" si="364"/>
        <v>6468</v>
      </c>
      <c r="Z63" s="235">
        <f t="shared" si="364"/>
        <v>6606</v>
      </c>
      <c r="AA63" s="235">
        <f t="shared" si="364"/>
        <v>7100</v>
      </c>
      <c r="AB63" s="235">
        <f t="shared" si="364"/>
        <v>7366</v>
      </c>
      <c r="AC63" s="235">
        <f t="shared" si="364"/>
        <v>7474</v>
      </c>
      <c r="AD63" s="235">
        <f t="shared" si="364"/>
        <v>7881</v>
      </c>
      <c r="AE63" s="243">
        <f t="shared" si="364"/>
        <v>8617</v>
      </c>
      <c r="AF63" s="243">
        <f t="shared" si="364"/>
        <v>8730</v>
      </c>
      <c r="AG63" s="243">
        <f t="shared" si="364"/>
        <v>8366</v>
      </c>
      <c r="AH63" s="243">
        <f t="shared" si="364"/>
        <v>9046</v>
      </c>
      <c r="AI63" s="243">
        <f t="shared" si="364"/>
        <v>9336</v>
      </c>
      <c r="AJ63" s="243">
        <f t="shared" si="364"/>
        <v>9240</v>
      </c>
      <c r="AK63" s="243">
        <f t="shared" si="364"/>
        <v>8956</v>
      </c>
      <c r="AL63" s="243">
        <f t="shared" si="364"/>
        <v>8972</v>
      </c>
      <c r="AM63" s="243">
        <f t="shared" si="364"/>
        <v>9380</v>
      </c>
      <c r="AN63" s="243">
        <f t="shared" si="364"/>
        <v>9575</v>
      </c>
      <c r="AO63" s="243">
        <f t="shared" si="364"/>
        <v>9637</v>
      </c>
      <c r="AP63" s="243">
        <f t="shared" si="364"/>
        <v>9675</v>
      </c>
      <c r="AQ63" s="243">
        <f>AQ61-AQ62</f>
        <v>10702</v>
      </c>
      <c r="AR63" s="243">
        <f>AR61-AR62</f>
        <v>10784</v>
      </c>
      <c r="AS63" s="243">
        <f>AS61-AS62</f>
        <v>10733</v>
      </c>
      <c r="AT63" s="243">
        <f>AT61-AT62</f>
        <v>11223</v>
      </c>
      <c r="AU63" s="243">
        <f t="shared" si="364"/>
        <v>11580</v>
      </c>
      <c r="AV63" s="243">
        <f t="shared" si="364"/>
        <v>11699</v>
      </c>
      <c r="AW63" s="243">
        <f t="shared" si="364"/>
        <v>11147</v>
      </c>
      <c r="AX63" s="243">
        <f t="shared" ref="AX63:BC63" si="365">AX61-AX62</f>
        <v>10810</v>
      </c>
      <c r="AY63" s="243">
        <f t="shared" si="365"/>
        <v>10775</v>
      </c>
      <c r="AZ63" s="243">
        <f t="shared" si="365"/>
        <v>10789</v>
      </c>
      <c r="BA63" s="243">
        <f t="shared" si="365"/>
        <v>10647</v>
      </c>
      <c r="BB63" s="243">
        <f t="shared" si="365"/>
        <v>11352</v>
      </c>
      <c r="BC63" s="243">
        <f t="shared" si="365"/>
        <v>11103</v>
      </c>
      <c r="BD63" s="243">
        <f>+BD61-BD62</f>
        <v>10759</v>
      </c>
      <c r="BE63" s="243">
        <f>+BE61-BE62</f>
        <v>10388</v>
      </c>
      <c r="BF63" s="243">
        <f>+BF61-BF62</f>
        <v>10604</v>
      </c>
      <c r="BG63" s="243">
        <f>+BG61-BG62</f>
        <v>12188</v>
      </c>
      <c r="BH63" s="243">
        <f>+BH61-BH62</f>
        <v>11425</v>
      </c>
      <c r="BI63" s="243">
        <f>BI61-BI62</f>
        <v>10933</v>
      </c>
      <c r="BJ63" s="243">
        <f>BJ61-BJ62</f>
        <v>13483</v>
      </c>
      <c r="BK63" s="243">
        <f>BK61-BK62</f>
        <v>11224</v>
      </c>
      <c r="BL63" s="243">
        <f>BL61-BL62</f>
        <v>11483</v>
      </c>
      <c r="BM63" s="243">
        <f>BM61-BM62</f>
        <v>11594</v>
      </c>
      <c r="BN63" s="243">
        <f t="shared" ref="BN63:BT63" si="366">+BN61-BN62</f>
        <v>11788</v>
      </c>
      <c r="BO63" s="243">
        <f t="shared" si="366"/>
        <v>11994</v>
      </c>
      <c r="BP63" s="243">
        <f t="shared" si="366"/>
        <v>12444</v>
      </c>
      <c r="BQ63" s="243">
        <f t="shared" si="366"/>
        <v>12295</v>
      </c>
      <c r="BR63" s="243">
        <f t="shared" si="366"/>
        <v>12496</v>
      </c>
      <c r="BS63" s="243">
        <f>+BS61-BS62</f>
        <v>12764</v>
      </c>
      <c r="BT63" s="243">
        <f t="shared" si="366"/>
        <v>13456</v>
      </c>
      <c r="BU63" s="243">
        <f t="shared" ref="BU63:CH63" si="367">BU61-BU62</f>
        <v>13068</v>
      </c>
      <c r="BV63" s="243">
        <f t="shared" si="367"/>
        <v>12401</v>
      </c>
      <c r="BW63" s="243">
        <f t="shared" si="367"/>
        <v>12092</v>
      </c>
      <c r="BX63" s="243">
        <f t="shared" si="367"/>
        <v>12430</v>
      </c>
      <c r="BY63" s="243">
        <f t="shared" si="367"/>
        <v>11878</v>
      </c>
      <c r="BZ63" s="243">
        <f t="shared" si="367"/>
        <v>12138</v>
      </c>
      <c r="CA63" s="243">
        <f t="shared" si="367"/>
        <v>12153</v>
      </c>
      <c r="CB63" s="243">
        <f t="shared" si="367"/>
        <v>13146</v>
      </c>
      <c r="CC63" s="243">
        <f t="shared" si="367"/>
        <v>12334</v>
      </c>
      <c r="CD63" s="243">
        <f t="shared" si="367"/>
        <v>12572</v>
      </c>
      <c r="CE63" s="243">
        <f t="shared" si="367"/>
        <v>12380</v>
      </c>
      <c r="CF63" s="243">
        <f t="shared" si="367"/>
        <v>13016</v>
      </c>
      <c r="CG63" s="243">
        <f t="shared" si="367"/>
        <v>12748</v>
      </c>
      <c r="CH63" s="243">
        <f t="shared" si="367"/>
        <v>14236</v>
      </c>
      <c r="CI63" s="243">
        <f t="shared" ref="CI63:CP63" si="368">+CI61-CI62</f>
        <v>13395</v>
      </c>
      <c r="CJ63" s="243">
        <f t="shared" si="368"/>
        <v>13903</v>
      </c>
      <c r="CK63" s="243">
        <f t="shared" si="368"/>
        <v>13759</v>
      </c>
      <c r="CL63" s="243">
        <f t="shared" si="368"/>
        <v>13433</v>
      </c>
      <c r="CM63" s="243">
        <f t="shared" si="368"/>
        <v>13406</v>
      </c>
      <c r="CN63" s="243">
        <f t="shared" si="368"/>
        <v>13624</v>
      </c>
      <c r="CO63" s="243">
        <f t="shared" si="368"/>
        <v>13861</v>
      </c>
      <c r="CP63" s="243">
        <f t="shared" si="368"/>
        <v>13610</v>
      </c>
      <c r="CQ63" s="243">
        <f t="shared" ref="CQ63" si="369">+CQ61-CQ62</f>
        <v>13628</v>
      </c>
      <c r="CR63" s="243">
        <f t="shared" ref="CR63:CV63" si="370">+CR61-CR62</f>
        <v>11759</v>
      </c>
      <c r="CS63" s="243">
        <f t="shared" si="370"/>
        <v>14110</v>
      </c>
      <c r="CT63" s="243">
        <f t="shared" si="370"/>
        <v>14662</v>
      </c>
      <c r="CU63" s="243">
        <f t="shared" si="370"/>
        <v>15258</v>
      </c>
      <c r="CV63" s="243">
        <f t="shared" si="370"/>
        <v>17096</v>
      </c>
      <c r="CW63" s="243">
        <f t="shared" ref="CW63:DB63" si="371">+CW61-CW62</f>
        <v>16085</v>
      </c>
      <c r="CX63" s="243">
        <f t="shared" si="371"/>
        <v>16923</v>
      </c>
      <c r="CY63" s="243">
        <f t="shared" si="371"/>
        <v>15926</v>
      </c>
      <c r="CZ63" s="243">
        <f t="shared" si="371"/>
        <v>17529</v>
      </c>
      <c r="DA63" s="243">
        <f t="shared" si="371"/>
        <v>16140</v>
      </c>
      <c r="DB63" s="243">
        <f t="shared" si="371"/>
        <v>17407</v>
      </c>
      <c r="DC63" s="243">
        <f>DC61-DC62</f>
        <v>14207</v>
      </c>
      <c r="DD63" s="243">
        <f>+DD61-DD62</f>
        <v>17412</v>
      </c>
      <c r="DE63" s="243">
        <f>+DE61-DE62</f>
        <v>14855</v>
      </c>
      <c r="DF63" s="243">
        <f>+DF61-DF62</f>
        <v>15866</v>
      </c>
      <c r="DG63" s="243">
        <f>+DG61-DG62</f>
        <v>15978</v>
      </c>
      <c r="DH63" s="243">
        <f t="shared" ref="DH63:DN63" si="372">+DH61-DH62</f>
        <v>16218.225000000002</v>
      </c>
      <c r="DI63" s="243">
        <f t="shared" si="372"/>
        <v>16235.744999999999</v>
      </c>
      <c r="DJ63" s="243">
        <f t="shared" si="372"/>
        <v>16462.191749999998</v>
      </c>
      <c r="DK63" s="243">
        <f t="shared" si="372"/>
        <v>16389.730575000001</v>
      </c>
      <c r="DL63" s="243">
        <f t="shared" si="372"/>
        <v>16650.230617499998</v>
      </c>
      <c r="DM63" s="243">
        <f t="shared" si="372"/>
        <v>16713.791415749998</v>
      </c>
      <c r="DN63" s="243">
        <f t="shared" si="372"/>
        <v>16980.326579175002</v>
      </c>
      <c r="DP63" s="235">
        <f t="shared" ref="DP63:EG63" si="373">DP61-DP62</f>
        <v>6277</v>
      </c>
      <c r="DQ63" s="235">
        <f t="shared" si="373"/>
        <v>7295</v>
      </c>
      <c r="DR63" s="235">
        <f t="shared" si="373"/>
        <v>8243</v>
      </c>
      <c r="DS63" s="235">
        <f t="shared" si="373"/>
        <v>9075</v>
      </c>
      <c r="DT63" s="235">
        <f t="shared" si="373"/>
        <v>9347</v>
      </c>
      <c r="DU63" s="235">
        <f t="shared" si="373"/>
        <v>10435</v>
      </c>
      <c r="DV63" s="235">
        <f t="shared" si="373"/>
        <v>12607</v>
      </c>
      <c r="DW63" s="235">
        <f t="shared" si="373"/>
        <v>14602</v>
      </c>
      <c r="DX63" s="235">
        <f t="shared" si="373"/>
        <v>15477</v>
      </c>
      <c r="DY63" s="235">
        <f t="shared" si="373"/>
        <v>16221</v>
      </c>
      <c r="DZ63" s="235">
        <f t="shared" si="373"/>
        <v>19029</v>
      </c>
      <c r="EA63" s="235">
        <f t="shared" si="373"/>
        <v>20278</v>
      </c>
      <c r="EB63" s="235">
        <f t="shared" si="373"/>
        <v>23468</v>
      </c>
      <c r="EC63" s="235">
        <f t="shared" si="373"/>
        <v>26464.9</v>
      </c>
      <c r="ED63" s="235">
        <f t="shared" si="373"/>
        <v>30189.4</v>
      </c>
      <c r="EE63" s="235">
        <f t="shared" si="373"/>
        <v>34695</v>
      </c>
      <c r="EF63" s="235">
        <f t="shared" si="373"/>
        <v>35544</v>
      </c>
      <c r="EG63" s="235">
        <f t="shared" si="373"/>
        <v>38267</v>
      </c>
      <c r="EH63" s="235">
        <f>EH61-EH62</f>
        <v>43344</v>
      </c>
      <c r="EI63" s="235">
        <f>EI61-EI62</f>
        <v>45236</v>
      </c>
      <c r="EJ63" s="235">
        <f>SUM(AY63:BB63)</f>
        <v>43563</v>
      </c>
      <c r="EK63" s="235">
        <f>EK61-EK62</f>
        <v>42663</v>
      </c>
      <c r="EL63" s="235">
        <f>SUM(BG63:BJ63)</f>
        <v>48029</v>
      </c>
      <c r="EM63" s="235">
        <f>EM61-EM62</f>
        <v>46089</v>
      </c>
      <c r="EN63" s="235">
        <f>EN61-EN62</f>
        <v>48970</v>
      </c>
      <c r="EO63" s="235">
        <f>+EO61*0.69</f>
        <v>51920.723249999995</v>
      </c>
      <c r="EP63" s="235">
        <f t="shared" ref="EP63:FE63" si="374">+EP61*0.69</f>
        <v>52489.613259749996</v>
      </c>
      <c r="EQ63" s="235">
        <f t="shared" si="374"/>
        <v>48613.910215721247</v>
      </c>
      <c r="ER63" s="235">
        <f t="shared" si="374"/>
        <v>0.12626999999999999</v>
      </c>
      <c r="ES63" s="235">
        <f>ES61-ES62</f>
        <v>54490.018299999996</v>
      </c>
      <c r="ET63" s="235">
        <f>ET61-ET62</f>
        <v>54501.001829999994</v>
      </c>
      <c r="EU63" s="235">
        <f>EU61-EU62</f>
        <v>54159</v>
      </c>
      <c r="EV63" s="235">
        <f>+EV61-EV62</f>
        <v>65586</v>
      </c>
      <c r="EW63" s="235">
        <f>EW61-EW62</f>
        <v>66896</v>
      </c>
      <c r="EX63" s="235">
        <f t="shared" si="374"/>
        <v>67357.285950000005</v>
      </c>
      <c r="EY63" s="235">
        <f t="shared" si="374"/>
        <v>67851.514061250011</v>
      </c>
      <c r="EZ63" s="235">
        <f t="shared" si="374"/>
        <v>63807.781416303762</v>
      </c>
      <c r="FA63" s="235">
        <f t="shared" si="374"/>
        <v>62671.016648393532</v>
      </c>
      <c r="FB63" s="235">
        <f t="shared" si="374"/>
        <v>62135.560005214844</v>
      </c>
      <c r="FC63" s="235">
        <f t="shared" si="374"/>
        <v>61934.287154044076</v>
      </c>
      <c r="FD63" s="235">
        <f t="shared" si="374"/>
        <v>60980.569723392837</v>
      </c>
      <c r="FE63" s="235">
        <f t="shared" si="374"/>
        <v>60759.316770456513</v>
      </c>
      <c r="FF63" s="235">
        <f t="shared" ref="FF63:FJ63" si="375">+FF61*0.69</f>
        <v>60980.52171146233</v>
      </c>
      <c r="FG63" s="235">
        <f t="shared" si="375"/>
        <v>61489.687722822135</v>
      </c>
      <c r="FH63" s="235">
        <f t="shared" si="375"/>
        <v>62202.075555514064</v>
      </c>
      <c r="FI63" s="235">
        <f t="shared" si="375"/>
        <v>63069.439468761462</v>
      </c>
      <c r="FJ63" s="235">
        <f t="shared" si="375"/>
        <v>64063.084655362509</v>
      </c>
    </row>
    <row r="64" spans="1:172" s="275" customFormat="1" ht="12.75" customHeight="1" x14ac:dyDescent="0.2">
      <c r="A64"/>
      <c r="B64" t="s">
        <v>1778</v>
      </c>
      <c r="C64" s="235">
        <v>2138</v>
      </c>
      <c r="D64" s="235">
        <v>2142</v>
      </c>
      <c r="E64" s="235">
        <v>2149</v>
      </c>
      <c r="F64" s="235">
        <v>2286</v>
      </c>
      <c r="G64" s="235">
        <v>2100</v>
      </c>
      <c r="H64" s="235">
        <v>2114</v>
      </c>
      <c r="I64" s="235">
        <v>2151</v>
      </c>
      <c r="J64" s="235">
        <v>2542</v>
      </c>
      <c r="K64" s="235">
        <v>2403</v>
      </c>
      <c r="L64" s="235">
        <v>2549</v>
      </c>
      <c r="M64" s="235">
        <v>2564</v>
      </c>
      <c r="N64" s="235">
        <v>2861</v>
      </c>
      <c r="O64" s="235">
        <v>2609</v>
      </c>
      <c r="P64" s="235">
        <v>2745</v>
      </c>
      <c r="Q64" s="235">
        <v>2675</v>
      </c>
      <c r="R64" s="235">
        <v>2846</v>
      </c>
      <c r="S64" s="235">
        <v>2721</v>
      </c>
      <c r="T64" s="235">
        <v>2975</v>
      </c>
      <c r="U64" s="235">
        <v>2894</v>
      </c>
      <c r="V64" s="235">
        <v>3280</v>
      </c>
      <c r="W64" s="235">
        <v>2843</v>
      </c>
      <c r="X64" s="235">
        <v>3017</v>
      </c>
      <c r="Y64" s="235">
        <v>3006</v>
      </c>
      <c r="Z64" s="235">
        <v>3350</v>
      </c>
      <c r="AA64" s="235">
        <v>3253</v>
      </c>
      <c r="AB64" s="235">
        <v>3396</v>
      </c>
      <c r="AC64" s="235">
        <v>3428</v>
      </c>
      <c r="AD64" s="235">
        <v>4054</v>
      </c>
      <c r="AE64" s="235">
        <v>3640</v>
      </c>
      <c r="AF64" s="243">
        <v>3711</v>
      </c>
      <c r="AG64" s="243">
        <v>3854</v>
      </c>
      <c r="AH64" s="243">
        <v>4655</v>
      </c>
      <c r="AI64" s="243">
        <v>4127</v>
      </c>
      <c r="AJ64" s="243">
        <v>4194</v>
      </c>
      <c r="AK64" s="243">
        <v>4161</v>
      </c>
      <c r="AL64" s="243">
        <v>4645</v>
      </c>
      <c r="AM64" s="243">
        <v>4095</v>
      </c>
      <c r="AN64" s="243">
        <v>4351</v>
      </c>
      <c r="AO64" s="243">
        <v>4291</v>
      </c>
      <c r="AP64" s="243">
        <v>4696</v>
      </c>
      <c r="AQ64" s="243">
        <v>4802</v>
      </c>
      <c r="AR64" s="243">
        <v>5029</v>
      </c>
      <c r="AS64" s="243">
        <v>4899</v>
      </c>
      <c r="AT64" s="243">
        <v>5721</v>
      </c>
      <c r="AU64" s="243">
        <v>5123</v>
      </c>
      <c r="AV64" s="243">
        <v>5507</v>
      </c>
      <c r="AW64" s="243">
        <v>5195</v>
      </c>
      <c r="AX64" s="243">
        <v>5665</v>
      </c>
      <c r="AY64" s="243">
        <v>4608</v>
      </c>
      <c r="AZ64" s="243">
        <v>4797</v>
      </c>
      <c r="BA64" s="243">
        <v>4767</v>
      </c>
      <c r="BB64" s="243">
        <v>5629</v>
      </c>
      <c r="BC64" s="243">
        <v>4779</v>
      </c>
      <c r="BD64" s="243">
        <v>4756</v>
      </c>
      <c r="BE64" s="243">
        <v>4709</v>
      </c>
      <c r="BF64" s="243">
        <v>5180</v>
      </c>
      <c r="BG64" s="243">
        <v>5056</v>
      </c>
      <c r="BH64" s="243">
        <v>5215</v>
      </c>
      <c r="BI64" s="243">
        <v>5240</v>
      </c>
      <c r="BJ64" s="243">
        <v>5458</v>
      </c>
      <c r="BK64" s="243">
        <v>5015</v>
      </c>
      <c r="BL64" s="243">
        <v>4965</v>
      </c>
      <c r="BM64" s="243">
        <v>5228</v>
      </c>
      <c r="BN64" s="243">
        <v>5661</v>
      </c>
      <c r="BO64" s="243">
        <v>5223</v>
      </c>
      <c r="BP64" s="243">
        <f>5376-375</f>
        <v>5001</v>
      </c>
      <c r="BQ64" s="243">
        <v>5314</v>
      </c>
      <c r="BR64" s="243">
        <v>5917</v>
      </c>
      <c r="BS64" s="243">
        <v>5183</v>
      </c>
      <c r="BT64" s="243">
        <v>5481</v>
      </c>
      <c r="BU64" s="243">
        <v>5468</v>
      </c>
      <c r="BV64" s="243">
        <v>5822</v>
      </c>
      <c r="BW64" s="243">
        <v>4847</v>
      </c>
      <c r="BX64" s="243">
        <v>5384</v>
      </c>
      <c r="BY64" s="243">
        <v>5081</v>
      </c>
      <c r="BZ64" s="243">
        <v>5891</v>
      </c>
      <c r="CA64" s="243">
        <v>4688</v>
      </c>
      <c r="CB64" s="243">
        <v>5176</v>
      </c>
      <c r="CC64" s="243">
        <v>4772</v>
      </c>
      <c r="CD64" s="243">
        <v>5309</v>
      </c>
      <c r="CE64" s="243">
        <v>4737</v>
      </c>
      <c r="CF64" s="243">
        <v>5262</v>
      </c>
      <c r="CG64" s="243">
        <v>5396</v>
      </c>
      <c r="CH64" s="243">
        <v>6025</v>
      </c>
      <c r="CI64" s="243">
        <v>5263</v>
      </c>
      <c r="CJ64" s="243">
        <v>5743</v>
      </c>
      <c r="CK64" s="243">
        <f>5543-1085</f>
        <v>4458</v>
      </c>
      <c r="CL64" s="243">
        <f>5991-1073</f>
        <v>4918</v>
      </c>
      <c r="CM64" s="243">
        <v>5219</v>
      </c>
      <c r="CN64" s="243">
        <v>5546</v>
      </c>
      <c r="CO64" s="243">
        <f>5374-1138</f>
        <v>4236</v>
      </c>
      <c r="CP64" s="243">
        <f>6039-1142</f>
        <v>4897</v>
      </c>
      <c r="CQ64" s="243">
        <v>5203</v>
      </c>
      <c r="CR64" s="243">
        <v>4993</v>
      </c>
      <c r="CS64" s="243">
        <v>5431</v>
      </c>
      <c r="CT64" s="243">
        <v>6457</v>
      </c>
      <c r="CU64" s="243">
        <v>5432</v>
      </c>
      <c r="CV64" s="243">
        <v>6067</v>
      </c>
      <c r="CW64" s="243">
        <v>6000</v>
      </c>
      <c r="CX64" s="243">
        <v>7154</v>
      </c>
      <c r="CY64" s="243">
        <v>5938</v>
      </c>
      <c r="CZ64" s="243">
        <v>6220</v>
      </c>
      <c r="DA64" s="243"/>
      <c r="DB64" s="243">
        <v>6460</v>
      </c>
      <c r="DC64" s="243">
        <v>4906</v>
      </c>
      <c r="DD64" s="243">
        <v>6665</v>
      </c>
      <c r="DE64" s="243">
        <v>5400</v>
      </c>
      <c r="DF64" s="243">
        <v>5802</v>
      </c>
      <c r="DG64" s="243">
        <v>5253</v>
      </c>
      <c r="DH64" s="243"/>
      <c r="DI64" s="243"/>
      <c r="DJ64" s="243"/>
      <c r="DK64" s="243"/>
      <c r="DL64" s="243"/>
      <c r="DM64" s="243"/>
      <c r="DN64" s="243"/>
      <c r="DP64" s="235">
        <v>3897</v>
      </c>
      <c r="DQ64" s="235">
        <v>4469</v>
      </c>
      <c r="DR64" s="235">
        <v>5099</v>
      </c>
      <c r="DS64" s="235">
        <v>5671</v>
      </c>
      <c r="DT64" s="235">
        <v>5771</v>
      </c>
      <c r="DU64" s="235">
        <v>6350</v>
      </c>
      <c r="DV64" s="235">
        <v>7462</v>
      </c>
      <c r="DW64" s="235">
        <v>8394</v>
      </c>
      <c r="DX64" s="235">
        <v>8715</v>
      </c>
      <c r="DY64" s="235">
        <v>8907</v>
      </c>
      <c r="DZ64" s="235">
        <v>10503</v>
      </c>
      <c r="EA64" s="235">
        <v>10875</v>
      </c>
      <c r="EB64" s="235">
        <v>11992</v>
      </c>
      <c r="EC64" s="235">
        <v>12216</v>
      </c>
      <c r="ED64" s="235">
        <v>14131</v>
      </c>
      <c r="EE64" s="235">
        <v>15860</v>
      </c>
      <c r="EF64" s="235">
        <v>16877</v>
      </c>
      <c r="EG64" s="235">
        <f>SUM(AM64:AP64)</f>
        <v>17433</v>
      </c>
      <c r="EH64" s="235">
        <f>SUM(AQ64:AT64)</f>
        <v>20451</v>
      </c>
      <c r="EI64" s="235">
        <f>SUM(AU64:AX64)</f>
        <v>21490</v>
      </c>
      <c r="EJ64" s="235">
        <f>SUM(AY64:BB64)</f>
        <v>19801</v>
      </c>
      <c r="EK64" s="235">
        <f>SUM(BC64:BF64)</f>
        <v>19424</v>
      </c>
      <c r="EL64" s="235">
        <f>SUM(BG64:BJ64)</f>
        <v>20969</v>
      </c>
      <c r="EM64" s="235">
        <f>SUM(BK64:BN64)</f>
        <v>20869</v>
      </c>
      <c r="EN64" s="235">
        <f>SUM(BO64:BR64)</f>
        <v>21455</v>
      </c>
      <c r="EO64" s="235">
        <f>EO61*EO95</f>
        <v>24831.650250000002</v>
      </c>
      <c r="EP64" s="235"/>
      <c r="EQ64" s="235"/>
      <c r="ER64" s="235">
        <f>+EQ64</f>
        <v>0</v>
      </c>
      <c r="ES64" s="235">
        <f t="shared" si="337"/>
        <v>20382</v>
      </c>
      <c r="ET64" s="235">
        <f t="shared" si="338"/>
        <v>19898</v>
      </c>
      <c r="EU64" s="235">
        <f t="shared" si="339"/>
        <v>22084</v>
      </c>
      <c r="EV64" s="235">
        <f>SUM(CU64:CX64)</f>
        <v>24653</v>
      </c>
      <c r="EW64" s="235">
        <f>SUM(CY64:DB64)</f>
        <v>18618</v>
      </c>
      <c r="EX64" s="235">
        <f t="shared" ref="EX64:FE64" si="376">+EX61*0.26</f>
        <v>25381.006300000005</v>
      </c>
      <c r="EY64" s="235">
        <f t="shared" si="376"/>
        <v>25567.237182500005</v>
      </c>
      <c r="EZ64" s="235">
        <f t="shared" si="376"/>
        <v>24043.511838027509</v>
      </c>
      <c r="FA64" s="235">
        <f t="shared" si="376"/>
        <v>23615.165693597566</v>
      </c>
      <c r="FB64" s="235">
        <f t="shared" si="376"/>
        <v>23413.399422254872</v>
      </c>
      <c r="FC64" s="235">
        <f t="shared" si="376"/>
        <v>23337.55747833545</v>
      </c>
      <c r="FD64" s="235">
        <f t="shared" si="376"/>
        <v>22978.185692872667</v>
      </c>
      <c r="FE64" s="235">
        <f t="shared" si="376"/>
        <v>22894.815014954631</v>
      </c>
      <c r="FF64" s="235">
        <f t="shared" ref="FF64:FJ64" si="377">+FF61*0.26</f>
        <v>22978.167601420591</v>
      </c>
      <c r="FG64" s="235">
        <f t="shared" si="377"/>
        <v>23170.027257875008</v>
      </c>
      <c r="FH64" s="235">
        <f t="shared" si="377"/>
        <v>23438.463252802405</v>
      </c>
      <c r="FI64" s="235">
        <f t="shared" si="377"/>
        <v>23765.296031707221</v>
      </c>
      <c r="FJ64" s="235">
        <f t="shared" si="377"/>
        <v>24139.713058542398</v>
      </c>
    </row>
    <row r="65" spans="1:270" s="275" customFormat="1" ht="12.75" customHeight="1" x14ac:dyDescent="0.2">
      <c r="A65"/>
      <c r="B65" t="s">
        <v>1779</v>
      </c>
      <c r="C65" s="235">
        <v>478</v>
      </c>
      <c r="D65" s="235">
        <v>520</v>
      </c>
      <c r="E65" s="235">
        <v>516</v>
      </c>
      <c r="F65" s="235">
        <v>626</v>
      </c>
      <c r="G65" s="235">
        <v>494</v>
      </c>
      <c r="H65" s="235">
        <v>532</v>
      </c>
      <c r="I65" s="235">
        <v>511</v>
      </c>
      <c r="J65" s="235">
        <v>732</v>
      </c>
      <c r="K65" s="235">
        <v>536</v>
      </c>
      <c r="L65" s="235">
        <v>574</v>
      </c>
      <c r="M65" s="235">
        <v>613</v>
      </c>
      <c r="N65" s="235">
        <v>812</v>
      </c>
      <c r="O65" s="235">
        <v>637</v>
      </c>
      <c r="P65" s="235">
        <v>667</v>
      </c>
      <c r="Q65" s="235">
        <v>692</v>
      </c>
      <c r="R65" s="235">
        <v>930</v>
      </c>
      <c r="S65" s="235">
        <v>701</v>
      </c>
      <c r="T65" s="235">
        <v>829</v>
      </c>
      <c r="U65" s="235">
        <v>899</v>
      </c>
      <c r="V65" s="235">
        <v>1104</v>
      </c>
      <c r="W65" s="235">
        <v>831</v>
      </c>
      <c r="X65" s="235">
        <v>932</v>
      </c>
      <c r="Y65" s="235">
        <v>952</v>
      </c>
      <c r="Z65" s="235">
        <v>1242</v>
      </c>
      <c r="AA65" s="235">
        <v>936</v>
      </c>
      <c r="AB65" s="235">
        <v>1082</v>
      </c>
      <c r="AC65" s="235">
        <v>1177</v>
      </c>
      <c r="AD65" s="235">
        <v>1489</v>
      </c>
      <c r="AE65" s="235">
        <v>1095</v>
      </c>
      <c r="AF65" s="243">
        <v>1182</v>
      </c>
      <c r="AG65" s="243">
        <v>1198</v>
      </c>
      <c r="AH65" s="243">
        <v>1727</v>
      </c>
      <c r="AI65" s="243">
        <v>1384</v>
      </c>
      <c r="AJ65" s="243">
        <v>1487</v>
      </c>
      <c r="AK65" s="243">
        <v>1539</v>
      </c>
      <c r="AL65" s="243">
        <v>2014</v>
      </c>
      <c r="AM65" s="243">
        <v>1532</v>
      </c>
      <c r="AN65" s="243">
        <f>1828-165</f>
        <v>1663</v>
      </c>
      <c r="AO65" s="243">
        <v>1719</v>
      </c>
      <c r="AP65" s="243">
        <v>2046</v>
      </c>
      <c r="AQ65" s="243">
        <v>1652</v>
      </c>
      <c r="AR65" s="243">
        <v>1866</v>
      </c>
      <c r="AS65" s="243">
        <v>1834</v>
      </c>
      <c r="AT65" s="243">
        <f>2328</f>
        <v>2328</v>
      </c>
      <c r="AU65" s="243">
        <v>1712</v>
      </c>
      <c r="AV65" s="243">
        <v>1896</v>
      </c>
      <c r="AW65" s="243">
        <v>1861</v>
      </c>
      <c r="AX65" s="243">
        <v>2108</v>
      </c>
      <c r="AY65" s="243">
        <v>1518</v>
      </c>
      <c r="AZ65" s="243">
        <v>1638</v>
      </c>
      <c r="BA65" s="243">
        <v>1617</v>
      </c>
      <c r="BB65" s="243">
        <v>2213</v>
      </c>
      <c r="BC65" s="243">
        <v>1557</v>
      </c>
      <c r="BD65" s="243">
        <v>1648</v>
      </c>
      <c r="BE65" s="243">
        <v>1657</v>
      </c>
      <c r="BF65" s="243">
        <v>1982</v>
      </c>
      <c r="BG65" s="243">
        <v>1738</v>
      </c>
      <c r="BH65" s="243">
        <v>1882</v>
      </c>
      <c r="BI65" s="243">
        <v>1773</v>
      </c>
      <c r="BJ65" s="243">
        <v>2155</v>
      </c>
      <c r="BK65" s="243">
        <v>1645</v>
      </c>
      <c r="BL65" s="243">
        <v>1766</v>
      </c>
      <c r="BM65" s="243">
        <v>1923</v>
      </c>
      <c r="BN65" s="243">
        <v>2331</v>
      </c>
      <c r="BO65" s="243">
        <v>1784</v>
      </c>
      <c r="BP65" s="243">
        <v>1946</v>
      </c>
      <c r="BQ65" s="243">
        <v>2042</v>
      </c>
      <c r="BR65" s="243">
        <v>2411</v>
      </c>
      <c r="BS65" s="243">
        <v>1831</v>
      </c>
      <c r="BT65" s="243">
        <v>2005</v>
      </c>
      <c r="BU65" s="243">
        <v>2023</v>
      </c>
      <c r="BV65" s="243">
        <v>2635</v>
      </c>
      <c r="BW65" s="243">
        <v>1899</v>
      </c>
      <c r="BX65" s="243">
        <v>2129</v>
      </c>
      <c r="BY65" s="243">
        <v>2154</v>
      </c>
      <c r="BZ65" s="243">
        <v>2864</v>
      </c>
      <c r="CA65" s="243">
        <v>2013</v>
      </c>
      <c r="CB65" s="243">
        <v>2264</v>
      </c>
      <c r="CC65" s="243">
        <v>2178</v>
      </c>
      <c r="CD65" s="243">
        <v>2640</v>
      </c>
      <c r="CE65" s="243">
        <v>2060</v>
      </c>
      <c r="CF65" s="243">
        <v>2285</v>
      </c>
      <c r="CG65" s="243">
        <v>2574</v>
      </c>
      <c r="CH65" s="243">
        <v>3635</v>
      </c>
      <c r="CI65" s="243">
        <v>2404</v>
      </c>
      <c r="CJ65" s="243">
        <v>2639</v>
      </c>
      <c r="CK65" s="243">
        <v>2508</v>
      </c>
      <c r="CL65" s="243">
        <v>3224</v>
      </c>
      <c r="CM65" s="243">
        <v>2858</v>
      </c>
      <c r="CN65" s="243">
        <v>2666</v>
      </c>
      <c r="CO65" s="243">
        <v>2599</v>
      </c>
      <c r="CP65" s="243">
        <v>3232</v>
      </c>
      <c r="CQ65" s="243">
        <v>2580</v>
      </c>
      <c r="CR65" s="243">
        <v>2707</v>
      </c>
      <c r="CS65" s="243">
        <v>2840</v>
      </c>
      <c r="CT65" s="243">
        <v>4032</v>
      </c>
      <c r="CU65" s="243">
        <v>3178</v>
      </c>
      <c r="CV65" s="243">
        <v>3364</v>
      </c>
      <c r="CW65" s="243">
        <v>3422</v>
      </c>
      <c r="CX65" s="243">
        <v>4720</v>
      </c>
      <c r="CY65" s="243">
        <v>3462</v>
      </c>
      <c r="CZ65" s="243">
        <v>3554</v>
      </c>
      <c r="DA65" s="243">
        <v>3597</v>
      </c>
      <c r="DB65" s="243">
        <v>3681</v>
      </c>
      <c r="DC65" s="243">
        <v>3455</v>
      </c>
      <c r="DD65" s="243">
        <v>3829</v>
      </c>
      <c r="DE65" s="243">
        <v>3447</v>
      </c>
      <c r="DF65" s="243">
        <v>4425</v>
      </c>
      <c r="DG65" s="243">
        <v>3490</v>
      </c>
      <c r="DH65" s="243"/>
      <c r="DI65" s="243"/>
      <c r="DJ65" s="243"/>
      <c r="DK65" s="243"/>
      <c r="DL65" s="243"/>
      <c r="DM65" s="243"/>
      <c r="DN65" s="243"/>
      <c r="DP65" s="235">
        <v>719</v>
      </c>
      <c r="DQ65" s="235">
        <v>834</v>
      </c>
      <c r="DR65" s="235">
        <v>980</v>
      </c>
      <c r="DS65" s="235">
        <v>1127</v>
      </c>
      <c r="DT65" s="235">
        <v>1182</v>
      </c>
      <c r="DU65" s="235">
        <v>1278</v>
      </c>
      <c r="DV65" s="235">
        <v>1634</v>
      </c>
      <c r="DW65" s="235">
        <v>1905</v>
      </c>
      <c r="DX65" s="235">
        <v>2140</v>
      </c>
      <c r="DY65" s="235">
        <v>2269</v>
      </c>
      <c r="DZ65" s="235">
        <v>2600</v>
      </c>
      <c r="EA65" s="235">
        <v>2926</v>
      </c>
      <c r="EB65" s="235">
        <v>3591</v>
      </c>
      <c r="EC65" s="235">
        <v>3957</v>
      </c>
      <c r="ED65" s="235">
        <v>4684</v>
      </c>
      <c r="EE65" s="235">
        <v>5203</v>
      </c>
      <c r="EF65" s="235">
        <v>6312</v>
      </c>
      <c r="EG65" s="235">
        <f>SUM(AM65:AP65)</f>
        <v>6960</v>
      </c>
      <c r="EH65" s="235">
        <f>SUM(AQ65:AT65)</f>
        <v>7680</v>
      </c>
      <c r="EI65" s="235">
        <f>SUM(AU65:AX65)</f>
        <v>7577</v>
      </c>
      <c r="EJ65" s="235">
        <f>SUM(AY65:BB65)</f>
        <v>6986</v>
      </c>
      <c r="EK65" s="235">
        <f>SUM(BC65:BF65)</f>
        <v>6844</v>
      </c>
      <c r="EL65" s="235">
        <f>SUM(BG65:BJ65)</f>
        <v>7548</v>
      </c>
      <c r="EM65" s="235">
        <f>SUM(BK65:BN65)</f>
        <v>7665</v>
      </c>
      <c r="EN65" s="235">
        <f>SUM(BO65:BR65)</f>
        <v>8183</v>
      </c>
      <c r="EO65" s="235">
        <v>3000</v>
      </c>
      <c r="EP65" s="235">
        <v>3000</v>
      </c>
      <c r="EQ65" s="235">
        <v>3000</v>
      </c>
      <c r="ER65" s="235"/>
      <c r="ES65" s="235">
        <f t="shared" si="337"/>
        <v>10775</v>
      </c>
      <c r="ET65" s="235">
        <f t="shared" si="338"/>
        <v>11355</v>
      </c>
      <c r="EU65" s="235">
        <f t="shared" si="339"/>
        <v>12159</v>
      </c>
      <c r="EV65" s="235">
        <f t="shared" si="360"/>
        <v>14684</v>
      </c>
      <c r="EW65" s="235">
        <f>SUM(CY65:DB65)</f>
        <v>14294</v>
      </c>
      <c r="EX65" s="235">
        <v>3000</v>
      </c>
      <c r="EY65" s="235">
        <v>3000</v>
      </c>
      <c r="EZ65" s="235">
        <v>3000</v>
      </c>
      <c r="FA65" s="235">
        <v>3000</v>
      </c>
      <c r="FB65" s="235">
        <v>3000</v>
      </c>
      <c r="FC65" s="235">
        <v>3000</v>
      </c>
      <c r="FD65" s="235">
        <v>3000</v>
      </c>
      <c r="FE65" s="235">
        <v>3000</v>
      </c>
      <c r="FF65" s="235">
        <v>3000</v>
      </c>
      <c r="FG65" s="235">
        <v>3000</v>
      </c>
      <c r="FH65" s="235">
        <v>3000</v>
      </c>
      <c r="FI65" s="235">
        <v>3000</v>
      </c>
      <c r="FJ65" s="235">
        <v>3000</v>
      </c>
    </row>
    <row r="66" spans="1:270" s="275" customFormat="1" ht="12.75" customHeight="1" x14ac:dyDescent="0.2">
      <c r="A66"/>
      <c r="B66" t="s">
        <v>522</v>
      </c>
      <c r="C66" s="235"/>
      <c r="D66" s="235"/>
      <c r="E66" s="235"/>
      <c r="F66" s="235"/>
      <c r="G66" s="235"/>
      <c r="H66" s="235"/>
      <c r="I66" s="235"/>
      <c r="J66" s="235"/>
      <c r="K66" s="235"/>
      <c r="L66" s="235"/>
      <c r="M66" s="235"/>
      <c r="N66" s="235"/>
      <c r="O66" s="235"/>
      <c r="P66" s="235"/>
      <c r="Q66" s="235"/>
      <c r="R66" s="235"/>
      <c r="S66" s="235"/>
      <c r="T66" s="235"/>
      <c r="U66" s="235"/>
      <c r="V66" s="235"/>
      <c r="W66" s="235"/>
      <c r="X66" s="235"/>
      <c r="Y66" s="235"/>
      <c r="Z66" s="235"/>
      <c r="AA66" s="235"/>
      <c r="AB66" s="235"/>
      <c r="AC66" s="235"/>
      <c r="AD66" s="235"/>
      <c r="AE66" s="235"/>
      <c r="AF66" s="243"/>
      <c r="AG66" s="243"/>
      <c r="AH66" s="243"/>
      <c r="AI66" s="243"/>
      <c r="AJ66" s="243"/>
      <c r="AK66" s="243"/>
      <c r="AL66" s="243"/>
      <c r="AM66" s="243"/>
      <c r="AN66" s="243"/>
      <c r="AO66" s="243"/>
      <c r="AP66" s="243"/>
      <c r="AQ66" s="243"/>
      <c r="AR66" s="243"/>
      <c r="AS66" s="243"/>
      <c r="AT66" s="243"/>
      <c r="AU66" s="243"/>
      <c r="AV66" s="243"/>
      <c r="AW66" s="243"/>
      <c r="AX66" s="243"/>
      <c r="AY66" s="243"/>
      <c r="AZ66" s="243"/>
      <c r="BA66" s="243"/>
      <c r="BB66" s="243"/>
      <c r="BC66" s="243"/>
      <c r="BD66" s="243"/>
      <c r="BE66" s="243"/>
      <c r="BF66" s="243"/>
      <c r="BG66" s="243"/>
      <c r="BH66" s="243"/>
      <c r="BI66" s="243"/>
      <c r="BJ66" s="243"/>
      <c r="BK66" s="243"/>
      <c r="BL66" s="243"/>
      <c r="BM66" s="243"/>
      <c r="BN66" s="243"/>
      <c r="BO66" s="243"/>
      <c r="BP66" s="243"/>
      <c r="BQ66" s="243"/>
      <c r="BR66" s="243"/>
      <c r="BS66" s="243">
        <f t="shared" ref="BS66" si="378">+BS64+BS65</f>
        <v>7014</v>
      </c>
      <c r="BT66" s="243">
        <f t="shared" ref="BT66" si="379">+BT64+BT65</f>
        <v>7486</v>
      </c>
      <c r="BU66" s="243">
        <f t="shared" ref="BU66" si="380">+BU64+BU65</f>
        <v>7491</v>
      </c>
      <c r="BV66" s="243">
        <f t="shared" ref="BV66" si="381">+BV64+BV65</f>
        <v>8457</v>
      </c>
      <c r="BW66" s="243">
        <f>+BW64+BW65</f>
        <v>6746</v>
      </c>
      <c r="BX66" s="243">
        <f t="shared" ref="BX66:BY66" si="382">+BX64+BX65</f>
        <v>7513</v>
      </c>
      <c r="BY66" s="243">
        <f t="shared" si="382"/>
        <v>7235</v>
      </c>
      <c r="BZ66" s="243">
        <f t="shared" ref="BZ66" si="383">+BZ64+BZ65</f>
        <v>8755</v>
      </c>
      <c r="CA66" s="243">
        <f t="shared" ref="CA66:CB66" si="384">+CA64+CA65</f>
        <v>6701</v>
      </c>
      <c r="CB66" s="243">
        <f t="shared" si="384"/>
        <v>7440</v>
      </c>
      <c r="CC66" s="243">
        <f t="shared" ref="CC66:CD66" si="385">+CC64+CC65</f>
        <v>6950</v>
      </c>
      <c r="CD66" s="243">
        <f t="shared" si="385"/>
        <v>7949</v>
      </c>
      <c r="CE66" s="243">
        <f t="shared" ref="CE66:CH66" si="386">+CE64+CE65</f>
        <v>6797</v>
      </c>
      <c r="CF66" s="243">
        <f t="shared" si="386"/>
        <v>7547</v>
      </c>
      <c r="CG66" s="243">
        <f t="shared" si="386"/>
        <v>7970</v>
      </c>
      <c r="CH66" s="243">
        <f t="shared" si="386"/>
        <v>9660</v>
      </c>
      <c r="CI66" s="243">
        <f>+CI64+CI65</f>
        <v>7667</v>
      </c>
      <c r="CJ66" s="243">
        <f>+CJ64+CJ65</f>
        <v>8382</v>
      </c>
      <c r="CK66" s="243">
        <f>+CK65+CK64</f>
        <v>6966</v>
      </c>
      <c r="CL66" s="243">
        <f>+CL65+CL64</f>
        <v>8142</v>
      </c>
      <c r="CM66" s="243">
        <f t="shared" ref="CM66" si="387">+CM65+CM64</f>
        <v>8077</v>
      </c>
      <c r="CN66" s="243">
        <f>+CN65+CN64</f>
        <v>8212</v>
      </c>
      <c r="CO66" s="243">
        <f>+CO65+CO64</f>
        <v>6835</v>
      </c>
      <c r="CP66" s="243">
        <f>+CP65+CP64</f>
        <v>8129</v>
      </c>
      <c r="CQ66" s="243">
        <f t="shared" ref="CQ66" si="388">+CQ65+CQ64</f>
        <v>7783</v>
      </c>
      <c r="CR66" s="243">
        <f t="shared" ref="CR66" si="389">+CR65+CR64</f>
        <v>7700</v>
      </c>
      <c r="CS66" s="243">
        <f t="shared" ref="CS66" si="390">+CS65+CS64</f>
        <v>8271</v>
      </c>
      <c r="CT66" s="243">
        <f t="shared" ref="CT66" si="391">+CT65+CT64</f>
        <v>10489</v>
      </c>
      <c r="CU66" s="243">
        <f t="shared" ref="CU66" si="392">+CU65+CU64</f>
        <v>8610</v>
      </c>
      <c r="CV66" s="243">
        <f t="shared" ref="CV66" si="393">+CV65+CV64</f>
        <v>9431</v>
      </c>
      <c r="CW66" s="243">
        <f t="shared" ref="CW66" si="394">+CW65+CW64</f>
        <v>9422</v>
      </c>
      <c r="CX66" s="243">
        <f t="shared" ref="CX66" si="395">+CX65+CX64</f>
        <v>11874</v>
      </c>
      <c r="CY66" s="243">
        <f>+CY65+CY64</f>
        <v>9400</v>
      </c>
      <c r="CZ66" s="243">
        <f>+CZ65+CZ64</f>
        <v>9774</v>
      </c>
      <c r="DA66" s="243">
        <f t="shared" ref="DA66:DG66" si="396">+DA65+DA64</f>
        <v>3597</v>
      </c>
      <c r="DB66" s="243">
        <f t="shared" si="396"/>
        <v>10141</v>
      </c>
      <c r="DC66" s="243">
        <f t="shared" si="396"/>
        <v>8361</v>
      </c>
      <c r="DD66" s="243">
        <f t="shared" si="396"/>
        <v>10494</v>
      </c>
      <c r="DE66" s="243">
        <f>+DE65+DE64</f>
        <v>8847</v>
      </c>
      <c r="DF66" s="243">
        <f t="shared" si="396"/>
        <v>10227</v>
      </c>
      <c r="DG66" s="243">
        <f t="shared" si="396"/>
        <v>8743</v>
      </c>
      <c r="DH66" s="243">
        <f t="shared" ref="DH66:DN66" si="397">+DH65+DH64</f>
        <v>0</v>
      </c>
      <c r="DI66" s="243">
        <f t="shared" si="397"/>
        <v>0</v>
      </c>
      <c r="DJ66" s="243">
        <f t="shared" si="397"/>
        <v>0</v>
      </c>
      <c r="DK66" s="243">
        <f t="shared" si="397"/>
        <v>0</v>
      </c>
      <c r="DL66" s="243">
        <f t="shared" si="397"/>
        <v>0</v>
      </c>
      <c r="DM66" s="243">
        <f t="shared" si="397"/>
        <v>0</v>
      </c>
      <c r="DN66" s="243">
        <f t="shared" si="397"/>
        <v>0</v>
      </c>
      <c r="DP66" s="235"/>
      <c r="DQ66" s="235"/>
      <c r="DR66" s="235"/>
      <c r="DS66" s="235"/>
      <c r="DT66" s="235"/>
      <c r="DU66" s="235"/>
      <c r="DV66" s="235"/>
      <c r="DW66" s="235"/>
      <c r="DX66" s="235"/>
      <c r="DY66" s="235"/>
      <c r="DZ66" s="235"/>
      <c r="EA66" s="235"/>
      <c r="EB66" s="235"/>
      <c r="EC66" s="235"/>
      <c r="ED66" s="235"/>
      <c r="EE66" s="235"/>
      <c r="EF66" s="235"/>
      <c r="EG66" s="235"/>
      <c r="EH66" s="235"/>
      <c r="EI66" s="235"/>
      <c r="EJ66" s="235"/>
      <c r="EK66" s="235"/>
      <c r="EL66" s="235"/>
      <c r="EM66" s="235"/>
      <c r="EN66" s="235"/>
      <c r="EO66" s="235"/>
      <c r="EP66" s="235"/>
      <c r="EQ66" s="235"/>
      <c r="ER66" s="235"/>
      <c r="ES66" s="235">
        <f t="shared" ref="ES66:EV66" si="398">+ES65+ES64</f>
        <v>31157</v>
      </c>
      <c r="ET66" s="235">
        <f t="shared" si="398"/>
        <v>31253</v>
      </c>
      <c r="EU66" s="235">
        <f t="shared" si="398"/>
        <v>34243</v>
      </c>
      <c r="EV66" s="235">
        <f t="shared" si="398"/>
        <v>39337</v>
      </c>
      <c r="EW66" s="235">
        <f>+EW65+EW64</f>
        <v>32912</v>
      </c>
      <c r="EX66" s="235">
        <f t="shared" ref="EX66" si="399">+EX65+EX64</f>
        <v>28381.006300000005</v>
      </c>
      <c r="EY66" s="235">
        <f t="shared" ref="EY66" si="400">+EY65+EY64</f>
        <v>28567.237182500005</v>
      </c>
      <c r="EZ66" s="235">
        <f t="shared" ref="EZ66" si="401">+EZ65+EZ64</f>
        <v>27043.511838027509</v>
      </c>
      <c r="FA66" s="235">
        <f t="shared" ref="FA66" si="402">+FA65+FA64</f>
        <v>26615.165693597566</v>
      </c>
      <c r="FB66" s="235">
        <f t="shared" ref="FB66" si="403">+FB65+FB64</f>
        <v>26413.399422254872</v>
      </c>
      <c r="FC66" s="235">
        <f t="shared" ref="FC66" si="404">+FC65+FC64</f>
        <v>26337.55747833545</v>
      </c>
      <c r="FD66" s="235">
        <f t="shared" ref="FD66" si="405">+FD65+FD64</f>
        <v>25978.185692872667</v>
      </c>
      <c r="FE66" s="235">
        <f t="shared" ref="FE66:FJ66" si="406">+FE65+FE64</f>
        <v>25894.815014954631</v>
      </c>
      <c r="FF66" s="235">
        <f t="shared" si="406"/>
        <v>25978.167601420591</v>
      </c>
      <c r="FG66" s="235">
        <f t="shared" si="406"/>
        <v>26170.027257875008</v>
      </c>
      <c r="FH66" s="235">
        <f t="shared" si="406"/>
        <v>26438.463252802405</v>
      </c>
      <c r="FI66" s="235">
        <f t="shared" si="406"/>
        <v>26765.296031707221</v>
      </c>
      <c r="FJ66" s="235">
        <f t="shared" si="406"/>
        <v>27139.713058542398</v>
      </c>
    </row>
    <row r="67" spans="1:270" s="275" customFormat="1" ht="12.75" customHeight="1" x14ac:dyDescent="0.2">
      <c r="A67"/>
      <c r="B67" t="s">
        <v>341</v>
      </c>
      <c r="C67" s="235">
        <f t="shared" ref="C67:AH67" si="407">C63-C64-C65</f>
        <v>1327</v>
      </c>
      <c r="D67" s="235">
        <f t="shared" si="407"/>
        <v>1287</v>
      </c>
      <c r="E67" s="235">
        <f t="shared" si="407"/>
        <v>1171</v>
      </c>
      <c r="F67" s="235">
        <f t="shared" si="407"/>
        <v>837</v>
      </c>
      <c r="G67" s="235">
        <f t="shared" si="407"/>
        <v>1412</v>
      </c>
      <c r="H67" s="235">
        <f t="shared" si="407"/>
        <v>1334</v>
      </c>
      <c r="I67" s="235">
        <f t="shared" si="407"/>
        <v>1304</v>
      </c>
      <c r="J67" s="235">
        <f t="shared" si="407"/>
        <v>995</v>
      </c>
      <c r="K67" s="235">
        <f t="shared" si="407"/>
        <v>1661</v>
      </c>
      <c r="L67" s="235">
        <f t="shared" si="407"/>
        <v>1645</v>
      </c>
      <c r="M67" s="235">
        <f t="shared" si="407"/>
        <v>1542</v>
      </c>
      <c r="N67" s="235">
        <f t="shared" si="407"/>
        <v>1023</v>
      </c>
      <c r="O67" s="235">
        <f t="shared" si="407"/>
        <v>1832</v>
      </c>
      <c r="P67" s="235">
        <f t="shared" si="407"/>
        <v>1840</v>
      </c>
      <c r="Q67" s="235">
        <f t="shared" si="407"/>
        <v>1658</v>
      </c>
      <c r="R67" s="235">
        <f t="shared" si="407"/>
        <v>1147</v>
      </c>
      <c r="S67" s="235">
        <f t="shared" si="407"/>
        <v>2090</v>
      </c>
      <c r="T67" s="235">
        <f t="shared" si="407"/>
        <v>2176</v>
      </c>
      <c r="U67" s="235">
        <f t="shared" si="407"/>
        <v>2060</v>
      </c>
      <c r="V67" s="235">
        <f t="shared" si="407"/>
        <v>1530</v>
      </c>
      <c r="W67" s="235">
        <f t="shared" si="407"/>
        <v>2612</v>
      </c>
      <c r="X67" s="235">
        <f t="shared" si="407"/>
        <v>2542</v>
      </c>
      <c r="Y67" s="235">
        <f t="shared" si="407"/>
        <v>2510</v>
      </c>
      <c r="Z67" s="235">
        <f t="shared" si="407"/>
        <v>2014</v>
      </c>
      <c r="AA67" s="235">
        <f t="shared" si="407"/>
        <v>2911</v>
      </c>
      <c r="AB67" s="235">
        <f t="shared" si="407"/>
        <v>2888</v>
      </c>
      <c r="AC67" s="235">
        <f t="shared" si="407"/>
        <v>2869</v>
      </c>
      <c r="AD67" s="235">
        <f t="shared" si="407"/>
        <v>2338</v>
      </c>
      <c r="AE67" s="235">
        <f t="shared" si="407"/>
        <v>3882</v>
      </c>
      <c r="AF67" s="243">
        <f t="shared" si="407"/>
        <v>3837</v>
      </c>
      <c r="AG67" s="243">
        <f t="shared" si="407"/>
        <v>3314</v>
      </c>
      <c r="AH67" s="243">
        <f t="shared" si="407"/>
        <v>2664</v>
      </c>
      <c r="AI67" s="243">
        <f t="shared" ref="AI67:BA67" si="408">AI63-AI64-AI65</f>
        <v>3825</v>
      </c>
      <c r="AJ67" s="243">
        <f t="shared" si="408"/>
        <v>3559</v>
      </c>
      <c r="AK67" s="243">
        <f t="shared" si="408"/>
        <v>3256</v>
      </c>
      <c r="AL67" s="243">
        <f t="shared" si="408"/>
        <v>2313</v>
      </c>
      <c r="AM67" s="243">
        <f t="shared" si="408"/>
        <v>3753</v>
      </c>
      <c r="AN67" s="243">
        <f t="shared" si="408"/>
        <v>3561</v>
      </c>
      <c r="AO67" s="243">
        <f t="shared" si="408"/>
        <v>3627</v>
      </c>
      <c r="AP67" s="243">
        <f t="shared" si="408"/>
        <v>2933</v>
      </c>
      <c r="AQ67" s="243">
        <f>AQ63-AQ64-AQ65</f>
        <v>4248</v>
      </c>
      <c r="AR67" s="243">
        <f t="shared" si="408"/>
        <v>3889</v>
      </c>
      <c r="AS67" s="243">
        <f t="shared" si="408"/>
        <v>4000</v>
      </c>
      <c r="AT67" s="243">
        <f t="shared" si="408"/>
        <v>3174</v>
      </c>
      <c r="AU67" s="243">
        <f t="shared" si="408"/>
        <v>4745</v>
      </c>
      <c r="AV67" s="243">
        <f t="shared" si="408"/>
        <v>4296</v>
      </c>
      <c r="AW67" s="243">
        <f t="shared" si="408"/>
        <v>4091</v>
      </c>
      <c r="AX67" s="243">
        <f t="shared" si="408"/>
        <v>3037</v>
      </c>
      <c r="AY67" s="243">
        <f t="shared" si="408"/>
        <v>4649</v>
      </c>
      <c r="AZ67" s="243">
        <f t="shared" si="408"/>
        <v>4354</v>
      </c>
      <c r="BA67" s="243">
        <f t="shared" si="408"/>
        <v>4263</v>
      </c>
      <c r="BB67" s="243">
        <f t="shared" ref="BB67:BH67" si="409">BB63-BB64-BB65</f>
        <v>3510</v>
      </c>
      <c r="BC67" s="243">
        <f t="shared" si="409"/>
        <v>4767</v>
      </c>
      <c r="BD67" s="243">
        <f t="shared" si="409"/>
        <v>4355</v>
      </c>
      <c r="BE67" s="243">
        <f t="shared" si="409"/>
        <v>4022</v>
      </c>
      <c r="BF67" s="243">
        <f t="shared" si="409"/>
        <v>3442</v>
      </c>
      <c r="BG67" s="243">
        <f t="shared" si="409"/>
        <v>5394</v>
      </c>
      <c r="BH67" s="243">
        <f t="shared" si="409"/>
        <v>4328</v>
      </c>
      <c r="BI67" s="243">
        <f>BI63-BI64-BI65</f>
        <v>3920</v>
      </c>
      <c r="BJ67" s="243">
        <f t="shared" ref="BJ67:BN67" si="410">BJ63-BJ64-BJ65</f>
        <v>5870</v>
      </c>
      <c r="BK67" s="243">
        <f>BK63-BK64-BK65</f>
        <v>4564</v>
      </c>
      <c r="BL67" s="243">
        <f t="shared" si="410"/>
        <v>4752</v>
      </c>
      <c r="BM67" s="243">
        <f>BM63-BM64-BM65</f>
        <v>4443</v>
      </c>
      <c r="BN67" s="243">
        <f t="shared" si="410"/>
        <v>3796</v>
      </c>
      <c r="BO67" s="243">
        <f t="shared" ref="BO67:BQ67" si="411">BO63-BO64-BO65</f>
        <v>4987</v>
      </c>
      <c r="BP67" s="243">
        <f t="shared" si="411"/>
        <v>5497</v>
      </c>
      <c r="BQ67" s="243">
        <f t="shared" si="411"/>
        <v>4939</v>
      </c>
      <c r="BR67" s="243">
        <f>BR63-BR64-BR65</f>
        <v>4168</v>
      </c>
      <c r="BS67" s="243">
        <f>BS63-BS64-BS65</f>
        <v>5750</v>
      </c>
      <c r="BT67" s="243">
        <f t="shared" ref="BT67:BV67" si="412">BT63-BT64-BT65</f>
        <v>5970</v>
      </c>
      <c r="BU67" s="243">
        <f t="shared" ref="BU67" si="413">BU63-BU64-BU65</f>
        <v>5577</v>
      </c>
      <c r="BV67" s="243">
        <f t="shared" si="412"/>
        <v>3944</v>
      </c>
      <c r="BW67" s="243">
        <f>BW63-BW64-BW65</f>
        <v>5346</v>
      </c>
      <c r="BX67" s="243">
        <f t="shared" ref="BX67:BY67" si="414">+BX63-BX66</f>
        <v>4917</v>
      </c>
      <c r="BY67" s="243">
        <f t="shared" si="414"/>
        <v>4643</v>
      </c>
      <c r="BZ67" s="243">
        <f t="shared" ref="BZ67" si="415">+BZ63-BZ66</f>
        <v>3383</v>
      </c>
      <c r="CA67" s="243">
        <f t="shared" ref="CA67:CB67" si="416">+CA63-CA66</f>
        <v>5452</v>
      </c>
      <c r="CB67" s="243">
        <f t="shared" si="416"/>
        <v>5706</v>
      </c>
      <c r="CC67" s="243">
        <f t="shared" ref="CC67:CD67" si="417">+CC63-CC66</f>
        <v>5384</v>
      </c>
      <c r="CD67" s="243">
        <f t="shared" si="417"/>
        <v>4623</v>
      </c>
      <c r="CE67" s="243">
        <f t="shared" ref="CE67:CH67" si="418">+CE63-CE66</f>
        <v>5583</v>
      </c>
      <c r="CF67" s="243">
        <f t="shared" si="418"/>
        <v>5469</v>
      </c>
      <c r="CG67" s="243">
        <f t="shared" si="418"/>
        <v>4778</v>
      </c>
      <c r="CH67" s="243">
        <f t="shared" si="418"/>
        <v>4576</v>
      </c>
      <c r="CI67" s="243">
        <f>+CI63-CI66</f>
        <v>5728</v>
      </c>
      <c r="CJ67" s="243">
        <f>+CJ63-CJ66</f>
        <v>5521</v>
      </c>
      <c r="CK67" s="243">
        <f>+CK63-CK66</f>
        <v>6793</v>
      </c>
      <c r="CL67" s="243">
        <f>+CL63-CL66</f>
        <v>5291</v>
      </c>
      <c r="CM67" s="243">
        <f t="shared" ref="CM67" si="419">+CM63-CM66</f>
        <v>5329</v>
      </c>
      <c r="CN67" s="243">
        <f>+CN63-CN66</f>
        <v>5412</v>
      </c>
      <c r="CO67" s="243">
        <f>+CO63-CO66</f>
        <v>7026</v>
      </c>
      <c r="CP67" s="243">
        <f>+CP63-CP66</f>
        <v>5481</v>
      </c>
      <c r="CQ67" s="243">
        <f t="shared" ref="CQ67" si="420">+CQ63-CQ66</f>
        <v>5845</v>
      </c>
      <c r="CR67" s="243">
        <f t="shared" ref="CR67" si="421">+CR63-CR66</f>
        <v>4059</v>
      </c>
      <c r="CS67" s="243">
        <f t="shared" ref="CS67" si="422">+CS63-CS66</f>
        <v>5839</v>
      </c>
      <c r="CT67" s="243">
        <f t="shared" ref="CT67" si="423">+CT63-CT66</f>
        <v>4173</v>
      </c>
      <c r="CU67" s="243">
        <f t="shared" ref="CU67" si="424">+CU63-CU66</f>
        <v>6648</v>
      </c>
      <c r="CV67" s="243">
        <f t="shared" ref="CV67" si="425">+CV63-CV66</f>
        <v>7665</v>
      </c>
      <c r="CW67" s="243">
        <f t="shared" ref="CW67" si="426">+CW63-CW66</f>
        <v>6663</v>
      </c>
      <c r="CX67" s="243">
        <f t="shared" ref="CX67" si="427">+CX63-CX66</f>
        <v>5049</v>
      </c>
      <c r="CY67" s="243">
        <f>+CY63-CY66</f>
        <v>6526</v>
      </c>
      <c r="CZ67" s="243">
        <f>+CZ63-CZ66</f>
        <v>7755</v>
      </c>
      <c r="DA67" s="243">
        <f t="shared" ref="DA67:DG67" si="428">+DA63-DA66</f>
        <v>12543</v>
      </c>
      <c r="DB67" s="243">
        <f t="shared" si="428"/>
        <v>7266</v>
      </c>
      <c r="DC67" s="243">
        <f t="shared" si="428"/>
        <v>5846</v>
      </c>
      <c r="DD67" s="243">
        <f t="shared" si="428"/>
        <v>6918</v>
      </c>
      <c r="DE67" s="243">
        <f>+DE63-DE66</f>
        <v>6008</v>
      </c>
      <c r="DF67" s="243">
        <f t="shared" si="428"/>
        <v>5639</v>
      </c>
      <c r="DG67" s="243">
        <f t="shared" si="428"/>
        <v>7235</v>
      </c>
      <c r="DH67" s="243">
        <f t="shared" ref="DH67:DN67" si="429">+DH63-DH66</f>
        <v>16218.225000000002</v>
      </c>
      <c r="DI67" s="243">
        <f t="shared" si="429"/>
        <v>16235.744999999999</v>
      </c>
      <c r="DJ67" s="243">
        <f t="shared" si="429"/>
        <v>16462.191749999998</v>
      </c>
      <c r="DK67" s="243">
        <f t="shared" si="429"/>
        <v>16389.730575000001</v>
      </c>
      <c r="DL67" s="243">
        <f t="shared" si="429"/>
        <v>16650.230617499998</v>
      </c>
      <c r="DM67" s="243">
        <f t="shared" si="429"/>
        <v>16713.791415749998</v>
      </c>
      <c r="DN67" s="243">
        <f t="shared" si="429"/>
        <v>16980.326579175002</v>
      </c>
      <c r="DP67" s="235">
        <f t="shared" ref="DP67:EQ67" si="430">DP63-DP64-DP65</f>
        <v>1661</v>
      </c>
      <c r="DQ67" s="235">
        <f t="shared" si="430"/>
        <v>1992</v>
      </c>
      <c r="DR67" s="235">
        <f t="shared" si="430"/>
        <v>2164</v>
      </c>
      <c r="DS67" s="235">
        <f t="shared" si="430"/>
        <v>2277</v>
      </c>
      <c r="DT67" s="235">
        <f t="shared" si="430"/>
        <v>2394</v>
      </c>
      <c r="DU67" s="235">
        <f t="shared" si="430"/>
        <v>2807</v>
      </c>
      <c r="DV67" s="235">
        <f t="shared" si="430"/>
        <v>3511</v>
      </c>
      <c r="DW67" s="235">
        <f t="shared" si="430"/>
        <v>4303</v>
      </c>
      <c r="DX67" s="235">
        <f t="shared" si="430"/>
        <v>4622</v>
      </c>
      <c r="DY67" s="235">
        <f t="shared" si="430"/>
        <v>5045</v>
      </c>
      <c r="DZ67" s="235">
        <f t="shared" si="430"/>
        <v>5926</v>
      </c>
      <c r="EA67" s="235">
        <f t="shared" si="430"/>
        <v>6477</v>
      </c>
      <c r="EB67" s="235">
        <f t="shared" si="430"/>
        <v>7885</v>
      </c>
      <c r="EC67" s="235">
        <f t="shared" si="430"/>
        <v>10291.900000000001</v>
      </c>
      <c r="ED67" s="235">
        <f t="shared" si="430"/>
        <v>11374.400000000001</v>
      </c>
      <c r="EE67" s="235">
        <f t="shared" si="430"/>
        <v>13632</v>
      </c>
      <c r="EF67" s="235">
        <f t="shared" si="430"/>
        <v>12355</v>
      </c>
      <c r="EG67" s="235">
        <f t="shared" si="430"/>
        <v>13874</v>
      </c>
      <c r="EH67" s="235">
        <f>EH63-EH64-EH65</f>
        <v>15213</v>
      </c>
      <c r="EI67" s="235">
        <f>EI63-EI64-EI65</f>
        <v>16169</v>
      </c>
      <c r="EJ67" s="235">
        <f>EJ63-EJ64-EJ65</f>
        <v>16776</v>
      </c>
      <c r="EK67" s="235">
        <f>EK63-EK64-EK65</f>
        <v>16395</v>
      </c>
      <c r="EL67" s="235">
        <f t="shared" si="430"/>
        <v>19512</v>
      </c>
      <c r="EM67" s="235">
        <f t="shared" si="430"/>
        <v>17555</v>
      </c>
      <c r="EN67" s="235">
        <f t="shared" si="430"/>
        <v>19332</v>
      </c>
      <c r="EO67" s="235">
        <f t="shared" si="430"/>
        <v>24089.072999999993</v>
      </c>
      <c r="EP67" s="235">
        <f t="shared" si="430"/>
        <v>49489.613259749996</v>
      </c>
      <c r="EQ67" s="235">
        <f t="shared" si="430"/>
        <v>45613.910215721247</v>
      </c>
      <c r="ER67" s="235">
        <f t="shared" ref="ER67:EU67" si="431">ER63-ER64-ER65</f>
        <v>0.12626999999999999</v>
      </c>
      <c r="ES67" s="235">
        <f t="shared" si="431"/>
        <v>23333.018299999996</v>
      </c>
      <c r="ET67" s="235">
        <f t="shared" si="431"/>
        <v>23248.001829999994</v>
      </c>
      <c r="EU67" s="235">
        <f t="shared" si="431"/>
        <v>19916</v>
      </c>
      <c r="EV67" s="235">
        <f>+EV63-EV66</f>
        <v>26249</v>
      </c>
      <c r="EW67" s="235">
        <f>+EW63-EW66</f>
        <v>33984</v>
      </c>
      <c r="EX67" s="235">
        <f t="shared" ref="EX67:FE67" si="432">+EX63-EX66</f>
        <v>38976.279649999997</v>
      </c>
      <c r="EY67" s="235">
        <f t="shared" si="432"/>
        <v>39284.27687875001</v>
      </c>
      <c r="EZ67" s="235">
        <f t="shared" si="432"/>
        <v>36764.269578276253</v>
      </c>
      <c r="FA67" s="235">
        <f t="shared" si="432"/>
        <v>36055.850954795969</v>
      </c>
      <c r="FB67" s="235">
        <f t="shared" si="432"/>
        <v>35722.160582959972</v>
      </c>
      <c r="FC67" s="235">
        <f t="shared" si="432"/>
        <v>35596.72967570863</v>
      </c>
      <c r="FD67" s="235">
        <f t="shared" si="432"/>
        <v>35002.384030520174</v>
      </c>
      <c r="FE67" s="235">
        <f t="shared" si="432"/>
        <v>34864.501755501886</v>
      </c>
      <c r="FF67" s="235">
        <f t="shared" ref="FF67:FJ67" si="433">+FF63-FF66</f>
        <v>35002.354110041735</v>
      </c>
      <c r="FG67" s="235">
        <f t="shared" si="433"/>
        <v>35319.660464947126</v>
      </c>
      <c r="FH67" s="235">
        <f t="shared" si="433"/>
        <v>35763.612302711656</v>
      </c>
      <c r="FI67" s="235">
        <f t="shared" si="433"/>
        <v>36304.143437054241</v>
      </c>
      <c r="FJ67" s="235">
        <f t="shared" si="433"/>
        <v>36923.371596820114</v>
      </c>
    </row>
    <row r="68" spans="1:270" s="275" customFormat="1" ht="12.75" customHeight="1" x14ac:dyDescent="0.2">
      <c r="A68"/>
      <c r="B68" t="s">
        <v>342</v>
      </c>
      <c r="C68" s="235">
        <v>36</v>
      </c>
      <c r="D68" s="235">
        <v>57</v>
      </c>
      <c r="E68" s="235">
        <v>58</v>
      </c>
      <c r="F68" s="235">
        <v>36</v>
      </c>
      <c r="G68" s="235">
        <v>61</v>
      </c>
      <c r="H68" s="235">
        <v>64</v>
      </c>
      <c r="I68" s="235">
        <v>67</v>
      </c>
      <c r="J68" s="235">
        <v>40</v>
      </c>
      <c r="K68" s="235">
        <v>52</v>
      </c>
      <c r="L68" s="235">
        <v>51</v>
      </c>
      <c r="M68" s="235">
        <v>61</v>
      </c>
      <c r="N68" s="235">
        <v>32</v>
      </c>
      <c r="O68" s="235">
        <v>77</v>
      </c>
      <c r="P68" s="235">
        <v>81</v>
      </c>
      <c r="Q68" s="235">
        <v>106</v>
      </c>
      <c r="R68" s="235">
        <v>84</v>
      </c>
      <c r="S68" s="235">
        <v>105</v>
      </c>
      <c r="T68" s="235">
        <v>120</v>
      </c>
      <c r="U68" s="235">
        <v>106</v>
      </c>
      <c r="V68" s="235">
        <v>74</v>
      </c>
      <c r="W68" s="235">
        <v>76</v>
      </c>
      <c r="X68" s="235">
        <v>189</v>
      </c>
      <c r="Y68" s="235">
        <v>51</v>
      </c>
      <c r="Z68" s="235">
        <v>12</v>
      </c>
      <c r="AA68" s="235">
        <v>38</v>
      </c>
      <c r="AB68" s="235">
        <v>43</v>
      </c>
      <c r="AC68" s="235">
        <v>63</v>
      </c>
      <c r="AD68" s="235">
        <v>-11</v>
      </c>
      <c r="AE68" s="235">
        <v>-6</v>
      </c>
      <c r="AF68" s="243">
        <v>-17</v>
      </c>
      <c r="AG68" s="243">
        <v>19</v>
      </c>
      <c r="AH68" s="243">
        <v>12</v>
      </c>
      <c r="AI68" s="243">
        <v>69</v>
      </c>
      <c r="AJ68" s="243">
        <v>94</v>
      </c>
      <c r="AK68" s="243">
        <v>101</v>
      </c>
      <c r="AL68" s="243">
        <v>169</v>
      </c>
      <c r="AM68" s="243">
        <v>181</v>
      </c>
      <c r="AN68" s="243">
        <v>196</v>
      </c>
      <c r="AO68" s="243">
        <v>194</v>
      </c>
      <c r="AP68" s="243">
        <v>195</v>
      </c>
      <c r="AQ68" s="243">
        <v>33</v>
      </c>
      <c r="AR68" s="243">
        <f>36+117</f>
        <v>153</v>
      </c>
      <c r="AS68" s="243">
        <v>54</v>
      </c>
      <c r="AT68" s="243">
        <v>35</v>
      </c>
      <c r="AU68" s="243">
        <v>-16</v>
      </c>
      <c r="AV68" s="243">
        <v>135</v>
      </c>
      <c r="AW68" s="243">
        <v>224</v>
      </c>
      <c r="AX68" s="243">
        <v>-17</v>
      </c>
      <c r="AY68" s="243">
        <v>-81</v>
      </c>
      <c r="AZ68" s="243">
        <v>-85</v>
      </c>
      <c r="BA68" s="243">
        <v>-114</v>
      </c>
      <c r="BB68" s="243">
        <v>-81</v>
      </c>
      <c r="BC68" s="243">
        <v>-81</v>
      </c>
      <c r="BD68" s="243">
        <v>-58</v>
      </c>
      <c r="BE68" s="243">
        <v>-95</v>
      </c>
      <c r="BF68" s="243">
        <v>-114</v>
      </c>
      <c r="BG68" s="243">
        <f>13-104</f>
        <v>-91</v>
      </c>
      <c r="BH68" s="243">
        <f>-111-206</f>
        <v>-317</v>
      </c>
      <c r="BI68" s="243">
        <f>308-117</f>
        <v>191</v>
      </c>
      <c r="BJ68" s="243">
        <f>-148-2858+1134+1522+412+277+14</f>
        <v>353</v>
      </c>
      <c r="BK68" s="243">
        <f>-130+611</f>
        <v>481</v>
      </c>
      <c r="BL68" s="243">
        <v>-129</v>
      </c>
      <c r="BM68" s="243">
        <f>-120+90</f>
        <v>-30</v>
      </c>
      <c r="BN68" s="243"/>
      <c r="BO68" s="243"/>
      <c r="BP68" s="243"/>
      <c r="BQ68" s="243"/>
      <c r="BR68" s="243"/>
      <c r="BS68" s="243">
        <f>-118+86</f>
        <v>-32</v>
      </c>
      <c r="BT68" s="243">
        <f>114+226-276-144</f>
        <v>-80</v>
      </c>
      <c r="BU68" s="243">
        <v>-112</v>
      </c>
      <c r="BV68" s="243">
        <v>-122</v>
      </c>
      <c r="BW68" s="243">
        <v>-119</v>
      </c>
      <c r="BX68" s="243">
        <v>-107</v>
      </c>
      <c r="BY68" s="243">
        <v>-91</v>
      </c>
      <c r="BZ68" s="243">
        <v>-107</v>
      </c>
      <c r="CA68" s="243">
        <f>-77+39</f>
        <v>-38</v>
      </c>
      <c r="CB68" s="243">
        <v>-102</v>
      </c>
      <c r="CC68" s="243">
        <f>-95+54</f>
        <v>-41</v>
      </c>
      <c r="CD68" s="243">
        <f>-84-20</f>
        <v>-104</v>
      </c>
      <c r="CE68" s="243">
        <f>-83+160</f>
        <v>77</v>
      </c>
      <c r="CF68" s="243">
        <v>-122</v>
      </c>
      <c r="CG68" s="243">
        <f>-155+236</f>
        <v>81</v>
      </c>
      <c r="CH68" s="243">
        <f>189+9</f>
        <v>198</v>
      </c>
      <c r="CI68" s="243">
        <f>-145-60</f>
        <v>-205</v>
      </c>
      <c r="CJ68" s="243">
        <v>-127</v>
      </c>
      <c r="CK68" s="243">
        <f>-68-3-184</f>
        <v>-255</v>
      </c>
      <c r="CL68" s="243">
        <f>-54-978+1288</f>
        <v>256</v>
      </c>
      <c r="CM68" s="243">
        <f>-3+22</f>
        <v>19</v>
      </c>
      <c r="CN68" s="243">
        <v>5</v>
      </c>
      <c r="CO68" s="243">
        <f>41-214</f>
        <v>-173</v>
      </c>
      <c r="CP68" s="243">
        <f>-4-16</f>
        <v>-20</v>
      </c>
      <c r="CQ68" s="243">
        <v>-42</v>
      </c>
      <c r="CR68" s="243">
        <f>-26-24</f>
        <v>-50</v>
      </c>
      <c r="CS68" s="243">
        <v>-32</v>
      </c>
      <c r="CT68" s="243">
        <v>-74</v>
      </c>
      <c r="CU68" s="243">
        <f>-48+882</f>
        <v>834</v>
      </c>
      <c r="CV68" s="243">
        <f>-28+268</f>
        <v>240</v>
      </c>
      <c r="CW68" s="243">
        <v>-7</v>
      </c>
      <c r="CX68" s="243">
        <f>-47-9</f>
        <v>-56</v>
      </c>
      <c r="CY68" s="243">
        <f>12+102</f>
        <v>114</v>
      </c>
      <c r="CZ68" s="243">
        <f>26+499</f>
        <v>525</v>
      </c>
      <c r="DA68" s="243">
        <v>0</v>
      </c>
      <c r="DB68" s="243">
        <f>248+77</f>
        <v>325</v>
      </c>
      <c r="DC68" s="243">
        <v>-14</v>
      </c>
      <c r="DD68" s="243">
        <f>23+60</f>
        <v>83</v>
      </c>
      <c r="DE68" s="243">
        <f>182-499</f>
        <v>-317</v>
      </c>
      <c r="DF68" s="243">
        <f>387+421</f>
        <v>808</v>
      </c>
      <c r="DG68" s="243">
        <f>209+432</f>
        <v>641</v>
      </c>
      <c r="DH68" s="243"/>
      <c r="DI68" s="243"/>
      <c r="DJ68" s="243"/>
      <c r="DK68" s="243"/>
      <c r="DL68" s="243"/>
      <c r="DM68" s="243"/>
      <c r="DN68" s="243"/>
      <c r="DP68" s="235">
        <f>-87+141+93</f>
        <v>147</v>
      </c>
      <c r="DQ68" s="235">
        <f>-98+201+162</f>
        <v>265</v>
      </c>
      <c r="DR68" s="235">
        <f>-88+129+85</f>
        <v>126</v>
      </c>
      <c r="DS68" s="235">
        <f>-93+124+39</f>
        <v>70</v>
      </c>
      <c r="DT68" s="235">
        <f>-80+126+16</f>
        <v>62</v>
      </c>
      <c r="DU68" s="235">
        <f>-60+142+44</f>
        <v>126</v>
      </c>
      <c r="DV68" s="235">
        <v>115</v>
      </c>
      <c r="DW68" s="235">
        <v>139</v>
      </c>
      <c r="DX68" s="235">
        <v>203</v>
      </c>
      <c r="DY68" s="235">
        <v>262</v>
      </c>
      <c r="DZ68" s="235">
        <v>246</v>
      </c>
      <c r="EA68" s="235">
        <v>379</v>
      </c>
      <c r="EB68" s="235">
        <v>456</v>
      </c>
      <c r="EC68" s="235">
        <v>256</v>
      </c>
      <c r="ED68" s="235">
        <v>177</v>
      </c>
      <c r="EE68" s="235">
        <v>195</v>
      </c>
      <c r="EF68" s="235">
        <v>487</v>
      </c>
      <c r="EG68" s="235">
        <v>766</v>
      </c>
      <c r="EH68" s="235">
        <f>SUM(AQ68:AT68)</f>
        <v>275</v>
      </c>
      <c r="EI68" s="235">
        <f>SUM(AU68:AX68)</f>
        <v>326</v>
      </c>
      <c r="EJ68" s="235">
        <f>EI145*0.05</f>
        <v>2.5</v>
      </c>
      <c r="EK68" s="235">
        <f>SUM(BC68:BF68)</f>
        <v>-348</v>
      </c>
      <c r="EL68" s="235">
        <f>SUM(BG68:BJ68)</f>
        <v>136</v>
      </c>
      <c r="EM68" s="235"/>
      <c r="EN68" s="235"/>
      <c r="EO68" s="235">
        <f>EN145*$FN$74</f>
        <v>0</v>
      </c>
      <c r="EP68" s="235">
        <f>EO145*$FN$74</f>
        <v>0</v>
      </c>
      <c r="EQ68" s="235">
        <f>EP145*$FN$74</f>
        <v>0</v>
      </c>
      <c r="ER68" s="235">
        <f t="shared" ref="ER68" si="434">EQ145*$FN$74</f>
        <v>0</v>
      </c>
      <c r="ES68" s="235">
        <f t="shared" ref="ES68" si="435">SUM(CI68:CL68)</f>
        <v>-331</v>
      </c>
      <c r="ET68" s="235">
        <f t="shared" si="338"/>
        <v>-169</v>
      </c>
      <c r="EU68" s="235">
        <f t="shared" ref="EU68" si="436">SUM(CQ68:CT68)</f>
        <v>-198</v>
      </c>
      <c r="EV68" s="235">
        <f t="shared" ref="EV68" si="437">SUM(CU68:CX68)</f>
        <v>1011</v>
      </c>
      <c r="EW68" s="235">
        <f>SUM(CY68:DB68)</f>
        <v>964</v>
      </c>
      <c r="EX68" s="235">
        <f t="shared" ref="EX68" si="438">EW145*$FN$74</f>
        <v>0</v>
      </c>
      <c r="EY68" s="235">
        <f t="shared" ref="EY68" si="439">EX145*$FN$74</f>
        <v>0</v>
      </c>
      <c r="EZ68" s="235">
        <f>EY145*$FN$74</f>
        <v>0</v>
      </c>
      <c r="FA68" s="235">
        <f t="shared" ref="FA68" si="440">EZ145*$FN$74</f>
        <v>0</v>
      </c>
      <c r="FB68" s="235">
        <f t="shared" ref="FB68" si="441">FA145*$FN$74</f>
        <v>0</v>
      </c>
      <c r="FC68" s="235">
        <f t="shared" ref="FC68" si="442">FB145*$FN$74</f>
        <v>0</v>
      </c>
      <c r="FD68" s="235">
        <f t="shared" ref="FD68" si="443">FC145*$FN$74</f>
        <v>0</v>
      </c>
      <c r="FE68" s="235">
        <f t="shared" ref="FE68" si="444">FD145*$FN$74</f>
        <v>0</v>
      </c>
      <c r="FF68" s="235">
        <f t="shared" ref="FF68" si="445">FE145*$FN$74</f>
        <v>0</v>
      </c>
      <c r="FG68" s="235">
        <f t="shared" ref="FG68" si="446">FF145*$FN$74</f>
        <v>0</v>
      </c>
      <c r="FH68" s="235">
        <f t="shared" ref="FH68" si="447">FG145*$FN$74</f>
        <v>0</v>
      </c>
      <c r="FI68" s="235">
        <f t="shared" ref="FI68" si="448">FH145*$FN$74</f>
        <v>0</v>
      </c>
      <c r="FJ68" s="235">
        <f t="shared" ref="FJ68" si="449">FI145*$FN$74</f>
        <v>0</v>
      </c>
    </row>
    <row r="69" spans="1:270" s="275" customFormat="1" ht="12.75" customHeight="1" x14ac:dyDescent="0.2">
      <c r="A69"/>
      <c r="B69" t="s">
        <v>343</v>
      </c>
      <c r="C69" s="235">
        <f>33+28</f>
        <v>61</v>
      </c>
      <c r="D69" s="235">
        <f>35+15</f>
        <v>50</v>
      </c>
      <c r="E69" s="235">
        <f>36-4</f>
        <v>32</v>
      </c>
      <c r="F69" s="235">
        <v>90</v>
      </c>
      <c r="G69" s="235">
        <f>28+11</f>
        <v>39</v>
      </c>
      <c r="H69" s="235">
        <f>26+1</f>
        <v>27</v>
      </c>
      <c r="I69" s="235">
        <f>26+28</f>
        <v>54</v>
      </c>
      <c r="J69" s="235">
        <v>111</v>
      </c>
      <c r="K69" s="235">
        <f>49+59</f>
        <v>108</v>
      </c>
      <c r="L69" s="235">
        <f>48+34</f>
        <v>82</v>
      </c>
      <c r="M69" s="235">
        <f>42+50</f>
        <v>92</v>
      </c>
      <c r="N69" s="235">
        <v>84</v>
      </c>
      <c r="O69" s="235">
        <f>46-29</f>
        <v>17</v>
      </c>
      <c r="P69" s="235">
        <f>38+17</f>
        <v>55</v>
      </c>
      <c r="Q69" s="235">
        <f>31-13</f>
        <v>18</v>
      </c>
      <c r="R69" s="235">
        <v>59</v>
      </c>
      <c r="S69" s="235">
        <f>19+36</f>
        <v>55</v>
      </c>
      <c r="T69" s="235">
        <f>50+117</f>
        <v>167</v>
      </c>
      <c r="U69" s="235">
        <f>39+19</f>
        <v>58</v>
      </c>
      <c r="V69" s="235">
        <v>55</v>
      </c>
      <c r="W69" s="235">
        <f>34+33</f>
        <v>67</v>
      </c>
      <c r="X69" s="235">
        <f>44-45</f>
        <v>-1</v>
      </c>
      <c r="Y69" s="235">
        <f>39+129</f>
        <v>168</v>
      </c>
      <c r="Z69" s="235">
        <v>177</v>
      </c>
      <c r="AA69" s="235">
        <f>38-37</f>
        <v>1</v>
      </c>
      <c r="AB69" s="235">
        <f>50-75</f>
        <v>-25</v>
      </c>
      <c r="AC69" s="235">
        <f>75-91</f>
        <v>-16</v>
      </c>
      <c r="AD69" s="235">
        <v>-182</v>
      </c>
      <c r="AE69" s="235">
        <v>-53</v>
      </c>
      <c r="AF69" s="243">
        <v>-23</v>
      </c>
      <c r="AG69" s="243">
        <f>41</f>
        <v>41</v>
      </c>
      <c r="AH69" s="243">
        <v>51</v>
      </c>
      <c r="AI69" s="243">
        <v>-33</v>
      </c>
      <c r="AJ69" s="243">
        <v>-88</v>
      </c>
      <c r="AK69" s="243">
        <v>-63</v>
      </c>
      <c r="AL69" s="243">
        <v>-30</v>
      </c>
      <c r="AM69" s="243">
        <v>-718</v>
      </c>
      <c r="AN69" s="243">
        <v>-98</v>
      </c>
      <c r="AO69" s="243">
        <v>45</v>
      </c>
      <c r="AP69" s="243">
        <v>100</v>
      </c>
      <c r="AQ69" s="243">
        <v>-228</v>
      </c>
      <c r="AR69" s="243">
        <v>0</v>
      </c>
      <c r="AS69" s="243">
        <f>AR69</f>
        <v>0</v>
      </c>
      <c r="AT69" s="243">
        <f>AS69</f>
        <v>0</v>
      </c>
      <c r="AU69" s="243">
        <v>-18</v>
      </c>
      <c r="AV69" s="243">
        <v>16</v>
      </c>
      <c r="AW69" s="243">
        <v>25</v>
      </c>
      <c r="AX69" s="243">
        <f>-638+379</f>
        <v>-259</v>
      </c>
      <c r="AY69" s="243">
        <v>-75</v>
      </c>
      <c r="AZ69" s="243">
        <v>6</v>
      </c>
      <c r="BA69" s="243">
        <v>-96</v>
      </c>
      <c r="BB69" s="243">
        <f>-361</f>
        <v>-361</v>
      </c>
      <c r="BC69" s="243">
        <f>-1594+1497</f>
        <v>-97</v>
      </c>
      <c r="BD69" s="243">
        <v>18</v>
      </c>
      <c r="BE69" s="243">
        <v>-292</v>
      </c>
      <c r="BF69" s="243">
        <f>1100-569-374-280</f>
        <v>-123</v>
      </c>
      <c r="BG69" s="243">
        <v>0</v>
      </c>
      <c r="BH69" s="243">
        <v>0</v>
      </c>
      <c r="BI69" s="243">
        <v>0</v>
      </c>
      <c r="BJ69" s="243">
        <v>0</v>
      </c>
      <c r="BK69" s="243">
        <v>0</v>
      </c>
      <c r="BL69" s="243">
        <v>0</v>
      </c>
      <c r="BM69" s="243">
        <v>0</v>
      </c>
      <c r="BN69" s="243">
        <f>89+319</f>
        <v>408</v>
      </c>
      <c r="BO69" s="243">
        <f>104+515</f>
        <v>619</v>
      </c>
      <c r="BP69" s="243">
        <v>69</v>
      </c>
      <c r="BQ69" s="243">
        <v>44</v>
      </c>
      <c r="BR69" s="243">
        <v>163</v>
      </c>
      <c r="BS69" s="243"/>
      <c r="BT69" s="243"/>
      <c r="BU69" s="243"/>
      <c r="BV69" s="243"/>
      <c r="BW69" s="243"/>
      <c r="BX69" s="243"/>
      <c r="BY69" s="243"/>
      <c r="BZ69" s="243"/>
      <c r="CA69" s="243"/>
      <c r="CB69" s="243"/>
      <c r="CC69" s="243"/>
      <c r="CD69" s="243"/>
      <c r="CE69" s="243"/>
      <c r="CF69" s="243"/>
      <c r="CG69" s="243"/>
      <c r="CH69" s="243"/>
      <c r="CI69" s="243"/>
      <c r="CJ69" s="243"/>
      <c r="CK69" s="243">
        <v>0</v>
      </c>
      <c r="CL69" s="243">
        <v>0</v>
      </c>
      <c r="CM69" s="243">
        <v>0</v>
      </c>
      <c r="CN69" s="243">
        <v>0</v>
      </c>
      <c r="CO69" s="243">
        <v>0</v>
      </c>
      <c r="CP69" s="243">
        <v>0</v>
      </c>
      <c r="CQ69" s="243">
        <v>0</v>
      </c>
      <c r="CR69" s="243">
        <v>0</v>
      </c>
      <c r="CS69" s="243">
        <v>0</v>
      </c>
      <c r="CT69" s="243">
        <v>0</v>
      </c>
      <c r="CU69" s="243">
        <v>0</v>
      </c>
      <c r="CV69" s="243">
        <v>0</v>
      </c>
      <c r="CW69" s="243">
        <v>0</v>
      </c>
      <c r="CX69" s="243">
        <v>0</v>
      </c>
      <c r="CY69" s="243">
        <v>0</v>
      </c>
      <c r="CZ69" s="243">
        <v>0</v>
      </c>
      <c r="DA69" s="243">
        <v>0</v>
      </c>
      <c r="DB69" s="243">
        <v>0</v>
      </c>
      <c r="DC69" s="243">
        <v>0</v>
      </c>
      <c r="DD69" s="243">
        <v>0</v>
      </c>
      <c r="DE69" s="243">
        <v>0</v>
      </c>
      <c r="DF69" s="243">
        <v>0</v>
      </c>
      <c r="DG69" s="243"/>
      <c r="DH69" s="243"/>
      <c r="DI69" s="243"/>
      <c r="DJ69" s="243"/>
      <c r="DK69" s="243"/>
      <c r="DL69" s="243"/>
      <c r="DM69" s="243"/>
      <c r="DN69" s="243"/>
      <c r="DP69" s="235"/>
      <c r="DQ69" s="235"/>
      <c r="DR69" s="235"/>
      <c r="DS69" s="235"/>
      <c r="DT69" s="235"/>
      <c r="DU69" s="235"/>
      <c r="DV69" s="235">
        <f>143+166</f>
        <v>309</v>
      </c>
      <c r="DW69" s="235">
        <f>125+284</f>
        <v>409</v>
      </c>
      <c r="DX69" s="235">
        <f>120+129</f>
        <v>249</v>
      </c>
      <c r="DY69" s="235">
        <f>110+151</f>
        <v>261</v>
      </c>
      <c r="DZ69" s="235">
        <f>197+222</f>
        <v>419</v>
      </c>
      <c r="EA69" s="235">
        <f>146+67</f>
        <v>213</v>
      </c>
      <c r="EB69" s="235">
        <f>153+185</f>
        <v>338</v>
      </c>
      <c r="EC69" s="235">
        <f>160+294</f>
        <v>454</v>
      </c>
      <c r="ED69" s="235">
        <f>207-385</f>
        <v>-178</v>
      </c>
      <c r="EE69" s="235">
        <f>187+15</f>
        <v>202</v>
      </c>
      <c r="EF69" s="235">
        <f>54-214</f>
        <v>-160</v>
      </c>
      <c r="EG69" s="235">
        <v>-671</v>
      </c>
      <c r="EH69" s="235">
        <f>SUM(AQ69:AT69)</f>
        <v>-228</v>
      </c>
      <c r="EI69" s="235">
        <f>SUM(AU69:AX69)</f>
        <v>-236</v>
      </c>
      <c r="EJ69" s="235"/>
      <c r="EK69" s="235">
        <f>SUM(BC69:BF69)</f>
        <v>-494</v>
      </c>
      <c r="EL69" s="235"/>
      <c r="EM69" s="235">
        <f>SUM(BK69:BN69)</f>
        <v>408</v>
      </c>
      <c r="EN69" s="235">
        <f>SUM(BO69:BR69)</f>
        <v>895</v>
      </c>
      <c r="EO69" s="235"/>
      <c r="EP69" s="235"/>
      <c r="EQ69" s="235"/>
      <c r="ER69" s="235"/>
      <c r="ES69" s="235"/>
      <c r="ET69" s="235"/>
      <c r="EU69" s="235"/>
      <c r="EV69" s="235"/>
    </row>
    <row r="70" spans="1:270" s="275" customFormat="1" ht="12.75" customHeight="1" x14ac:dyDescent="0.2">
      <c r="A70"/>
      <c r="B70" t="s">
        <v>729</v>
      </c>
      <c r="C70" s="235">
        <f t="shared" ref="C70:AY70" si="450">C67+C68-C69</f>
        <v>1302</v>
      </c>
      <c r="D70" s="235">
        <f t="shared" si="450"/>
        <v>1294</v>
      </c>
      <c r="E70" s="235">
        <f t="shared" si="450"/>
        <v>1197</v>
      </c>
      <c r="F70" s="235">
        <f t="shared" si="450"/>
        <v>783</v>
      </c>
      <c r="G70" s="235">
        <f t="shared" si="450"/>
        <v>1434</v>
      </c>
      <c r="H70" s="235">
        <f t="shared" si="450"/>
        <v>1371</v>
      </c>
      <c r="I70" s="235">
        <f t="shared" si="450"/>
        <v>1317</v>
      </c>
      <c r="J70" s="235">
        <f t="shared" si="450"/>
        <v>924</v>
      </c>
      <c r="K70" s="235">
        <f t="shared" si="450"/>
        <v>1605</v>
      </c>
      <c r="L70" s="235">
        <f t="shared" si="450"/>
        <v>1614</v>
      </c>
      <c r="M70" s="235">
        <f t="shared" si="450"/>
        <v>1511</v>
      </c>
      <c r="N70" s="235">
        <f t="shared" si="450"/>
        <v>971</v>
      </c>
      <c r="O70" s="235">
        <f t="shared" si="450"/>
        <v>1892</v>
      </c>
      <c r="P70" s="235">
        <f t="shared" si="450"/>
        <v>1866</v>
      </c>
      <c r="Q70" s="235">
        <f t="shared" si="450"/>
        <v>1746</v>
      </c>
      <c r="R70" s="235">
        <f t="shared" si="450"/>
        <v>1172</v>
      </c>
      <c r="S70" s="235">
        <f>S67+S68-S69</f>
        <v>2140</v>
      </c>
      <c r="T70" s="235">
        <f t="shared" si="450"/>
        <v>2129</v>
      </c>
      <c r="U70" s="235">
        <f t="shared" si="450"/>
        <v>2108</v>
      </c>
      <c r="V70" s="235">
        <f t="shared" si="450"/>
        <v>1549</v>
      </c>
      <c r="W70" s="235">
        <f t="shared" si="450"/>
        <v>2621</v>
      </c>
      <c r="X70" s="235">
        <f t="shared" si="450"/>
        <v>2732</v>
      </c>
      <c r="Y70" s="235">
        <f t="shared" si="450"/>
        <v>2393</v>
      </c>
      <c r="Z70" s="235">
        <f t="shared" si="450"/>
        <v>1849</v>
      </c>
      <c r="AA70" s="235">
        <f t="shared" si="450"/>
        <v>2948</v>
      </c>
      <c r="AB70" s="235">
        <f t="shared" si="450"/>
        <v>2956</v>
      </c>
      <c r="AC70" s="235">
        <f t="shared" si="450"/>
        <v>2948</v>
      </c>
      <c r="AD70" s="235">
        <f t="shared" si="450"/>
        <v>2509</v>
      </c>
      <c r="AE70" s="235">
        <f t="shared" si="450"/>
        <v>3929</v>
      </c>
      <c r="AF70" s="243">
        <f t="shared" si="450"/>
        <v>3843</v>
      </c>
      <c r="AG70" s="243">
        <f t="shared" si="450"/>
        <v>3292</v>
      </c>
      <c r="AH70" s="243">
        <f t="shared" si="450"/>
        <v>2625</v>
      </c>
      <c r="AI70" s="243">
        <f t="shared" si="450"/>
        <v>3927</v>
      </c>
      <c r="AJ70" s="243">
        <f t="shared" si="450"/>
        <v>3741</v>
      </c>
      <c r="AK70" s="243">
        <f t="shared" si="450"/>
        <v>3420</v>
      </c>
      <c r="AL70" s="243">
        <f t="shared" si="450"/>
        <v>2512</v>
      </c>
      <c r="AM70" s="243">
        <f t="shared" si="450"/>
        <v>4652</v>
      </c>
      <c r="AN70" s="243">
        <f t="shared" si="450"/>
        <v>3855</v>
      </c>
      <c r="AO70" s="243">
        <f t="shared" si="450"/>
        <v>3776</v>
      </c>
      <c r="AP70" s="243">
        <f t="shared" si="450"/>
        <v>3028</v>
      </c>
      <c r="AQ70" s="243">
        <f>AQ67+AQ68-AQ69</f>
        <v>4509</v>
      </c>
      <c r="AR70" s="243">
        <f t="shared" si="450"/>
        <v>4042</v>
      </c>
      <c r="AS70" s="243">
        <f t="shared" si="450"/>
        <v>4054</v>
      </c>
      <c r="AT70" s="243">
        <f t="shared" si="450"/>
        <v>3209</v>
      </c>
      <c r="AU70" s="243">
        <f t="shared" si="450"/>
        <v>4747</v>
      </c>
      <c r="AV70" s="243">
        <f t="shared" si="450"/>
        <v>4415</v>
      </c>
      <c r="AW70" s="243">
        <f t="shared" si="450"/>
        <v>4290</v>
      </c>
      <c r="AX70" s="243">
        <f t="shared" si="450"/>
        <v>3279</v>
      </c>
      <c r="AY70" s="243">
        <f t="shared" si="450"/>
        <v>4643</v>
      </c>
      <c r="AZ70" s="243">
        <f t="shared" ref="AZ70:BG70" si="451">AZ67+AZ68-AZ69</f>
        <v>4263</v>
      </c>
      <c r="BA70" s="243">
        <f t="shared" si="451"/>
        <v>4245</v>
      </c>
      <c r="BB70" s="243">
        <f t="shared" si="451"/>
        <v>3790</v>
      </c>
      <c r="BC70" s="243">
        <f t="shared" si="451"/>
        <v>4783</v>
      </c>
      <c r="BD70" s="243">
        <f t="shared" si="451"/>
        <v>4279</v>
      </c>
      <c r="BE70" s="243">
        <f t="shared" si="451"/>
        <v>4219</v>
      </c>
      <c r="BF70" s="243">
        <f t="shared" si="451"/>
        <v>3451</v>
      </c>
      <c r="BG70" s="243">
        <f t="shared" si="451"/>
        <v>5303</v>
      </c>
      <c r="BH70" s="243">
        <f>BH67+BH68-BH69</f>
        <v>4011</v>
      </c>
      <c r="BI70" s="243">
        <f>BI67+BI68-BI69</f>
        <v>4111</v>
      </c>
      <c r="BJ70" s="243">
        <f t="shared" ref="BJ70" si="452">BJ67+BJ68-BJ69</f>
        <v>6223</v>
      </c>
      <c r="BK70" s="243">
        <f t="shared" ref="BK70" si="453">BK67+BK68-BK69</f>
        <v>5045</v>
      </c>
      <c r="BL70" s="243">
        <f t="shared" ref="BL70" si="454">BL67+BL68-BL69</f>
        <v>4623</v>
      </c>
      <c r="BM70" s="243">
        <f t="shared" ref="BM70" si="455">BM67+BM68-BM69</f>
        <v>4413</v>
      </c>
      <c r="BN70" s="243">
        <f t="shared" ref="BN70:BY70" si="456">BN67+BN68-BN69</f>
        <v>3388</v>
      </c>
      <c r="BO70" s="243">
        <f t="shared" si="456"/>
        <v>4368</v>
      </c>
      <c r="BP70" s="243">
        <f t="shared" si="456"/>
        <v>5428</v>
      </c>
      <c r="BQ70" s="243">
        <f t="shared" si="456"/>
        <v>4895</v>
      </c>
      <c r="BR70" s="243">
        <f t="shared" si="456"/>
        <v>4005</v>
      </c>
      <c r="BS70" s="243">
        <f t="shared" si="456"/>
        <v>5718</v>
      </c>
      <c r="BT70" s="243">
        <f t="shared" si="456"/>
        <v>5890</v>
      </c>
      <c r="BU70" s="243">
        <f t="shared" si="456"/>
        <v>5465</v>
      </c>
      <c r="BV70" s="243">
        <f t="shared" si="456"/>
        <v>3822</v>
      </c>
      <c r="BW70" s="243">
        <f>BW67+BW68-BW69</f>
        <v>5227</v>
      </c>
      <c r="BX70" s="243">
        <f t="shared" si="456"/>
        <v>4810</v>
      </c>
      <c r="BY70" s="243">
        <f t="shared" si="456"/>
        <v>4552</v>
      </c>
      <c r="BZ70" s="243">
        <f>BZ67+BZ68-BZ69</f>
        <v>3276</v>
      </c>
      <c r="CA70" s="243">
        <f t="shared" ref="CA70:CH70" si="457">CA67+CA68+CA69</f>
        <v>5414</v>
      </c>
      <c r="CB70" s="243">
        <f t="shared" si="457"/>
        <v>5604</v>
      </c>
      <c r="CC70" s="243">
        <f t="shared" si="457"/>
        <v>5343</v>
      </c>
      <c r="CD70" s="243">
        <f t="shared" si="457"/>
        <v>4519</v>
      </c>
      <c r="CE70" s="243">
        <f t="shared" si="457"/>
        <v>5660</v>
      </c>
      <c r="CF70" s="243">
        <f t="shared" si="457"/>
        <v>5347</v>
      </c>
      <c r="CG70" s="243">
        <f t="shared" si="457"/>
        <v>4859</v>
      </c>
      <c r="CH70" s="243">
        <f t="shared" si="457"/>
        <v>4774</v>
      </c>
      <c r="CI70" s="243">
        <f>+CI67+CI68+CI69</f>
        <v>5523</v>
      </c>
      <c r="CJ70" s="243">
        <f t="shared" ref="CJ70:CP70" si="458">+CJ67+CJ68</f>
        <v>5394</v>
      </c>
      <c r="CK70" s="243">
        <f t="shared" si="458"/>
        <v>6538</v>
      </c>
      <c r="CL70" s="243">
        <f t="shared" si="458"/>
        <v>5547</v>
      </c>
      <c r="CM70" s="243">
        <f t="shared" si="458"/>
        <v>5348</v>
      </c>
      <c r="CN70" s="243">
        <f t="shared" si="458"/>
        <v>5417</v>
      </c>
      <c r="CO70" s="243">
        <f t="shared" si="458"/>
        <v>6853</v>
      </c>
      <c r="CP70" s="243">
        <f t="shared" si="458"/>
        <v>5461</v>
      </c>
      <c r="CQ70" s="243">
        <f t="shared" ref="CQ70" si="459">+CQ67+CQ68+CQ69</f>
        <v>5803</v>
      </c>
      <c r="CR70" s="243">
        <f t="shared" ref="CR70" si="460">+CR67+CR68+CR69</f>
        <v>4009</v>
      </c>
      <c r="CS70" s="243">
        <f t="shared" ref="CS70:CY70" si="461">+CS67+CS68+CS69</f>
        <v>5807</v>
      </c>
      <c r="CT70" s="243">
        <f t="shared" si="461"/>
        <v>4099</v>
      </c>
      <c r="CU70" s="243">
        <f t="shared" si="461"/>
        <v>7482</v>
      </c>
      <c r="CV70" s="243">
        <f t="shared" si="461"/>
        <v>7905</v>
      </c>
      <c r="CW70" s="243">
        <f t="shared" si="461"/>
        <v>6656</v>
      </c>
      <c r="CX70" s="243">
        <f t="shared" si="461"/>
        <v>4993</v>
      </c>
      <c r="CY70" s="243">
        <f t="shared" si="461"/>
        <v>6640</v>
      </c>
      <c r="CZ70" s="243">
        <f t="shared" ref="CZ70:DN70" si="462">+CZ67+CZ68+CZ69</f>
        <v>8280</v>
      </c>
      <c r="DA70" s="243">
        <f t="shared" si="462"/>
        <v>12543</v>
      </c>
      <c r="DB70" s="243">
        <f t="shared" si="462"/>
        <v>7591</v>
      </c>
      <c r="DC70" s="243">
        <f t="shared" si="462"/>
        <v>5832</v>
      </c>
      <c r="DD70" s="243">
        <f t="shared" si="462"/>
        <v>7001</v>
      </c>
      <c r="DE70" s="243">
        <f t="shared" si="462"/>
        <v>5691</v>
      </c>
      <c r="DF70" s="243">
        <f t="shared" si="462"/>
        <v>6447</v>
      </c>
      <c r="DG70" s="243">
        <f t="shared" si="462"/>
        <v>7876</v>
      </c>
      <c r="DH70" s="243">
        <f t="shared" si="462"/>
        <v>16218.225000000002</v>
      </c>
      <c r="DI70" s="243">
        <f t="shared" si="462"/>
        <v>16235.744999999999</v>
      </c>
      <c r="DJ70" s="243">
        <f t="shared" si="462"/>
        <v>16462.191749999998</v>
      </c>
      <c r="DK70" s="243">
        <f t="shared" si="462"/>
        <v>16389.730575000001</v>
      </c>
      <c r="DL70" s="243">
        <f t="shared" si="462"/>
        <v>16650.230617499998</v>
      </c>
      <c r="DM70" s="243">
        <f t="shared" si="462"/>
        <v>16713.791415749998</v>
      </c>
      <c r="DN70" s="243">
        <f t="shared" si="462"/>
        <v>16980.326579175002</v>
      </c>
      <c r="DP70" s="235">
        <f t="shared" ref="DP70:DU70" si="463">DP67-DP68</f>
        <v>1514</v>
      </c>
      <c r="DQ70" s="235">
        <f t="shared" si="463"/>
        <v>1727</v>
      </c>
      <c r="DR70" s="235">
        <f t="shared" si="463"/>
        <v>2038</v>
      </c>
      <c r="DS70" s="235">
        <f t="shared" si="463"/>
        <v>2207</v>
      </c>
      <c r="DT70" s="235">
        <f t="shared" si="463"/>
        <v>2332</v>
      </c>
      <c r="DU70" s="235">
        <f t="shared" si="463"/>
        <v>2681</v>
      </c>
      <c r="DV70" s="235">
        <f t="shared" ref="DV70:EQ70" si="464">DV67+DV68-DV69</f>
        <v>3317</v>
      </c>
      <c r="DW70" s="235">
        <f t="shared" si="464"/>
        <v>4033</v>
      </c>
      <c r="DX70" s="235">
        <f t="shared" si="464"/>
        <v>4576</v>
      </c>
      <c r="DY70" s="235">
        <f t="shared" si="464"/>
        <v>5046</v>
      </c>
      <c r="DZ70" s="235">
        <f t="shared" si="464"/>
        <v>5753</v>
      </c>
      <c r="EA70" s="235">
        <f t="shared" si="464"/>
        <v>6643</v>
      </c>
      <c r="EB70" s="235">
        <f t="shared" si="464"/>
        <v>8003</v>
      </c>
      <c r="EC70" s="235">
        <f t="shared" si="464"/>
        <v>10093.900000000001</v>
      </c>
      <c r="ED70" s="235">
        <f t="shared" si="464"/>
        <v>11729.400000000001</v>
      </c>
      <c r="EE70" s="235">
        <f t="shared" si="464"/>
        <v>13625</v>
      </c>
      <c r="EF70" s="235">
        <f t="shared" si="464"/>
        <v>13002</v>
      </c>
      <c r="EG70" s="235">
        <f t="shared" si="464"/>
        <v>15311</v>
      </c>
      <c r="EH70" s="235">
        <f>EH67+EH68-EH69</f>
        <v>15716</v>
      </c>
      <c r="EI70" s="235">
        <f>EI67+EI68-EI69</f>
        <v>16731</v>
      </c>
      <c r="EJ70" s="235">
        <f>EJ67+EJ68-EJ69</f>
        <v>16778.5</v>
      </c>
      <c r="EK70" s="235">
        <f>EK67+EK68-EK69</f>
        <v>16541</v>
      </c>
      <c r="EL70" s="235">
        <f>EL67+EL68-EL69</f>
        <v>19648</v>
      </c>
      <c r="EM70" s="235">
        <f t="shared" si="464"/>
        <v>17147</v>
      </c>
      <c r="EN70" s="235">
        <f t="shared" si="464"/>
        <v>18437</v>
      </c>
      <c r="EO70" s="235">
        <f t="shared" si="464"/>
        <v>24089.072999999993</v>
      </c>
      <c r="EP70" s="235">
        <f t="shared" si="464"/>
        <v>49489.613259749996</v>
      </c>
      <c r="EQ70" s="235">
        <f t="shared" si="464"/>
        <v>45613.910215721247</v>
      </c>
      <c r="ER70" s="235">
        <f t="shared" ref="ER70:FE70" si="465">ER67+ER68-ER69</f>
        <v>0.12626999999999999</v>
      </c>
      <c r="ES70" s="235">
        <f t="shared" si="465"/>
        <v>23002.018299999996</v>
      </c>
      <c r="ET70" s="235">
        <f t="shared" si="465"/>
        <v>23079.001829999994</v>
      </c>
      <c r="EU70" s="235">
        <f t="shared" si="465"/>
        <v>19718</v>
      </c>
      <c r="EV70" s="235">
        <f t="shared" si="465"/>
        <v>27260</v>
      </c>
      <c r="EW70" s="235">
        <f>EW67+EW68-EW69</f>
        <v>34948</v>
      </c>
      <c r="EX70" s="235">
        <f t="shared" si="465"/>
        <v>38976.279649999997</v>
      </c>
      <c r="EY70" s="235">
        <f t="shared" si="465"/>
        <v>39284.27687875001</v>
      </c>
      <c r="EZ70" s="235">
        <f t="shared" si="465"/>
        <v>36764.269578276253</v>
      </c>
      <c r="FA70" s="235">
        <f t="shared" si="465"/>
        <v>36055.850954795969</v>
      </c>
      <c r="FB70" s="235">
        <f t="shared" si="465"/>
        <v>35722.160582959972</v>
      </c>
      <c r="FC70" s="235">
        <f t="shared" si="465"/>
        <v>35596.72967570863</v>
      </c>
      <c r="FD70" s="235">
        <f t="shared" si="465"/>
        <v>35002.384030520174</v>
      </c>
      <c r="FE70" s="235">
        <f t="shared" si="465"/>
        <v>34864.501755501886</v>
      </c>
      <c r="FF70" s="235">
        <f t="shared" ref="FF70:FJ70" si="466">FF67+FF68-FF69</f>
        <v>35002.354110041735</v>
      </c>
      <c r="FG70" s="235">
        <f t="shared" si="466"/>
        <v>35319.660464947126</v>
      </c>
      <c r="FH70" s="235">
        <f t="shared" si="466"/>
        <v>35763.612302711656</v>
      </c>
      <c r="FI70" s="235">
        <f t="shared" si="466"/>
        <v>36304.143437054241</v>
      </c>
      <c r="FJ70" s="235">
        <f t="shared" si="466"/>
        <v>36923.371596820114</v>
      </c>
    </row>
    <row r="71" spans="1:270" s="275" customFormat="1" ht="12.75" customHeight="1" x14ac:dyDescent="0.2">
      <c r="A71"/>
      <c r="B71" t="s">
        <v>730</v>
      </c>
      <c r="C71" s="235">
        <v>393</v>
      </c>
      <c r="D71" s="235">
        <v>385</v>
      </c>
      <c r="E71" s="235">
        <v>342</v>
      </c>
      <c r="F71" s="235">
        <v>153</v>
      </c>
      <c r="G71" s="235">
        <v>424</v>
      </c>
      <c r="H71" s="235">
        <v>366</v>
      </c>
      <c r="I71" s="235">
        <v>356</v>
      </c>
      <c r="J71" s="235">
        <v>231</v>
      </c>
      <c r="K71" s="235">
        <v>477</v>
      </c>
      <c r="L71" s="235">
        <v>459</v>
      </c>
      <c r="M71" s="235">
        <v>412</v>
      </c>
      <c r="N71" s="235">
        <v>217</v>
      </c>
      <c r="O71" s="235">
        <v>578</v>
      </c>
      <c r="P71" s="235">
        <v>535</v>
      </c>
      <c r="Q71" s="235">
        <v>482</v>
      </c>
      <c r="R71" s="235">
        <v>227</v>
      </c>
      <c r="S71" s="235">
        <v>640</v>
      </c>
      <c r="T71" s="235">
        <v>647</v>
      </c>
      <c r="U71" s="235">
        <v>579</v>
      </c>
      <c r="V71" s="235">
        <v>339</v>
      </c>
      <c r="W71" s="235">
        <v>787</v>
      </c>
      <c r="X71" s="235">
        <v>774</v>
      </c>
      <c r="Y71" s="235">
        <v>668</v>
      </c>
      <c r="Z71" s="235">
        <v>465</v>
      </c>
      <c r="AA71" s="235">
        <v>859</v>
      </c>
      <c r="AB71" s="235">
        <v>846</v>
      </c>
      <c r="AC71" s="235">
        <v>877</v>
      </c>
      <c r="AD71" s="235">
        <v>529</v>
      </c>
      <c r="AE71" s="235">
        <v>1011</v>
      </c>
      <c r="AF71" s="243">
        <v>977</v>
      </c>
      <c r="AG71" s="243">
        <v>933</v>
      </c>
      <c r="AH71" s="243">
        <f>1408-789</f>
        <v>619</v>
      </c>
      <c r="AI71" s="243">
        <v>1088</v>
      </c>
      <c r="AJ71" s="243">
        <v>726</v>
      </c>
      <c r="AK71" s="243">
        <v>882</v>
      </c>
      <c r="AL71" s="243">
        <v>411</v>
      </c>
      <c r="AM71" s="243">
        <v>1310</v>
      </c>
      <c r="AN71" s="243">
        <v>783</v>
      </c>
      <c r="AO71" s="243">
        <v>901</v>
      </c>
      <c r="AP71" s="243">
        <f>AP70-2385</f>
        <v>643</v>
      </c>
      <c r="AQ71" s="243">
        <v>1079</v>
      </c>
      <c r="AR71" s="243">
        <v>950</v>
      </c>
      <c r="AS71" s="243">
        <f>AS70*0.233</f>
        <v>944.58200000000011</v>
      </c>
      <c r="AT71" s="243">
        <f>AT70*0.153</f>
        <v>490.97699999999998</v>
      </c>
      <c r="AU71" s="243">
        <v>1149</v>
      </c>
      <c r="AV71" s="243">
        <v>1048</v>
      </c>
      <c r="AW71" s="243">
        <v>980</v>
      </c>
      <c r="AX71" s="243">
        <f>803-379+229</f>
        <v>653</v>
      </c>
      <c r="AY71" s="243">
        <v>1136</v>
      </c>
      <c r="AZ71" s="243">
        <v>1055</v>
      </c>
      <c r="BA71" s="243">
        <v>900</v>
      </c>
      <c r="BB71" s="243">
        <f>398+334+174</f>
        <v>906</v>
      </c>
      <c r="BC71" s="243">
        <f>1754-1497+910</f>
        <v>1167</v>
      </c>
      <c r="BD71" s="243">
        <f>771+67</f>
        <v>838</v>
      </c>
      <c r="BE71" s="243">
        <v>802</v>
      </c>
      <c r="BF71" s="243">
        <f>286+569-404+374-279+280-239</f>
        <v>587</v>
      </c>
      <c r="BG71" s="243">
        <v>1034</v>
      </c>
      <c r="BH71" s="243">
        <v>646</v>
      </c>
      <c r="BI71" s="243">
        <v>909</v>
      </c>
      <c r="BJ71" s="243">
        <f>3657-3129</f>
        <v>528</v>
      </c>
      <c r="BK71" s="243">
        <v>1135</v>
      </c>
      <c r="BL71" s="243">
        <f>4646-3644</f>
        <v>1002</v>
      </c>
      <c r="BM71" s="243">
        <v>966</v>
      </c>
      <c r="BN71" s="243">
        <v>533</v>
      </c>
      <c r="BO71" s="243">
        <v>764</v>
      </c>
      <c r="BP71" s="243">
        <v>1083</v>
      </c>
      <c r="BQ71" s="243">
        <v>912</v>
      </c>
      <c r="BR71" s="243">
        <f>+BR70*0.089</f>
        <v>356.44499999999999</v>
      </c>
      <c r="BS71" s="243">
        <v>697</v>
      </c>
      <c r="BT71" s="243">
        <v>1300</v>
      </c>
      <c r="BU71" s="243">
        <v>2061</v>
      </c>
      <c r="BV71" s="243">
        <v>182</v>
      </c>
      <c r="BW71" s="243">
        <v>1255</v>
      </c>
      <c r="BX71" s="243">
        <v>1225</v>
      </c>
      <c r="BY71" s="243">
        <v>764</v>
      </c>
      <c r="BZ71" s="243">
        <v>543</v>
      </c>
      <c r="CA71" s="243">
        <v>837</v>
      </c>
      <c r="CB71" s="243">
        <v>907</v>
      </c>
      <c r="CC71" s="243">
        <v>1009</v>
      </c>
      <c r="CD71" s="243">
        <v>510</v>
      </c>
      <c r="CE71" s="243">
        <v>1153</v>
      </c>
      <c r="CF71" s="243">
        <v>921</v>
      </c>
      <c r="CG71" s="243">
        <v>1026</v>
      </c>
      <c r="CH71" s="243">
        <v>0</v>
      </c>
      <c r="CI71" s="243">
        <v>1114</v>
      </c>
      <c r="CJ71" s="243">
        <v>1019</v>
      </c>
      <c r="CK71" s="243">
        <f>489+265</f>
        <v>754</v>
      </c>
      <c r="CL71" s="243">
        <v>200</v>
      </c>
      <c r="CM71" s="243">
        <v>673</v>
      </c>
      <c r="CN71" s="243">
        <v>1434</v>
      </c>
      <c r="CO71" s="243">
        <f>814+391</f>
        <v>1205</v>
      </c>
      <c r="CP71" s="243">
        <v>400</v>
      </c>
      <c r="CQ71" s="243">
        <v>713</v>
      </c>
      <c r="CR71" s="243">
        <v>314</v>
      </c>
      <c r="CS71" s="243">
        <v>847</v>
      </c>
      <c r="CT71" s="243">
        <v>0</v>
      </c>
      <c r="CU71" s="243">
        <v>1232</v>
      </c>
      <c r="CV71" s="243">
        <v>1151</v>
      </c>
      <c r="CW71" s="243">
        <v>182</v>
      </c>
      <c r="CX71" s="243">
        <v>100</v>
      </c>
      <c r="CY71" s="243">
        <v>713</v>
      </c>
      <c r="CZ71" s="243">
        <v>1259</v>
      </c>
      <c r="DA71" s="243">
        <v>1364</v>
      </c>
      <c r="DB71" s="243">
        <v>1200</v>
      </c>
      <c r="DC71" s="243">
        <v>796</v>
      </c>
      <c r="DD71" s="243">
        <v>1618</v>
      </c>
      <c r="DE71" s="243">
        <v>908</v>
      </c>
      <c r="DF71" s="243">
        <v>675</v>
      </c>
      <c r="DG71" s="243">
        <v>1297</v>
      </c>
      <c r="DH71" s="243"/>
      <c r="DI71" s="243"/>
      <c r="DJ71" s="243"/>
      <c r="DK71" s="243"/>
      <c r="DL71" s="243"/>
      <c r="DM71" s="243"/>
      <c r="DN71" s="243"/>
      <c r="DP71" s="235">
        <v>432</v>
      </c>
      <c r="DQ71" s="235">
        <v>480</v>
      </c>
      <c r="DR71" s="235">
        <v>577</v>
      </c>
      <c r="DS71" s="235">
        <v>582</v>
      </c>
      <c r="DT71" s="235">
        <v>545</v>
      </c>
      <c r="DU71" s="235">
        <v>675</v>
      </c>
      <c r="DV71" s="235">
        <v>914</v>
      </c>
      <c r="DW71" s="235">
        <v>1146</v>
      </c>
      <c r="DX71" s="235">
        <v>1273</v>
      </c>
      <c r="DY71" s="235">
        <v>1210</v>
      </c>
      <c r="DZ71" s="235">
        <v>1586</v>
      </c>
      <c r="EA71" s="235">
        <v>1822</v>
      </c>
      <c r="EB71" s="235">
        <v>2230</v>
      </c>
      <c r="EC71" s="235">
        <f>+EC70*0.25</f>
        <v>2523.4750000000004</v>
      </c>
      <c r="ED71" s="235">
        <v>3111</v>
      </c>
      <c r="EE71" s="235">
        <v>4329</v>
      </c>
      <c r="EF71" s="235">
        <v>3245</v>
      </c>
      <c r="EG71" s="235">
        <f>EG70-11133</f>
        <v>4178</v>
      </c>
      <c r="EH71" s="235">
        <f>SUM(AQ71:AT71)</f>
        <v>3464.5590000000002</v>
      </c>
      <c r="EI71" s="235">
        <f>SUM(AU71:AX71)</f>
        <v>3830</v>
      </c>
      <c r="EJ71" s="235"/>
      <c r="EK71" s="235">
        <f>SUM(BC71:BF71)</f>
        <v>3394</v>
      </c>
      <c r="EL71" s="235">
        <f>SUM(BG71:BJ71)</f>
        <v>3117</v>
      </c>
      <c r="EM71" s="235">
        <f>SUM(BK71:BN71)</f>
        <v>3636</v>
      </c>
      <c r="EN71" s="235">
        <f>SUM(BO71:BR71)</f>
        <v>3115.4450000000002</v>
      </c>
      <c r="EO71" s="235">
        <f>EO70*EO99</f>
        <v>4544.2133413131096</v>
      </c>
      <c r="EP71" s="235"/>
      <c r="EQ71" s="235"/>
      <c r="ER71" s="235"/>
      <c r="ES71" s="235">
        <f t="shared" ref="ES71" si="467">SUM(CI71:CL71)</f>
        <v>3087</v>
      </c>
      <c r="ET71" s="235">
        <f t="shared" ref="ET71" si="468">SUM(CM71:CP71)</f>
        <v>3712</v>
      </c>
      <c r="EU71" s="235">
        <f t="shared" ref="EU71" si="469">SUM(CQ71:CT71)</f>
        <v>1874</v>
      </c>
      <c r="EV71" s="235">
        <f t="shared" ref="EV71" si="470">SUM(CU71:CX71)</f>
        <v>2665</v>
      </c>
      <c r="EW71" s="235">
        <f>SUM(CY71:DB71)</f>
        <v>4536</v>
      </c>
      <c r="EX71" s="235">
        <f t="shared" ref="EX71:FE71" si="471">+EX70*0.25</f>
        <v>9744.0699124999992</v>
      </c>
      <c r="EY71" s="235">
        <f t="shared" si="471"/>
        <v>9821.0692196875025</v>
      </c>
      <c r="EZ71" s="235">
        <f t="shared" si="471"/>
        <v>9191.0673945690633</v>
      </c>
      <c r="FA71" s="235">
        <f t="shared" si="471"/>
        <v>9013.9627386989923</v>
      </c>
      <c r="FB71" s="235">
        <f t="shared" si="471"/>
        <v>8930.540145739993</v>
      </c>
      <c r="FC71" s="235">
        <f t="shared" si="471"/>
        <v>8899.1824189271574</v>
      </c>
      <c r="FD71" s="235">
        <f t="shared" si="471"/>
        <v>8750.5960076300435</v>
      </c>
      <c r="FE71" s="235">
        <f t="shared" si="471"/>
        <v>8716.1254388754714</v>
      </c>
      <c r="FF71" s="235">
        <f t="shared" ref="FF71:FJ71" si="472">+FF70*0.25</f>
        <v>8750.5885275104338</v>
      </c>
      <c r="FG71" s="235">
        <f t="shared" si="472"/>
        <v>8829.9151162367816</v>
      </c>
      <c r="FH71" s="235">
        <f t="shared" si="472"/>
        <v>8940.9030756779139</v>
      </c>
      <c r="FI71" s="235">
        <f t="shared" si="472"/>
        <v>9076.0358592635603</v>
      </c>
      <c r="FJ71" s="235">
        <f t="shared" si="472"/>
        <v>9230.8428992050285</v>
      </c>
    </row>
    <row r="72" spans="1:270" s="275" customFormat="1" ht="12.75" customHeight="1" x14ac:dyDescent="0.2">
      <c r="A72"/>
      <c r="B72" t="s">
        <v>344</v>
      </c>
      <c r="C72" s="235">
        <f t="shared" ref="C72:AS72" si="473">C70-C71</f>
        <v>909</v>
      </c>
      <c r="D72" s="235">
        <f t="shared" si="473"/>
        <v>909</v>
      </c>
      <c r="E72" s="235">
        <f t="shared" si="473"/>
        <v>855</v>
      </c>
      <c r="F72" s="235">
        <f t="shared" si="473"/>
        <v>630</v>
      </c>
      <c r="G72" s="235">
        <f t="shared" si="473"/>
        <v>1010</v>
      </c>
      <c r="H72" s="235">
        <f t="shared" si="473"/>
        <v>1005</v>
      </c>
      <c r="I72" s="235">
        <f t="shared" si="473"/>
        <v>961</v>
      </c>
      <c r="J72" s="235">
        <f t="shared" si="473"/>
        <v>693</v>
      </c>
      <c r="K72" s="235">
        <f t="shared" si="473"/>
        <v>1128</v>
      </c>
      <c r="L72" s="235">
        <f t="shared" si="473"/>
        <v>1155</v>
      </c>
      <c r="M72" s="235">
        <f t="shared" si="473"/>
        <v>1099</v>
      </c>
      <c r="N72" s="235">
        <f t="shared" si="473"/>
        <v>754</v>
      </c>
      <c r="O72" s="235">
        <f t="shared" si="473"/>
        <v>1314</v>
      </c>
      <c r="P72" s="235">
        <f t="shared" si="473"/>
        <v>1331</v>
      </c>
      <c r="Q72" s="235">
        <f t="shared" si="473"/>
        <v>1264</v>
      </c>
      <c r="R72" s="235">
        <f t="shared" si="473"/>
        <v>945</v>
      </c>
      <c r="S72" s="235">
        <f t="shared" si="473"/>
        <v>1500</v>
      </c>
      <c r="T72" s="235">
        <f t="shared" si="473"/>
        <v>1482</v>
      </c>
      <c r="U72" s="235">
        <f t="shared" si="473"/>
        <v>1529</v>
      </c>
      <c r="V72" s="235">
        <f t="shared" si="473"/>
        <v>1210</v>
      </c>
      <c r="W72" s="235">
        <f t="shared" si="473"/>
        <v>1834</v>
      </c>
      <c r="X72" s="235">
        <f t="shared" si="473"/>
        <v>1958</v>
      </c>
      <c r="Y72" s="235">
        <f t="shared" si="473"/>
        <v>1725</v>
      </c>
      <c r="Z72" s="235">
        <f t="shared" si="473"/>
        <v>1384</v>
      </c>
      <c r="AA72" s="235">
        <f t="shared" si="473"/>
        <v>2089</v>
      </c>
      <c r="AB72" s="235">
        <f t="shared" si="473"/>
        <v>2110</v>
      </c>
      <c r="AC72" s="235">
        <f t="shared" si="473"/>
        <v>2071</v>
      </c>
      <c r="AD72" s="235">
        <f t="shared" si="473"/>
        <v>1980</v>
      </c>
      <c r="AE72" s="235">
        <f t="shared" si="473"/>
        <v>2918</v>
      </c>
      <c r="AF72" s="243">
        <f t="shared" si="473"/>
        <v>2866</v>
      </c>
      <c r="AG72" s="243">
        <f t="shared" si="473"/>
        <v>2359</v>
      </c>
      <c r="AH72" s="243">
        <f t="shared" si="473"/>
        <v>2006</v>
      </c>
      <c r="AI72" s="243">
        <f t="shared" si="473"/>
        <v>2839</v>
      </c>
      <c r="AJ72" s="243">
        <f t="shared" si="473"/>
        <v>3015</v>
      </c>
      <c r="AK72" s="243">
        <f t="shared" si="473"/>
        <v>2538</v>
      </c>
      <c r="AL72" s="243">
        <f t="shared" si="473"/>
        <v>2101</v>
      </c>
      <c r="AM72" s="243">
        <f t="shared" si="473"/>
        <v>3342</v>
      </c>
      <c r="AN72" s="243">
        <f t="shared" si="473"/>
        <v>3072</v>
      </c>
      <c r="AO72" s="243">
        <f t="shared" si="473"/>
        <v>2875</v>
      </c>
      <c r="AP72" s="243">
        <f t="shared" si="473"/>
        <v>2385</v>
      </c>
      <c r="AQ72" s="243">
        <f>AQ70-AQ71</f>
        <v>3430</v>
      </c>
      <c r="AR72" s="243">
        <f t="shared" si="473"/>
        <v>3092</v>
      </c>
      <c r="AS72" s="243">
        <f t="shared" si="473"/>
        <v>3109.4179999999997</v>
      </c>
      <c r="AT72" s="243">
        <f>AT70-AT71+441-267</f>
        <v>2892.0230000000001</v>
      </c>
      <c r="AU72" s="243">
        <f t="shared" ref="AU72:BC72" si="474">AU70-AU71</f>
        <v>3598</v>
      </c>
      <c r="AV72" s="243">
        <f t="shared" si="474"/>
        <v>3367</v>
      </c>
      <c r="AW72" s="243">
        <f t="shared" si="474"/>
        <v>3310</v>
      </c>
      <c r="AX72" s="243">
        <f t="shared" si="474"/>
        <v>2626</v>
      </c>
      <c r="AY72" s="243">
        <f t="shared" si="474"/>
        <v>3507</v>
      </c>
      <c r="AZ72" s="243">
        <f t="shared" si="474"/>
        <v>3208</v>
      </c>
      <c r="BA72" s="243">
        <f t="shared" si="474"/>
        <v>3345</v>
      </c>
      <c r="BB72" s="243">
        <f t="shared" si="474"/>
        <v>2884</v>
      </c>
      <c r="BC72" s="243">
        <f t="shared" si="474"/>
        <v>3616</v>
      </c>
      <c r="BD72" s="243">
        <f t="shared" ref="BD72:BG72" si="475">BD70-BD71</f>
        <v>3441</v>
      </c>
      <c r="BE72" s="243">
        <f t="shared" si="475"/>
        <v>3417</v>
      </c>
      <c r="BF72" s="243">
        <f t="shared" si="475"/>
        <v>2864</v>
      </c>
      <c r="BG72" s="243">
        <f t="shared" si="475"/>
        <v>4269</v>
      </c>
      <c r="BH72" s="243">
        <f>BH70-BH71</f>
        <v>3365</v>
      </c>
      <c r="BI72" s="243">
        <f>BI70-BI71</f>
        <v>3202</v>
      </c>
      <c r="BJ72" s="243">
        <f t="shared" ref="BJ72" si="476">BJ70-BJ71</f>
        <v>5695</v>
      </c>
      <c r="BK72" s="243">
        <f t="shared" ref="BK72" si="477">BK70-BK71</f>
        <v>3910</v>
      </c>
      <c r="BL72" s="243">
        <f t="shared" ref="BL72" si="478">BL70-BL71</f>
        <v>3621</v>
      </c>
      <c r="BM72" s="243">
        <f t="shared" ref="BM72" si="479">BM70-BM71</f>
        <v>3447</v>
      </c>
      <c r="BN72" s="243">
        <f t="shared" ref="BN72:BR72" si="480">BN70-BN71</f>
        <v>2855</v>
      </c>
      <c r="BO72" s="243">
        <f t="shared" si="480"/>
        <v>3604</v>
      </c>
      <c r="BP72" s="243">
        <f t="shared" si="480"/>
        <v>4345</v>
      </c>
      <c r="BQ72" s="243">
        <f t="shared" si="480"/>
        <v>3983</v>
      </c>
      <c r="BR72" s="243">
        <f t="shared" si="480"/>
        <v>3648.5549999999998</v>
      </c>
      <c r="BS72" s="243">
        <f t="shared" ref="BS72:BV72" si="481">BS70-BS71</f>
        <v>5021</v>
      </c>
      <c r="BT72" s="243">
        <f t="shared" si="481"/>
        <v>4590</v>
      </c>
      <c r="BU72" s="243">
        <f t="shared" si="481"/>
        <v>3404</v>
      </c>
      <c r="BV72" s="243">
        <f t="shared" si="481"/>
        <v>3640</v>
      </c>
      <c r="BW72" s="243">
        <f t="shared" ref="BW72:BZ72" si="482">BW70-BW71</f>
        <v>3972</v>
      </c>
      <c r="BX72" s="243">
        <f t="shared" si="482"/>
        <v>3585</v>
      </c>
      <c r="BY72" s="243">
        <f t="shared" si="482"/>
        <v>3788</v>
      </c>
      <c r="BZ72" s="243">
        <f t="shared" si="482"/>
        <v>2733</v>
      </c>
      <c r="CA72" s="243">
        <f t="shared" ref="CA72:CH72" si="483">CA70-CA71</f>
        <v>4577</v>
      </c>
      <c r="CB72" s="243">
        <f t="shared" si="483"/>
        <v>4697</v>
      </c>
      <c r="CC72" s="243">
        <f t="shared" si="483"/>
        <v>4334</v>
      </c>
      <c r="CD72" s="243">
        <f t="shared" si="483"/>
        <v>4009</v>
      </c>
      <c r="CE72" s="243">
        <f t="shared" si="483"/>
        <v>4507</v>
      </c>
      <c r="CF72" s="243">
        <f t="shared" si="483"/>
        <v>4426</v>
      </c>
      <c r="CG72" s="243">
        <f t="shared" si="483"/>
        <v>3833</v>
      </c>
      <c r="CH72" s="243">
        <f t="shared" si="483"/>
        <v>4774</v>
      </c>
      <c r="CI72" s="243">
        <f t="shared" ref="CI72:CP72" si="484">+CI70-CI71</f>
        <v>4409</v>
      </c>
      <c r="CJ72" s="243">
        <f t="shared" si="484"/>
        <v>4375</v>
      </c>
      <c r="CK72" s="243">
        <f t="shared" si="484"/>
        <v>5784</v>
      </c>
      <c r="CL72" s="243">
        <f t="shared" si="484"/>
        <v>5347</v>
      </c>
      <c r="CM72" s="243">
        <f t="shared" si="484"/>
        <v>4675</v>
      </c>
      <c r="CN72" s="243">
        <f t="shared" si="484"/>
        <v>3983</v>
      </c>
      <c r="CO72" s="243">
        <f t="shared" si="484"/>
        <v>5648</v>
      </c>
      <c r="CP72" s="243">
        <f t="shared" si="484"/>
        <v>5061</v>
      </c>
      <c r="CQ72" s="243">
        <f t="shared" ref="CQ72" si="485">+CQ70-CQ71</f>
        <v>5090</v>
      </c>
      <c r="CR72" s="243">
        <f t="shared" ref="CR72" si="486">+CR70-CR71</f>
        <v>3695</v>
      </c>
      <c r="CS72" s="243">
        <f>+CS70-CS71</f>
        <v>4960</v>
      </c>
      <c r="CT72" s="243">
        <f>+CT70-CT71</f>
        <v>4099</v>
      </c>
      <c r="CU72" s="243">
        <f>+CU70-CU71</f>
        <v>6250</v>
      </c>
      <c r="CV72" s="243">
        <f t="shared" ref="CV72" si="487">+CV70-CV71</f>
        <v>6754</v>
      </c>
      <c r="CW72" s="243">
        <f>+CW70-CW71</f>
        <v>6474</v>
      </c>
      <c r="CX72" s="243">
        <f>+CX70-CX71</f>
        <v>4893</v>
      </c>
      <c r="CY72" s="243">
        <f>+CY70-CY71</f>
        <v>5927</v>
      </c>
      <c r="CZ72" s="243">
        <f t="shared" ref="CZ72:DG72" si="488">+CZ70-CZ71</f>
        <v>7021</v>
      </c>
      <c r="DA72" s="243">
        <f t="shared" si="488"/>
        <v>11179</v>
      </c>
      <c r="DB72" s="243">
        <f t="shared" si="488"/>
        <v>6391</v>
      </c>
      <c r="DC72" s="243">
        <f t="shared" si="488"/>
        <v>5036</v>
      </c>
      <c r="DD72" s="243">
        <f t="shared" si="488"/>
        <v>5383</v>
      </c>
      <c r="DE72" s="243">
        <f t="shared" si="488"/>
        <v>4783</v>
      </c>
      <c r="DF72" s="243">
        <f t="shared" si="488"/>
        <v>5772</v>
      </c>
      <c r="DG72" s="243">
        <f t="shared" si="488"/>
        <v>6579</v>
      </c>
      <c r="DH72" s="243">
        <f t="shared" ref="DH72:DN72" si="489">+DH70-DH71</f>
        <v>16218.225000000002</v>
      </c>
      <c r="DI72" s="243">
        <f t="shared" si="489"/>
        <v>16235.744999999999</v>
      </c>
      <c r="DJ72" s="243">
        <f t="shared" si="489"/>
        <v>16462.191749999998</v>
      </c>
      <c r="DK72" s="243">
        <f t="shared" si="489"/>
        <v>16389.730575000001</v>
      </c>
      <c r="DL72" s="243">
        <f t="shared" si="489"/>
        <v>16650.230617499998</v>
      </c>
      <c r="DM72" s="243">
        <f t="shared" si="489"/>
        <v>16713.791415749998</v>
      </c>
      <c r="DN72" s="243">
        <f t="shared" si="489"/>
        <v>16980.326579175002</v>
      </c>
      <c r="DP72" s="235">
        <f t="shared" ref="DP72:EQ72" si="490">DP70-DP71</f>
        <v>1082</v>
      </c>
      <c r="DQ72" s="235">
        <f t="shared" si="490"/>
        <v>1247</v>
      </c>
      <c r="DR72" s="235">
        <f t="shared" si="490"/>
        <v>1461</v>
      </c>
      <c r="DS72" s="235">
        <f t="shared" si="490"/>
        <v>1625</v>
      </c>
      <c r="DT72" s="235">
        <f t="shared" si="490"/>
        <v>1787</v>
      </c>
      <c r="DU72" s="235">
        <f t="shared" si="490"/>
        <v>2006</v>
      </c>
      <c r="DV72" s="235">
        <f t="shared" si="490"/>
        <v>2403</v>
      </c>
      <c r="DW72" s="235">
        <f t="shared" si="490"/>
        <v>2887</v>
      </c>
      <c r="DX72" s="235">
        <f t="shared" si="490"/>
        <v>3303</v>
      </c>
      <c r="DY72" s="235">
        <f t="shared" si="490"/>
        <v>3836</v>
      </c>
      <c r="DZ72" s="235">
        <f t="shared" si="490"/>
        <v>4167</v>
      </c>
      <c r="EA72" s="235">
        <f t="shared" si="490"/>
        <v>4821</v>
      </c>
      <c r="EB72" s="235">
        <f t="shared" si="490"/>
        <v>5773</v>
      </c>
      <c r="EC72" s="235">
        <f t="shared" si="490"/>
        <v>7570.4250000000011</v>
      </c>
      <c r="ED72" s="235">
        <f t="shared" si="490"/>
        <v>8618.4000000000015</v>
      </c>
      <c r="EE72" s="235">
        <f t="shared" si="490"/>
        <v>9296</v>
      </c>
      <c r="EF72" s="235">
        <f t="shared" si="490"/>
        <v>9757</v>
      </c>
      <c r="EG72" s="235">
        <f t="shared" si="490"/>
        <v>11133</v>
      </c>
      <c r="EH72" s="235">
        <f>EH70-EH71</f>
        <v>12251.440999999999</v>
      </c>
      <c r="EI72" s="235">
        <f>EI70-EI71</f>
        <v>12901</v>
      </c>
      <c r="EJ72" s="235">
        <f>EJ70-EJ71</f>
        <v>16778.5</v>
      </c>
      <c r="EK72" s="235">
        <f t="shared" si="490"/>
        <v>13147</v>
      </c>
      <c r="EL72" s="235">
        <f>EL70-EL71</f>
        <v>16531</v>
      </c>
      <c r="EM72" s="235">
        <f>EM70-EM71</f>
        <v>13511</v>
      </c>
      <c r="EN72" s="235">
        <f>EN70-EN71</f>
        <v>15321.555</v>
      </c>
      <c r="EO72" s="235">
        <f t="shared" si="490"/>
        <v>19544.859658686884</v>
      </c>
      <c r="EP72" s="235">
        <f t="shared" si="490"/>
        <v>49489.613259749996</v>
      </c>
      <c r="EQ72" s="235">
        <f t="shared" si="490"/>
        <v>45613.910215721247</v>
      </c>
      <c r="ER72" s="235">
        <f t="shared" ref="ER72:FE72" si="491">ER70-ER71</f>
        <v>0.12626999999999999</v>
      </c>
      <c r="ES72" s="235">
        <f t="shared" si="491"/>
        <v>19915.018299999996</v>
      </c>
      <c r="ET72" s="235">
        <f t="shared" si="491"/>
        <v>19367.001829999994</v>
      </c>
      <c r="EU72" s="235">
        <f t="shared" si="491"/>
        <v>17844</v>
      </c>
      <c r="EV72" s="235">
        <f t="shared" si="491"/>
        <v>24595</v>
      </c>
      <c r="EW72" s="235">
        <f>EW70-EW71</f>
        <v>30412</v>
      </c>
      <c r="EX72" s="235">
        <f t="shared" si="491"/>
        <v>29232.209737499998</v>
      </c>
      <c r="EY72" s="235">
        <f t="shared" si="491"/>
        <v>29463.207659062507</v>
      </c>
      <c r="EZ72" s="235">
        <f t="shared" si="491"/>
        <v>27573.202183707188</v>
      </c>
      <c r="FA72" s="235">
        <f t="shared" si="491"/>
        <v>27041.888216096977</v>
      </c>
      <c r="FB72" s="235">
        <f t="shared" si="491"/>
        <v>26791.620437219979</v>
      </c>
      <c r="FC72" s="235">
        <f t="shared" si="491"/>
        <v>26697.547256781472</v>
      </c>
      <c r="FD72" s="235">
        <f t="shared" si="491"/>
        <v>26251.78802289013</v>
      </c>
      <c r="FE72" s="235">
        <f t="shared" si="491"/>
        <v>26148.376316626414</v>
      </c>
      <c r="FF72" s="235">
        <f t="shared" ref="FF72:FJ72" si="492">FF70-FF71</f>
        <v>26251.765582531301</v>
      </c>
      <c r="FG72" s="235">
        <f t="shared" si="492"/>
        <v>26489.745348710345</v>
      </c>
      <c r="FH72" s="235">
        <f t="shared" si="492"/>
        <v>26822.709227033742</v>
      </c>
      <c r="FI72" s="235">
        <f t="shared" si="492"/>
        <v>27228.107577790681</v>
      </c>
      <c r="FJ72" s="235">
        <f t="shared" si="492"/>
        <v>27692.528697615086</v>
      </c>
      <c r="FK72" s="235">
        <f>+FJ72*(1+$FN$75)</f>
        <v>27830.991341103159</v>
      </c>
      <c r="FL72" s="235">
        <f t="shared" ref="FL72:HW72" si="493">+FK72*(1+$FN$75)</f>
        <v>27970.146297808671</v>
      </c>
      <c r="FM72" s="235">
        <f t="shared" si="493"/>
        <v>28109.997029297712</v>
      </c>
      <c r="FN72" s="235">
        <f t="shared" si="493"/>
        <v>28250.547014444197</v>
      </c>
      <c r="FO72" s="235">
        <f t="shared" si="493"/>
        <v>28391.799749516416</v>
      </c>
      <c r="FP72" s="235">
        <f t="shared" si="493"/>
        <v>28533.758748263994</v>
      </c>
      <c r="FQ72" s="235">
        <f t="shared" si="493"/>
        <v>28676.427542005309</v>
      </c>
      <c r="FR72" s="235">
        <f t="shared" si="493"/>
        <v>28819.809679715334</v>
      </c>
      <c r="FS72" s="235">
        <f t="shared" si="493"/>
        <v>28963.908728113907</v>
      </c>
      <c r="FT72" s="235">
        <f t="shared" si="493"/>
        <v>29108.728271754473</v>
      </c>
      <c r="FU72" s="235">
        <f t="shared" si="493"/>
        <v>29254.271913113243</v>
      </c>
      <c r="FV72" s="235">
        <f t="shared" si="493"/>
        <v>29400.543272678806</v>
      </c>
      <c r="FW72" s="235">
        <f t="shared" si="493"/>
        <v>29547.545989042195</v>
      </c>
      <c r="FX72" s="235">
        <f t="shared" si="493"/>
        <v>29695.283718987404</v>
      </c>
      <c r="FY72" s="235">
        <f t="shared" si="493"/>
        <v>29843.76013758234</v>
      </c>
      <c r="FZ72" s="235">
        <f t="shared" si="493"/>
        <v>29992.978938270247</v>
      </c>
      <c r="GA72" s="235">
        <f t="shared" si="493"/>
        <v>30142.943832961595</v>
      </c>
      <c r="GB72" s="235">
        <f t="shared" si="493"/>
        <v>30293.658552126399</v>
      </c>
      <c r="GC72" s="235">
        <f t="shared" si="493"/>
        <v>30445.126844887029</v>
      </c>
      <c r="GD72" s="235">
        <f t="shared" si="493"/>
        <v>30597.352479111461</v>
      </c>
      <c r="GE72" s="235">
        <f t="shared" si="493"/>
        <v>30750.339241507016</v>
      </c>
      <c r="GF72" s="235">
        <f t="shared" si="493"/>
        <v>30904.090937714547</v>
      </c>
      <c r="GG72" s="235">
        <f t="shared" si="493"/>
        <v>31058.611392403116</v>
      </c>
      <c r="GH72" s="235">
        <f t="shared" si="493"/>
        <v>31213.904449365127</v>
      </c>
      <c r="GI72" s="235">
        <f t="shared" si="493"/>
        <v>31369.973971611951</v>
      </c>
      <c r="GJ72" s="235">
        <f t="shared" si="493"/>
        <v>31526.823841470006</v>
      </c>
      <c r="GK72" s="235">
        <f t="shared" si="493"/>
        <v>31684.457960677351</v>
      </c>
      <c r="GL72" s="235">
        <f t="shared" si="493"/>
        <v>31842.880250480735</v>
      </c>
      <c r="GM72" s="235">
        <f t="shared" si="493"/>
        <v>32002.094651733136</v>
      </c>
      <c r="GN72" s="235">
        <f t="shared" si="493"/>
        <v>32162.105124991798</v>
      </c>
      <c r="GO72" s="235">
        <f t="shared" si="493"/>
        <v>32322.915650616753</v>
      </c>
      <c r="GP72" s="235">
        <f t="shared" si="493"/>
        <v>32484.530228869833</v>
      </c>
      <c r="GQ72" s="235">
        <f t="shared" si="493"/>
        <v>32646.952880014178</v>
      </c>
      <c r="GR72" s="235">
        <f t="shared" si="493"/>
        <v>32810.187644414247</v>
      </c>
      <c r="GS72" s="235">
        <f t="shared" si="493"/>
        <v>32974.238582636317</v>
      </c>
      <c r="GT72" s="235">
        <f t="shared" si="493"/>
        <v>33139.109775549492</v>
      </c>
      <c r="GU72" s="235">
        <f t="shared" si="493"/>
        <v>33304.805324427238</v>
      </c>
      <c r="GV72" s="235">
        <f t="shared" si="493"/>
        <v>33471.329351049368</v>
      </c>
      <c r="GW72" s="235">
        <f t="shared" si="493"/>
        <v>33638.685997804612</v>
      </c>
      <c r="GX72" s="235">
        <f t="shared" si="493"/>
        <v>33806.879427793632</v>
      </c>
      <c r="GY72" s="235">
        <f t="shared" si="493"/>
        <v>33975.913824932599</v>
      </c>
      <c r="GZ72" s="235">
        <f t="shared" si="493"/>
        <v>34145.793394057255</v>
      </c>
      <c r="HA72" s="235">
        <f t="shared" si="493"/>
        <v>34316.522361027535</v>
      </c>
      <c r="HB72" s="235">
        <f t="shared" si="493"/>
        <v>34488.104972832669</v>
      </c>
      <c r="HC72" s="235">
        <f t="shared" si="493"/>
        <v>34660.545497696832</v>
      </c>
      <c r="HD72" s="235">
        <f t="shared" si="493"/>
        <v>34833.848225185313</v>
      </c>
      <c r="HE72" s="235">
        <f t="shared" si="493"/>
        <v>35008.017466311234</v>
      </c>
      <c r="HF72" s="235">
        <f t="shared" si="493"/>
        <v>35183.057553642786</v>
      </c>
      <c r="HG72" s="235">
        <f t="shared" si="493"/>
        <v>35358.972841411</v>
      </c>
      <c r="HH72" s="235">
        <f t="shared" si="493"/>
        <v>35535.767705618047</v>
      </c>
      <c r="HI72" s="235">
        <f t="shared" si="493"/>
        <v>35713.446544146136</v>
      </c>
      <c r="HJ72" s="235">
        <f t="shared" si="493"/>
        <v>35892.013776866865</v>
      </c>
      <c r="HK72" s="235">
        <f t="shared" si="493"/>
        <v>36071.473845751192</v>
      </c>
      <c r="HL72" s="235">
        <f t="shared" si="493"/>
        <v>36251.831214979946</v>
      </c>
      <c r="HM72" s="235">
        <f t="shared" si="493"/>
        <v>36433.090371054845</v>
      </c>
      <c r="HN72" s="235">
        <f t="shared" si="493"/>
        <v>36615.255822910112</v>
      </c>
      <c r="HO72" s="235">
        <f t="shared" si="493"/>
        <v>36798.332102024659</v>
      </c>
      <c r="HP72" s="235">
        <f t="shared" si="493"/>
        <v>36982.323762534776</v>
      </c>
      <c r="HQ72" s="235">
        <f t="shared" si="493"/>
        <v>37167.235381347447</v>
      </c>
      <c r="HR72" s="235">
        <f t="shared" si="493"/>
        <v>37353.071558254182</v>
      </c>
      <c r="HS72" s="235">
        <f t="shared" si="493"/>
        <v>37539.836916045446</v>
      </c>
      <c r="HT72" s="235">
        <f t="shared" si="493"/>
        <v>37727.536100625672</v>
      </c>
      <c r="HU72" s="235">
        <f t="shared" si="493"/>
        <v>37916.173781128797</v>
      </c>
      <c r="HV72" s="235">
        <f t="shared" si="493"/>
        <v>38105.75465003444</v>
      </c>
      <c r="HW72" s="235">
        <f t="shared" si="493"/>
        <v>38296.283423284607</v>
      </c>
      <c r="HX72" s="235">
        <f t="shared" ref="HX72:JJ72" si="494">+HW72*(1+$FN$75)</f>
        <v>38487.764840401025</v>
      </c>
      <c r="HY72" s="235">
        <f t="shared" si="494"/>
        <v>38680.203664603025</v>
      </c>
      <c r="HZ72" s="235">
        <f t="shared" si="494"/>
        <v>38873.604682926038</v>
      </c>
      <c r="IA72" s="235">
        <f t="shared" si="494"/>
        <v>39067.972706340661</v>
      </c>
      <c r="IB72" s="235">
        <f t="shared" si="494"/>
        <v>39263.31256987236</v>
      </c>
      <c r="IC72" s="235">
        <f t="shared" si="494"/>
        <v>39459.629132721719</v>
      </c>
      <c r="ID72" s="235">
        <f t="shared" si="494"/>
        <v>39656.927278385323</v>
      </c>
      <c r="IE72" s="235">
        <f t="shared" si="494"/>
        <v>39855.211914777246</v>
      </c>
      <c r="IF72" s="235">
        <f t="shared" si="494"/>
        <v>40054.487974351126</v>
      </c>
      <c r="IG72" s="235">
        <f t="shared" si="494"/>
        <v>40254.760414222881</v>
      </c>
      <c r="IH72" s="235">
        <f t="shared" si="494"/>
        <v>40456.034216293992</v>
      </c>
      <c r="II72" s="235">
        <f t="shared" si="494"/>
        <v>40658.31438737546</v>
      </c>
      <c r="IJ72" s="235">
        <f t="shared" si="494"/>
        <v>40861.605959312335</v>
      </c>
      <c r="IK72" s="235">
        <f t="shared" si="494"/>
        <v>41065.913989108893</v>
      </c>
      <c r="IL72" s="235">
        <f t="shared" si="494"/>
        <v>41271.243559054434</v>
      </c>
      <c r="IM72" s="235">
        <f t="shared" si="494"/>
        <v>41477.599776849704</v>
      </c>
      <c r="IN72" s="235">
        <f t="shared" si="494"/>
        <v>41684.987775733949</v>
      </c>
      <c r="IO72" s="235">
        <f t="shared" si="494"/>
        <v>41893.412714612612</v>
      </c>
      <c r="IP72" s="235">
        <f t="shared" si="494"/>
        <v>42102.87977818567</v>
      </c>
      <c r="IQ72" s="235">
        <f t="shared" si="494"/>
        <v>42313.394177076596</v>
      </c>
      <c r="IR72" s="235">
        <f t="shared" si="494"/>
        <v>42524.961147961978</v>
      </c>
      <c r="IS72" s="235">
        <f t="shared" si="494"/>
        <v>42737.585953701782</v>
      </c>
      <c r="IT72" s="235">
        <f t="shared" si="494"/>
        <v>42951.273883470283</v>
      </c>
      <c r="IU72" s="235">
        <f t="shared" si="494"/>
        <v>43166.030252887627</v>
      </c>
      <c r="IV72" s="235">
        <f t="shared" si="494"/>
        <v>43381.860404152059</v>
      </c>
      <c r="IW72" s="235">
        <f t="shared" si="494"/>
        <v>43598.769706172818</v>
      </c>
      <c r="IX72" s="235">
        <f t="shared" si="494"/>
        <v>43816.763554703677</v>
      </c>
      <c r="IY72" s="235">
        <f t="shared" si="494"/>
        <v>44035.84737247719</v>
      </c>
      <c r="IZ72" s="235">
        <f t="shared" si="494"/>
        <v>44256.026609339569</v>
      </c>
      <c r="JA72" s="235">
        <f t="shared" si="494"/>
        <v>44477.306742386259</v>
      </c>
      <c r="JB72" s="235">
        <f t="shared" si="494"/>
        <v>44699.693276098187</v>
      </c>
      <c r="JC72" s="235">
        <f t="shared" si="494"/>
        <v>44923.191742478673</v>
      </c>
      <c r="JD72" s="235">
        <f t="shared" si="494"/>
        <v>45147.807701191065</v>
      </c>
      <c r="JE72" s="235">
        <f t="shared" si="494"/>
        <v>45373.546739697013</v>
      </c>
      <c r="JF72" s="235">
        <f t="shared" si="494"/>
        <v>45600.414473395496</v>
      </c>
      <c r="JG72" s="235">
        <f t="shared" si="494"/>
        <v>45828.416545762469</v>
      </c>
      <c r="JH72" s="235">
        <f t="shared" si="494"/>
        <v>46057.558628491279</v>
      </c>
      <c r="JI72" s="235">
        <f t="shared" si="494"/>
        <v>46287.846421633731</v>
      </c>
      <c r="JJ72" s="235">
        <f t="shared" si="494"/>
        <v>46519.285653741892</v>
      </c>
    </row>
    <row r="73" spans="1:270" s="281" customFormat="1" ht="12.75" customHeight="1" x14ac:dyDescent="0.2">
      <c r="B73" s="1" t="s">
        <v>345</v>
      </c>
      <c r="C73" s="282">
        <f t="shared" ref="C73:AY73" si="495">C72/C74</f>
        <v>0.34093466356612412</v>
      </c>
      <c r="D73" s="282">
        <f t="shared" si="495"/>
        <v>0.34108818011257036</v>
      </c>
      <c r="E73" s="282">
        <f t="shared" si="495"/>
        <v>0.32020073402741372</v>
      </c>
      <c r="F73" s="282">
        <f t="shared" si="495"/>
        <v>0.23470680277177558</v>
      </c>
      <c r="G73" s="282">
        <f t="shared" si="495"/>
        <v>0.36735287699134356</v>
      </c>
      <c r="H73" s="282">
        <f t="shared" si="495"/>
        <v>0.36694902877172481</v>
      </c>
      <c r="I73" s="282">
        <f t="shared" si="495"/>
        <v>0.34996358339402767</v>
      </c>
      <c r="J73" s="282">
        <f t="shared" si="495"/>
        <v>0.25262467191601051</v>
      </c>
      <c r="K73" s="282">
        <f t="shared" si="495"/>
        <v>0.41065967671472253</v>
      </c>
      <c r="L73" s="282">
        <f t="shared" si="495"/>
        <v>0.42006109979633405</v>
      </c>
      <c r="M73" s="282">
        <f t="shared" si="495"/>
        <v>0.40004368083867214</v>
      </c>
      <c r="N73" s="282">
        <f t="shared" si="495"/>
        <v>0.26558647411060232</v>
      </c>
      <c r="O73" s="282">
        <f t="shared" si="495"/>
        <v>0.46562721474131824</v>
      </c>
      <c r="P73" s="282">
        <f t="shared" si="495"/>
        <v>0.47078381437464634</v>
      </c>
      <c r="Q73" s="282">
        <f t="shared" si="495"/>
        <v>0.44661154688714583</v>
      </c>
      <c r="R73" s="282">
        <f t="shared" si="495"/>
        <v>0.33286368439591407</v>
      </c>
      <c r="S73" s="282">
        <f t="shared" si="495"/>
        <v>0.53014773450201458</v>
      </c>
      <c r="T73" s="282">
        <f t="shared" si="495"/>
        <v>0.47645073139366662</v>
      </c>
      <c r="U73" s="282">
        <f t="shared" si="495"/>
        <v>0.49149763733967661</v>
      </c>
      <c r="V73" s="282">
        <f t="shared" si="495"/>
        <v>0.38767140843265413</v>
      </c>
      <c r="W73" s="282">
        <f t="shared" si="495"/>
        <v>0.58868845092123001</v>
      </c>
      <c r="X73" s="282">
        <f t="shared" si="495"/>
        <v>0.63793047274622872</v>
      </c>
      <c r="Y73" s="282">
        <f t="shared" si="495"/>
        <v>0.56992764396867879</v>
      </c>
      <c r="Z73" s="282">
        <f t="shared" si="495"/>
        <v>0.45771736614082087</v>
      </c>
      <c r="AA73" s="282">
        <f t="shared" si="495"/>
        <v>0.6920655954944509</v>
      </c>
      <c r="AB73" s="282">
        <f t="shared" si="495"/>
        <v>0.69902269339075696</v>
      </c>
      <c r="AC73" s="282">
        <f t="shared" si="495"/>
        <v>0.68842868065020102</v>
      </c>
      <c r="AD73" s="282">
        <f t="shared" si="495"/>
        <v>0.65881413455779592</v>
      </c>
      <c r="AE73" s="282">
        <f t="shared" si="495"/>
        <v>0.97117752779072097</v>
      </c>
      <c r="AF73" s="282">
        <f t="shared" si="495"/>
        <v>0.95364855422087635</v>
      </c>
      <c r="AG73" s="282">
        <f t="shared" si="495"/>
        <v>0.78398138916583582</v>
      </c>
      <c r="AH73" s="282">
        <f t="shared" si="495"/>
        <v>0.66567114650738346</v>
      </c>
      <c r="AI73" s="282">
        <f t="shared" si="495"/>
        <v>0.93891589774117812</v>
      </c>
      <c r="AJ73" s="282">
        <f t="shared" si="495"/>
        <v>0.99679307038714593</v>
      </c>
      <c r="AK73" s="282">
        <f t="shared" si="495"/>
        <v>0.84425520590779057</v>
      </c>
      <c r="AL73" s="282">
        <f t="shared" si="495"/>
        <v>0.69719595155135228</v>
      </c>
      <c r="AM73" s="282">
        <f t="shared" si="495"/>
        <v>1.1167173455408161</v>
      </c>
      <c r="AN73" s="282">
        <f t="shared" si="495"/>
        <v>1.0328133405056481</v>
      </c>
      <c r="AO73" s="282">
        <f t="shared" si="495"/>
        <v>0.97520436891557272</v>
      </c>
      <c r="AP73" s="282">
        <f t="shared" si="495"/>
        <v>0.81379875115160205</v>
      </c>
      <c r="AQ73" s="282">
        <f>AQ72/AQ74</f>
        <v>1.1729302739117053</v>
      </c>
      <c r="AR73" s="282">
        <f t="shared" si="495"/>
        <v>1.0579982891360138</v>
      </c>
      <c r="AS73" s="282">
        <f t="shared" si="495"/>
        <v>1.0674647258745578</v>
      </c>
      <c r="AT73" s="282">
        <f t="shared" si="495"/>
        <v>1.0009770870829295</v>
      </c>
      <c r="AU73" s="282">
        <f t="shared" si="495"/>
        <v>1.2552768377350592</v>
      </c>
      <c r="AV73" s="282">
        <f t="shared" si="495"/>
        <v>1.1835629921259843</v>
      </c>
      <c r="AW73" s="282">
        <f t="shared" si="495"/>
        <v>1.169074276833963</v>
      </c>
      <c r="AX73" s="282">
        <f t="shared" si="495"/>
        <v>0.93732153055396916</v>
      </c>
      <c r="AY73" s="282">
        <f t="shared" si="495"/>
        <v>1.2570793605276362</v>
      </c>
      <c r="AZ73" s="282">
        <f t="shared" ref="AZ73:BG73" si="496">AZ72/AZ74</f>
        <v>1.1531272465851905</v>
      </c>
      <c r="BA73" s="282">
        <f t="shared" si="496"/>
        <v>1.1976369495166488</v>
      </c>
      <c r="BB73" s="282">
        <f t="shared" si="496"/>
        <v>1.0312891113892366</v>
      </c>
      <c r="BC73" s="282">
        <f t="shared" si="496"/>
        <v>1.2926750795409858</v>
      </c>
      <c r="BD73" s="282">
        <f t="shared" si="496"/>
        <v>1.2306866952789699</v>
      </c>
      <c r="BE73" s="282">
        <f t="shared" si="496"/>
        <v>1.2263135228251507</v>
      </c>
      <c r="BF73" s="282">
        <f t="shared" si="496"/>
        <v>1.0296232384239288</v>
      </c>
      <c r="BG73" s="282">
        <f t="shared" si="496"/>
        <v>1.539654488404804</v>
      </c>
      <c r="BH73" s="282">
        <f t="shared" ref="BH73:BN73" si="497">BH72/BH74</f>
        <v>1.2098658900514148</v>
      </c>
      <c r="BI73" s="282">
        <f>BI72/BI74</f>
        <v>1.1525448131883955</v>
      </c>
      <c r="BJ73" s="282">
        <f t="shared" si="497"/>
        <v>2.0597489963470648</v>
      </c>
      <c r="BK73" s="282">
        <f t="shared" si="497"/>
        <v>1.4090597859382319</v>
      </c>
      <c r="BL73" s="282">
        <f t="shared" si="497"/>
        <v>1.2940461725394898</v>
      </c>
      <c r="BM73" s="282">
        <f t="shared" si="497"/>
        <v>1.2231645434867464</v>
      </c>
      <c r="BN73" s="282">
        <f t="shared" si="497"/>
        <v>1.0076233500388225</v>
      </c>
      <c r="BO73" s="282">
        <f t="shared" ref="BO73:BR73" si="498">BO72/BO74</f>
        <v>1.2606688120889884</v>
      </c>
      <c r="BP73" s="282">
        <f t="shared" si="498"/>
        <v>1.5019011406844107</v>
      </c>
      <c r="BQ73" s="282">
        <f t="shared" si="498"/>
        <v>1.3824101068999028</v>
      </c>
      <c r="BR73" s="282">
        <f t="shared" si="498"/>
        <v>1.2703882311977714</v>
      </c>
      <c r="BS73" s="282">
        <f t="shared" ref="BS73:BV73" si="499">BS72/BS74</f>
        <v>1.7466170382996489</v>
      </c>
      <c r="BT73" s="282">
        <f t="shared" si="499"/>
        <v>1.5969661123095122</v>
      </c>
      <c r="BU73" s="282">
        <f t="shared" si="499"/>
        <v>1.1884230003840379</v>
      </c>
      <c r="BV73" s="282">
        <f t="shared" si="499"/>
        <v>1.2793027097318384</v>
      </c>
      <c r="BW73" s="282">
        <f t="shared" ref="BW73:BZ73" si="500">BW72/BW74</f>
        <v>1.40552016985138</v>
      </c>
      <c r="BX73" s="282">
        <f t="shared" si="500"/>
        <v>1.2748933143669985</v>
      </c>
      <c r="BY73" s="282">
        <f t="shared" si="500"/>
        <v>1.3493872898261614</v>
      </c>
      <c r="BZ73" s="282">
        <f t="shared" si="500"/>
        <v>0.97492241287054537</v>
      </c>
      <c r="CA73" s="282">
        <f t="shared" ref="CA73:CC73" si="501">+CA72/CA74</f>
        <v>1.6373327609644415</v>
      </c>
      <c r="CB73" s="282">
        <f t="shared" si="501"/>
        <v>1.6809820342137285</v>
      </c>
      <c r="CC73" s="282">
        <f t="shared" si="501"/>
        <v>1.5559704171752711</v>
      </c>
      <c r="CD73" s="282">
        <f t="shared" ref="CD73:CE73" si="502">+CD72/CD74</f>
        <v>1.4501718213058419</v>
      </c>
      <c r="CE73" s="282">
        <f t="shared" si="502"/>
        <v>1.6362316209838446</v>
      </c>
      <c r="CF73" s="282">
        <f t="shared" ref="CF73:CG73" si="503">+CF72/CF74</f>
        <v>1.6144446470910085</v>
      </c>
      <c r="CG73" s="282">
        <f t="shared" si="503"/>
        <v>1.4000803594257956</v>
      </c>
      <c r="CH73" s="282">
        <f t="shared" ref="CH73:CJ73" si="504">+CH72/CH74</f>
        <v>1.778092293940184</v>
      </c>
      <c r="CI73" s="282">
        <f t="shared" si="504"/>
        <v>1.6138950913283794</v>
      </c>
      <c r="CJ73" s="282">
        <f t="shared" si="504"/>
        <v>1.6076875022966963</v>
      </c>
      <c r="CK73" s="282">
        <f t="shared" ref="CK73:CL73" si="505">+CK72/CK74</f>
        <v>2.1205455345358559</v>
      </c>
      <c r="CL73" s="282">
        <f t="shared" si="505"/>
        <v>1.9629221732745963</v>
      </c>
      <c r="CM73" s="282">
        <f t="shared" ref="CM73:CN73" si="506">+CM72/CM74</f>
        <v>1.7322513709796945</v>
      </c>
      <c r="CN73" s="282">
        <f t="shared" si="506"/>
        <v>1.4797339971022032</v>
      </c>
      <c r="CO73" s="282">
        <f t="shared" ref="CO73:CQ73" si="507">+CO72/CO74</f>
        <v>2.1154350350200382</v>
      </c>
      <c r="CP73" s="282">
        <f t="shared" si="507"/>
        <v>1.896144767899292</v>
      </c>
      <c r="CQ73" s="282">
        <f t="shared" si="507"/>
        <v>1.9056533133657807</v>
      </c>
      <c r="CR73" s="282">
        <f t="shared" ref="CR73" si="508">+CR72/CR74</f>
        <v>1.3862314762708685</v>
      </c>
      <c r="CS73" s="282">
        <f>+CS72/CS74</f>
        <v>1.8583739228175347</v>
      </c>
      <c r="CT73" s="282">
        <f>+CT72/CT74</f>
        <v>1.5357811914574746</v>
      </c>
      <c r="CU73" s="282">
        <f>+CU72/CU74</f>
        <v>2.3384592359785987</v>
      </c>
      <c r="CV73" s="282">
        <f t="shared" ref="CV73" si="509">+CV72/CV74</f>
        <v>2.5280730648300644</v>
      </c>
      <c r="CW73" s="282">
        <f>+CW72/CW74</f>
        <v>2.4202773935474222</v>
      </c>
      <c r="CX73" s="282">
        <f>+CX72/CX74</f>
        <v>1.8325842696629213</v>
      </c>
      <c r="CY73" s="282">
        <f>+CY72/CY74</f>
        <v>2.2227639227451714</v>
      </c>
      <c r="CZ73" s="282">
        <f t="shared" ref="CZ73:DG73" si="510">+CZ72/CZ74</f>
        <v>2.6316578582405636</v>
      </c>
      <c r="DA73" s="282">
        <f t="shared" si="510"/>
        <v>4.2005786645624319</v>
      </c>
      <c r="DB73" s="282">
        <f t="shared" si="510"/>
        <v>2.4116071091656921</v>
      </c>
      <c r="DC73" s="282">
        <f t="shared" si="510"/>
        <v>1.932834388792938</v>
      </c>
      <c r="DD73" s="282">
        <f t="shared" si="510"/>
        <v>2.0501199680085311</v>
      </c>
      <c r="DE73" s="282">
        <f t="shared" si="510"/>
        <v>1.875906969447386</v>
      </c>
      <c r="DF73" s="282">
        <f t="shared" si="510"/>
        <v>2.3746245937384294</v>
      </c>
      <c r="DG73" s="282">
        <f t="shared" si="510"/>
        <v>2.7072959960495453</v>
      </c>
      <c r="DH73" s="282">
        <f t="shared" ref="DH73:DN73" si="511">+DH72/DH74</f>
        <v>6.673892020904491</v>
      </c>
      <c r="DI73" s="282">
        <f t="shared" si="511"/>
        <v>6.6811016007571702</v>
      </c>
      <c r="DJ73" s="282">
        <f t="shared" si="511"/>
        <v>6.7742857289823455</v>
      </c>
      <c r="DK73" s="282">
        <f t="shared" si="511"/>
        <v>6.7444675424879641</v>
      </c>
      <c r="DL73" s="282">
        <f t="shared" si="511"/>
        <v>6.8516647946586549</v>
      </c>
      <c r="DM73" s="282">
        <f t="shared" si="511"/>
        <v>6.8778204253940158</v>
      </c>
      <c r="DN73" s="282">
        <f t="shared" si="511"/>
        <v>6.987501164221638</v>
      </c>
      <c r="DP73" s="282">
        <f t="shared" ref="DP73:EQ73" si="512">DP72/DP74</f>
        <v>0.40603422395676969</v>
      </c>
      <c r="DQ73" s="282">
        <f t="shared" si="512"/>
        <v>0.47156254726970198</v>
      </c>
      <c r="DR73" s="282">
        <f t="shared" si="512"/>
        <v>0.4759850708145893</v>
      </c>
      <c r="DS73" s="282">
        <f t="shared" si="512"/>
        <v>0.52940839182345845</v>
      </c>
      <c r="DT73" s="282">
        <f t="shared" si="512"/>
        <v>0.58218178406300991</v>
      </c>
      <c r="DU73" s="282">
        <f t="shared" si="512"/>
        <v>0.65351385866378242</v>
      </c>
      <c r="DV73" s="282">
        <f t="shared" si="512"/>
        <v>0.78282591359009235</v>
      </c>
      <c r="DW73" s="282">
        <f t="shared" si="512"/>
        <v>0.94049871516212935</v>
      </c>
      <c r="DX73" s="282">
        <f t="shared" si="512"/>
        <v>1.0760191396537975</v>
      </c>
      <c r="DY73" s="282">
        <f t="shared" si="512"/>
        <v>1.2496546835337472</v>
      </c>
      <c r="DZ73" s="282">
        <f t="shared" si="512"/>
        <v>1.3574032715796827</v>
      </c>
      <c r="EA73" s="282">
        <f t="shared" si="512"/>
        <v>1.5704391300920373</v>
      </c>
      <c r="EB73" s="282">
        <f t="shared" si="512"/>
        <v>1.8504142196944589</v>
      </c>
      <c r="EC73" s="282">
        <f t="shared" si="512"/>
        <v>2.5504287815058815</v>
      </c>
      <c r="ED73" s="282">
        <f t="shared" si="512"/>
        <v>2.9038000008760192</v>
      </c>
      <c r="EE73" s="282">
        <f t="shared" si="512"/>
        <v>3.1288886016701989</v>
      </c>
      <c r="EF73" s="282">
        <f t="shared" si="512"/>
        <v>3.2802394235223793</v>
      </c>
      <c r="EG73" s="282">
        <f t="shared" si="512"/>
        <v>3.7598784194528876</v>
      </c>
      <c r="EH73" s="282">
        <f>EH72/EH74</f>
        <v>4.2069005657186507</v>
      </c>
      <c r="EI73" s="282">
        <f t="shared" si="512"/>
        <v>4.5490126939351194</v>
      </c>
      <c r="EJ73" s="282">
        <f>EJ72/EJ74</f>
        <v>6.0130988325732666</v>
      </c>
      <c r="EK73" s="282">
        <f>EK72/EK74</f>
        <v>4.7116375332622535</v>
      </c>
      <c r="EL73" s="282">
        <f t="shared" si="512"/>
        <v>5.9586738877724805</v>
      </c>
      <c r="EM73" s="282">
        <f t="shared" si="512"/>
        <v>4.8147818185057814</v>
      </c>
      <c r="EN73" s="282">
        <f t="shared" si="512"/>
        <v>5.3269204693611476</v>
      </c>
      <c r="EO73" s="282">
        <f t="shared" si="512"/>
        <v>6.7952575953713632</v>
      </c>
      <c r="EP73" s="282">
        <f t="shared" si="512"/>
        <v>17.206297526205997</v>
      </c>
      <c r="EQ73" s="282">
        <f t="shared" si="512"/>
        <v>15.858812765135593</v>
      </c>
      <c r="ER73" s="282" t="e">
        <f t="shared" ref="ER73:EY73" si="513">ER72/ER74</f>
        <v>#DIV/0!</v>
      </c>
      <c r="ES73" s="282">
        <f t="shared" si="513"/>
        <v>7.3050466950333774</v>
      </c>
      <c r="ET73" s="282">
        <f t="shared" si="513"/>
        <v>7.2200948152290394</v>
      </c>
      <c r="EU73" s="282">
        <f t="shared" si="513"/>
        <v>6.6865895358096399</v>
      </c>
      <c r="EV73" s="282">
        <f t="shared" si="513"/>
        <v>9.2036822213074885</v>
      </c>
      <c r="EW73" s="282">
        <f t="shared" si="513"/>
        <v>11.416344457374526</v>
      </c>
      <c r="EX73" s="282">
        <f t="shared" si="513"/>
        <v>11.450589422813271</v>
      </c>
      <c r="EY73" s="282">
        <f t="shared" si="513"/>
        <v>11.541073939074195</v>
      </c>
      <c r="EZ73" s="282">
        <f t="shared" ref="EZ73:FE73" si="514">EZ72/EZ74</f>
        <v>10.800737272790627</v>
      </c>
      <c r="FA73" s="282">
        <f t="shared" si="514"/>
        <v>10.592615541578981</v>
      </c>
      <c r="FB73" s="282">
        <f t="shared" si="514"/>
        <v>10.494582802781144</v>
      </c>
      <c r="FC73" s="282">
        <f t="shared" si="514"/>
        <v>10.45773326678737</v>
      </c>
      <c r="FD73" s="282">
        <f t="shared" si="514"/>
        <v>10.283124298989437</v>
      </c>
      <c r="FE73" s="282">
        <f t="shared" si="514"/>
        <v>10.242616756091667</v>
      </c>
      <c r="FF73" s="282">
        <f t="shared" ref="FF73:FJ73" si="515">FF72/FF74</f>
        <v>10.283115508845354</v>
      </c>
      <c r="FG73" s="282">
        <f t="shared" si="515"/>
        <v>10.376334893145188</v>
      </c>
      <c r="FH73" s="282">
        <f t="shared" si="515"/>
        <v>10.5067606357608</v>
      </c>
      <c r="FI73" s="282">
        <f t="shared" si="515"/>
        <v>10.665559786043591</v>
      </c>
      <c r="FJ73" s="282">
        <f t="shared" si="515"/>
        <v>10.847478827065334</v>
      </c>
    </row>
    <row r="74" spans="1:270" ht="12.75" customHeight="1" x14ac:dyDescent="0.2">
      <c r="B74" t="s">
        <v>350</v>
      </c>
      <c r="C74" s="235">
        <f>1333.1*2</f>
        <v>2666.2</v>
      </c>
      <c r="D74" s="235">
        <f>1332.5*2</f>
        <v>2665</v>
      </c>
      <c r="E74" s="235">
        <f>1335.1*2</f>
        <v>2670.2</v>
      </c>
      <c r="F74" s="235">
        <f>1342.1*2</f>
        <v>2684.2</v>
      </c>
      <c r="G74" s="235">
        <f>1374.7*2</f>
        <v>2749.4</v>
      </c>
      <c r="H74" s="235">
        <f>1369.4*2</f>
        <v>2738.8</v>
      </c>
      <c r="I74" s="235">
        <f>1373*2</f>
        <v>2746</v>
      </c>
      <c r="J74" s="235">
        <f>1371.6*2</f>
        <v>2743.2</v>
      </c>
      <c r="K74" s="235">
        <f>1373.4*2</f>
        <v>2746.8</v>
      </c>
      <c r="L74" s="235">
        <f>1374.8*2</f>
        <v>2749.6</v>
      </c>
      <c r="M74" s="235">
        <f>1373.6*2</f>
        <v>2747.2</v>
      </c>
      <c r="N74" s="235">
        <f>1419.5*2</f>
        <v>2839</v>
      </c>
      <c r="O74" s="235">
        <f>1411*2</f>
        <v>2822</v>
      </c>
      <c r="P74" s="235">
        <f>1413.6*2</f>
        <v>2827.2</v>
      </c>
      <c r="Q74" s="235">
        <f>1415.1*2</f>
        <v>2830.2</v>
      </c>
      <c r="R74" s="235">
        <f>1419.5*2</f>
        <v>2839</v>
      </c>
      <c r="S74" s="235">
        <f>1414.7*2</f>
        <v>2829.4</v>
      </c>
      <c r="T74" s="235">
        <v>3110.5</v>
      </c>
      <c r="U74" s="235">
        <v>3110.9</v>
      </c>
      <c r="V74" s="235">
        <v>3121.2</v>
      </c>
      <c r="W74" s="235">
        <v>3115.4</v>
      </c>
      <c r="X74" s="235">
        <v>3069.3</v>
      </c>
      <c r="Y74" s="235">
        <v>3026.7</v>
      </c>
      <c r="Z74" s="235">
        <f>3023.7</f>
        <v>3023.7</v>
      </c>
      <c r="AA74" s="235">
        <v>3018.5</v>
      </c>
      <c r="AB74" s="235">
        <v>3018.5</v>
      </c>
      <c r="AC74" s="235">
        <v>3008.3</v>
      </c>
      <c r="AD74" s="235">
        <v>3005.4</v>
      </c>
      <c r="AE74" s="243">
        <v>3004.6</v>
      </c>
      <c r="AF74" s="243">
        <v>3005.3</v>
      </c>
      <c r="AG74" s="243">
        <v>3009</v>
      </c>
      <c r="AH74" s="243">
        <v>3013.5</v>
      </c>
      <c r="AI74" s="243">
        <v>3023.7</v>
      </c>
      <c r="AJ74" s="243">
        <v>3024.7</v>
      </c>
      <c r="AK74" s="243">
        <v>3006.2</v>
      </c>
      <c r="AL74" s="243">
        <v>3013.5</v>
      </c>
      <c r="AM74" s="243">
        <v>2992.7</v>
      </c>
      <c r="AN74" s="243">
        <v>2974.4</v>
      </c>
      <c r="AO74" s="243">
        <v>2948.1</v>
      </c>
      <c r="AP74" s="243">
        <v>2930.7</v>
      </c>
      <c r="AQ74" s="243">
        <v>2924.3</v>
      </c>
      <c r="AR74" s="243">
        <v>2922.5</v>
      </c>
      <c r="AS74" s="243">
        <v>2912.9</v>
      </c>
      <c r="AT74" s="243">
        <v>2889.2</v>
      </c>
      <c r="AU74" s="243">
        <v>2866.3</v>
      </c>
      <c r="AV74" s="243">
        <v>2844.8</v>
      </c>
      <c r="AW74" s="243">
        <v>2831.3</v>
      </c>
      <c r="AX74" s="243">
        <v>2801.6</v>
      </c>
      <c r="AY74" s="243">
        <v>2789.8</v>
      </c>
      <c r="AZ74" s="243">
        <v>2782</v>
      </c>
      <c r="BA74" s="243">
        <v>2793</v>
      </c>
      <c r="BB74" s="243">
        <v>2796.5</v>
      </c>
      <c r="BC74" s="243">
        <v>2797.3</v>
      </c>
      <c r="BD74" s="243">
        <v>2796</v>
      </c>
      <c r="BE74" s="243">
        <v>2786.4</v>
      </c>
      <c r="BF74" s="243">
        <v>2781.6</v>
      </c>
      <c r="BG74" s="243">
        <v>2772.7</v>
      </c>
      <c r="BH74" s="243">
        <v>2781.3</v>
      </c>
      <c r="BI74" s="243">
        <v>2778.2</v>
      </c>
      <c r="BJ74" s="243">
        <v>2764.9</v>
      </c>
      <c r="BK74" s="243">
        <v>2774.9</v>
      </c>
      <c r="BL74" s="243">
        <v>2798.2</v>
      </c>
      <c r="BM74" s="243">
        <v>2818.1</v>
      </c>
      <c r="BN74" s="243">
        <v>2833.4</v>
      </c>
      <c r="BO74" s="243">
        <v>2858.8</v>
      </c>
      <c r="BP74" s="243">
        <v>2893</v>
      </c>
      <c r="BQ74" s="243">
        <v>2881.2</v>
      </c>
      <c r="BR74" s="243">
        <v>2872</v>
      </c>
      <c r="BS74" s="243">
        <v>2874.7</v>
      </c>
      <c r="BT74" s="243">
        <v>2874.2</v>
      </c>
      <c r="BU74" s="243">
        <v>2864.3</v>
      </c>
      <c r="BV74" s="243">
        <v>2845.3</v>
      </c>
      <c r="BW74" s="243">
        <v>2826</v>
      </c>
      <c r="BX74" s="243">
        <v>2812</v>
      </c>
      <c r="BY74" s="243">
        <v>2807.2</v>
      </c>
      <c r="BZ74" s="243">
        <v>2803.3</v>
      </c>
      <c r="CA74" s="243">
        <v>2795.4</v>
      </c>
      <c r="CB74" s="243">
        <v>2794.2</v>
      </c>
      <c r="CC74" s="243">
        <v>2785.4</v>
      </c>
      <c r="CD74" s="243">
        <v>2764.5</v>
      </c>
      <c r="CE74" s="243">
        <v>2754.5</v>
      </c>
      <c r="CF74" s="243">
        <v>2741.5</v>
      </c>
      <c r="CG74" s="243">
        <v>2737.7</v>
      </c>
      <c r="CH74" s="243">
        <v>2684.9</v>
      </c>
      <c r="CI74" s="243">
        <v>2731.9</v>
      </c>
      <c r="CJ74" s="243">
        <v>2721.3</v>
      </c>
      <c r="CK74" s="243">
        <v>2727.6</v>
      </c>
      <c r="CL74" s="243">
        <v>2724</v>
      </c>
      <c r="CM74" s="243">
        <v>2698.8</v>
      </c>
      <c r="CN74" s="243">
        <v>2691.7</v>
      </c>
      <c r="CO74" s="243">
        <v>2669.9</v>
      </c>
      <c r="CP74" s="243">
        <v>2669.1</v>
      </c>
      <c r="CQ74" s="243">
        <v>2671</v>
      </c>
      <c r="CR74" s="243">
        <v>2665.5</v>
      </c>
      <c r="CS74" s="243">
        <v>2669</v>
      </c>
      <c r="CT74" s="243">
        <v>2669</v>
      </c>
      <c r="CU74" s="243">
        <v>2672.7</v>
      </c>
      <c r="CV74" s="243">
        <v>2671.6</v>
      </c>
      <c r="CW74" s="243">
        <v>2674.9</v>
      </c>
      <c r="CX74" s="243">
        <v>2670</v>
      </c>
      <c r="CY74" s="243">
        <v>2666.5</v>
      </c>
      <c r="CZ74" s="243">
        <v>2667.9</v>
      </c>
      <c r="DA74" s="243">
        <v>2661.3</v>
      </c>
      <c r="DB74" s="243">
        <v>2650.1</v>
      </c>
      <c r="DC74" s="243">
        <v>2605.5</v>
      </c>
      <c r="DD74" s="243">
        <v>2625.7</v>
      </c>
      <c r="DE74" s="243">
        <v>2549.6999999999998</v>
      </c>
      <c r="DF74" s="243">
        <v>2430.6999999999998</v>
      </c>
      <c r="DG74" s="243">
        <v>2430.1</v>
      </c>
      <c r="DH74" s="243">
        <f>+DG74</f>
        <v>2430.1</v>
      </c>
      <c r="DI74" s="243">
        <f t="shared" ref="DI74:DN74" si="516">+DH74</f>
        <v>2430.1</v>
      </c>
      <c r="DJ74" s="243">
        <f t="shared" si="516"/>
        <v>2430.1</v>
      </c>
      <c r="DK74" s="243">
        <f t="shared" si="516"/>
        <v>2430.1</v>
      </c>
      <c r="DL74" s="243">
        <f t="shared" si="516"/>
        <v>2430.1</v>
      </c>
      <c r="DM74" s="243">
        <f t="shared" si="516"/>
        <v>2430.1</v>
      </c>
      <c r="DN74" s="243">
        <f t="shared" si="516"/>
        <v>2430.1</v>
      </c>
      <c r="DP74" s="276">
        <f>666.2*4</f>
        <v>2664.8</v>
      </c>
      <c r="DQ74" s="276">
        <f>661.1*4</f>
        <v>2644.4</v>
      </c>
      <c r="DR74" s="276">
        <f>767.356*4</f>
        <v>3069.424</v>
      </c>
      <c r="DS74" s="276">
        <f>767.366*4</f>
        <v>3069.4639999999999</v>
      </c>
      <c r="DT74" s="276">
        <f>767.372*4</f>
        <v>3069.4879999999998</v>
      </c>
      <c r="DU74" s="276">
        <f>767.39*4</f>
        <v>3069.56</v>
      </c>
      <c r="DV74" s="243">
        <f>767.412*4</f>
        <v>3069.6480000000001</v>
      </c>
      <c r="DW74" s="243">
        <f>1534.824*2</f>
        <v>3069.6480000000001</v>
      </c>
      <c r="DX74" s="243">
        <f>1534.824*2</f>
        <v>3069.6480000000001</v>
      </c>
      <c r="DY74" s="243">
        <f>1534.824*2</f>
        <v>3069.6480000000001</v>
      </c>
      <c r="DZ74" s="243">
        <f>1534.916*2</f>
        <v>3069.8319999999999</v>
      </c>
      <c r="EA74" s="243">
        <f>1534.921*2</f>
        <v>3069.8420000000001</v>
      </c>
      <c r="EB74" s="243">
        <v>3119.8420000000001</v>
      </c>
      <c r="EC74" s="243">
        <f>3119.842-151.547</f>
        <v>2968.2950000000001</v>
      </c>
      <c r="ED74" s="235">
        <f>3119.842-151.869</f>
        <v>2967.973</v>
      </c>
      <c r="EE74" s="235">
        <f>3119.842-148.819</f>
        <v>2971.0230000000001</v>
      </c>
      <c r="EF74" s="235">
        <f>3119.842-145.364</f>
        <v>2974.4780000000001</v>
      </c>
      <c r="EG74" s="276">
        <v>2961</v>
      </c>
      <c r="EH74" s="276">
        <f>AVERAGE(AQ74:AT74)</f>
        <v>2912.2250000000004</v>
      </c>
      <c r="EI74" s="243">
        <f>AVERAGE(AU74:AX74)</f>
        <v>2836.0000000000005</v>
      </c>
      <c r="EJ74" s="243">
        <f>AVERAGE(AY74:BB74)</f>
        <v>2790.3249999999998</v>
      </c>
      <c r="EK74" s="243">
        <f>AVERAGE(BC74:BF74)</f>
        <v>2790.3250000000003</v>
      </c>
      <c r="EL74" s="243">
        <f>AVERAGE(BG74:BJ74)</f>
        <v>2774.2750000000001</v>
      </c>
      <c r="EM74" s="243">
        <f>AVERAGE(BK74:BN74)</f>
        <v>2806.15</v>
      </c>
      <c r="EN74" s="243">
        <f>AVERAGE(BO74:BR74)</f>
        <v>2876.25</v>
      </c>
      <c r="EO74" s="243">
        <f t="shared" ref="EO74:EP74" si="517">EN74</f>
        <v>2876.25</v>
      </c>
      <c r="EP74" s="243">
        <f t="shared" si="517"/>
        <v>2876.25</v>
      </c>
      <c r="EQ74" s="243">
        <f>EP74</f>
        <v>2876.25</v>
      </c>
      <c r="ER74" s="243"/>
      <c r="ES74" s="243">
        <f>AVERAGE(CI74:CL74)</f>
        <v>2726.2000000000003</v>
      </c>
      <c r="ET74" s="243">
        <f>AVERAGE(CM74:CP74)</f>
        <v>2682.375</v>
      </c>
      <c r="EU74" s="243">
        <f>AVERAGE(CQ74:CT74)</f>
        <v>2668.625</v>
      </c>
      <c r="EV74" s="243">
        <f>AVERAGE(CU74:CX74)</f>
        <v>2672.2999999999997</v>
      </c>
      <c r="EW74" s="243">
        <v>2663.9</v>
      </c>
      <c r="EX74" s="243">
        <f>AVERAGE(DC74:DF74)</f>
        <v>2552.8999999999996</v>
      </c>
      <c r="EY74" s="243">
        <f>+EX74</f>
        <v>2552.8999999999996</v>
      </c>
      <c r="EZ74" s="243">
        <f t="shared" ref="EZ74:FE74" si="518">+EY74</f>
        <v>2552.8999999999996</v>
      </c>
      <c r="FA74" s="243">
        <f t="shared" si="518"/>
        <v>2552.8999999999996</v>
      </c>
      <c r="FB74" s="243">
        <f t="shared" si="518"/>
        <v>2552.8999999999996</v>
      </c>
      <c r="FC74" s="243">
        <f t="shared" si="518"/>
        <v>2552.8999999999996</v>
      </c>
      <c r="FD74" s="243">
        <f t="shared" si="518"/>
        <v>2552.8999999999996</v>
      </c>
      <c r="FE74" s="243">
        <f t="shared" si="518"/>
        <v>2552.8999999999996</v>
      </c>
      <c r="FF74" s="243">
        <f t="shared" ref="FF74" si="519">+FE74</f>
        <v>2552.8999999999996</v>
      </c>
      <c r="FG74" s="243">
        <f t="shared" ref="FG74" si="520">+FF74</f>
        <v>2552.8999999999996</v>
      </c>
      <c r="FH74" s="243">
        <f t="shared" ref="FH74" si="521">+FG74</f>
        <v>2552.8999999999996</v>
      </c>
      <c r="FI74" s="243">
        <f t="shared" ref="FI74" si="522">+FH74</f>
        <v>2552.8999999999996</v>
      </c>
      <c r="FJ74" s="243">
        <f t="shared" ref="FJ74" si="523">+FI74</f>
        <v>2552.8999999999996</v>
      </c>
      <c r="FM74" t="s">
        <v>1438</v>
      </c>
      <c r="FN74" s="81">
        <v>5.0000000000000001E-3</v>
      </c>
    </row>
    <row r="75" spans="1:270" s="254" customFormat="1" ht="12.75" customHeight="1" x14ac:dyDescent="0.2">
      <c r="B75" t="s">
        <v>349</v>
      </c>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283"/>
      <c r="AJ75" s="283"/>
      <c r="AK75" s="283"/>
      <c r="AL75" s="283"/>
      <c r="AM75" s="283"/>
      <c r="AN75" s="283"/>
      <c r="AO75" s="283"/>
      <c r="AP75" s="283"/>
      <c r="AQ75" s="283"/>
      <c r="AR75" s="283"/>
      <c r="AS75" s="283"/>
      <c r="AT75" s="283"/>
      <c r="AU75" s="283"/>
      <c r="AV75" s="283"/>
      <c r="AW75" s="283"/>
      <c r="AX75" s="283"/>
      <c r="AY75" s="76"/>
      <c r="AZ75" s="76">
        <v>1.1200000000000001</v>
      </c>
      <c r="BA75" s="76">
        <v>1.1100000000000001</v>
      </c>
      <c r="BB75" s="76">
        <v>0.92</v>
      </c>
      <c r="BC75" s="76"/>
      <c r="BD75" s="76">
        <v>1.23</v>
      </c>
      <c r="BE75" s="76"/>
      <c r="BF75" s="283">
        <v>1.03</v>
      </c>
      <c r="BG75" s="283"/>
      <c r="BH75" s="283"/>
      <c r="BI75" s="283"/>
      <c r="BJ75" s="283"/>
      <c r="BK75" s="283"/>
      <c r="BL75" s="283"/>
      <c r="BM75" s="283"/>
      <c r="BN75" s="283"/>
      <c r="BO75" s="283"/>
      <c r="BP75" s="283"/>
      <c r="BQ75" s="283"/>
      <c r="BR75" s="283"/>
      <c r="BS75" s="283"/>
      <c r="BT75" s="283"/>
      <c r="BU75" s="283"/>
      <c r="BV75" s="283"/>
      <c r="BW75" s="283"/>
      <c r="BX75" s="283"/>
      <c r="BY75" s="283"/>
      <c r="BZ75" s="283"/>
      <c r="CA75" s="283"/>
      <c r="CB75" s="283"/>
      <c r="CC75" s="283"/>
      <c r="CD75" s="283"/>
      <c r="CE75" s="283"/>
      <c r="CF75" s="283"/>
      <c r="CG75" s="283"/>
      <c r="CH75" s="283"/>
      <c r="CI75" s="283"/>
      <c r="CJ75" s="283"/>
      <c r="CK75" s="283"/>
      <c r="CL75" s="283"/>
      <c r="CM75" s="283"/>
      <c r="CN75" s="283"/>
      <c r="CO75" s="283"/>
      <c r="CP75" s="283"/>
      <c r="CQ75" s="283"/>
      <c r="CR75" s="283"/>
      <c r="CS75" s="283"/>
      <c r="CT75" s="283"/>
      <c r="CU75" s="283"/>
      <c r="CV75" s="283"/>
      <c r="CW75" s="283"/>
      <c r="CX75" s="283"/>
      <c r="CY75" s="283"/>
      <c r="CZ75" s="283"/>
      <c r="DA75" s="283"/>
      <c r="DB75" s="283"/>
      <c r="DC75" s="283"/>
      <c r="DD75" s="283"/>
      <c r="DE75" s="283"/>
      <c r="DF75" s="283"/>
      <c r="DG75" s="283"/>
      <c r="DH75" s="283"/>
      <c r="DI75" s="283"/>
      <c r="DJ75" s="283"/>
      <c r="DK75" s="283"/>
      <c r="DL75" s="283"/>
      <c r="DM75" s="283"/>
      <c r="DN75" s="283"/>
      <c r="DP75" s="284"/>
      <c r="DQ75" s="284"/>
      <c r="DR75" s="284"/>
      <c r="DS75" s="284"/>
      <c r="DT75" s="284"/>
      <c r="DU75" s="284"/>
      <c r="DV75" s="284"/>
      <c r="DW75" s="284"/>
      <c r="DX75" s="284"/>
      <c r="DY75" s="284"/>
      <c r="DZ75" s="284"/>
      <c r="EA75" s="284"/>
      <c r="EB75" s="284"/>
      <c r="EC75" s="283">
        <v>2.2200000000000002</v>
      </c>
      <c r="ED75" s="283">
        <v>2.65</v>
      </c>
      <c r="EE75" s="283">
        <v>3.1</v>
      </c>
      <c r="EF75" s="283">
        <f>(EF72+356-225)/EF74</f>
        <v>3.3242807645576802</v>
      </c>
      <c r="EG75" s="283">
        <v>3.68</v>
      </c>
      <c r="EH75" s="283">
        <v>4.05</v>
      </c>
      <c r="EI75" s="283">
        <v>4.51</v>
      </c>
      <c r="EJ75" s="283">
        <v>4.49</v>
      </c>
      <c r="EK75" s="283">
        <v>4.75</v>
      </c>
      <c r="EL75" s="283">
        <v>5.36</v>
      </c>
      <c r="EM75" s="283">
        <v>5.81</v>
      </c>
      <c r="EN75" s="283">
        <v>6.25</v>
      </c>
      <c r="EO75" s="283">
        <v>6.68</v>
      </c>
      <c r="EP75" s="283">
        <v>7.28</v>
      </c>
      <c r="EQ75" s="284" t="s">
        <v>1315</v>
      </c>
      <c r="ER75" s="284"/>
      <c r="ES75" s="284"/>
      <c r="ET75" s="284"/>
      <c r="EU75" s="284"/>
      <c r="FK75" s="285"/>
      <c r="FM75" t="s">
        <v>1241</v>
      </c>
      <c r="FN75" s="81">
        <v>5.0000000000000001E-3</v>
      </c>
      <c r="FQ75" s="184"/>
      <c r="FR75" s="285"/>
      <c r="FS75" s="184"/>
      <c r="FT75" s="184"/>
      <c r="FU75" s="184"/>
      <c r="FV75"/>
      <c r="FW75"/>
    </row>
    <row r="76" spans="1:270" s="281" customFormat="1" ht="12.75" customHeight="1" x14ac:dyDescent="0.2">
      <c r="B76" s="1"/>
      <c r="C76" s="286"/>
      <c r="D76" s="286"/>
      <c r="E76" s="286"/>
      <c r="F76" s="286"/>
      <c r="G76" s="286"/>
      <c r="H76" s="286"/>
      <c r="I76" s="286"/>
      <c r="J76" s="286"/>
      <c r="K76" s="286"/>
      <c r="L76" s="286"/>
      <c r="M76" s="166"/>
      <c r="N76" s="166"/>
      <c r="O76" s="166"/>
      <c r="P76" s="166"/>
      <c r="Q76" s="166"/>
      <c r="R76" s="166"/>
      <c r="S76" s="166"/>
      <c r="T76" s="166"/>
      <c r="U76" s="166"/>
      <c r="V76" s="166"/>
      <c r="W76" s="166"/>
      <c r="X76" s="166"/>
      <c r="Y76" s="166"/>
      <c r="Z76" s="166"/>
      <c r="AA76" s="76"/>
      <c r="AB76" s="76"/>
      <c r="AC76" s="76"/>
      <c r="AD76" s="76"/>
      <c r="AE76" s="76"/>
      <c r="AF76" s="76"/>
      <c r="AG76" s="76"/>
      <c r="AH76" s="76"/>
      <c r="AI76" s="287"/>
      <c r="AJ76" s="287"/>
      <c r="AK76" s="287"/>
      <c r="AL76" s="287"/>
      <c r="AM76" s="287"/>
      <c r="AN76" s="287"/>
      <c r="AO76" s="287"/>
      <c r="AP76" s="287"/>
      <c r="AQ76" s="287"/>
      <c r="AR76" s="287"/>
      <c r="AS76" s="287"/>
      <c r="AT76" s="287"/>
      <c r="AU76" s="287"/>
      <c r="AV76" s="287"/>
      <c r="AW76" s="287"/>
      <c r="AX76" s="287"/>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c r="CS76" s="166"/>
      <c r="CT76" s="166"/>
      <c r="CU76" s="166"/>
      <c r="CV76" s="166"/>
      <c r="CW76" s="166"/>
      <c r="CX76" s="166"/>
      <c r="CY76" s="166"/>
      <c r="CZ76" s="166"/>
      <c r="DA76" s="166"/>
      <c r="DB76" s="166"/>
      <c r="DC76" s="166"/>
      <c r="DD76" s="166"/>
      <c r="DE76" s="166"/>
      <c r="DF76" s="166"/>
      <c r="DG76" s="166"/>
      <c r="DH76" s="166"/>
      <c r="DI76" s="166"/>
      <c r="DJ76" s="166"/>
      <c r="DK76" s="166"/>
      <c r="DL76" s="166"/>
      <c r="DM76" s="166"/>
      <c r="DN76" s="166"/>
      <c r="DP76" s="287"/>
      <c r="DQ76" s="287"/>
      <c r="DR76" s="287"/>
      <c r="DS76" s="287"/>
      <c r="DT76" s="287"/>
      <c r="DU76" s="287"/>
      <c r="DV76" s="287"/>
      <c r="DW76" s="287"/>
      <c r="DX76" s="287"/>
      <c r="DY76" s="287"/>
      <c r="DZ76" s="287"/>
      <c r="EA76" s="287"/>
      <c r="EB76" s="287"/>
      <c r="EC76" s="282"/>
      <c r="ED76" s="287"/>
      <c r="EE76" s="287"/>
      <c r="EF76" s="287"/>
      <c r="EG76" s="287"/>
      <c r="EH76" s="287"/>
      <c r="EI76" s="282"/>
      <c r="EJ76" s="282"/>
      <c r="EK76" s="282"/>
      <c r="EL76" s="282"/>
      <c r="EM76" s="282"/>
      <c r="EN76" s="287"/>
      <c r="EO76" s="287"/>
      <c r="EP76" s="287"/>
      <c r="EQ76" s="287"/>
      <c r="ER76" s="287"/>
      <c r="ES76" s="287"/>
      <c r="ET76" s="287"/>
      <c r="EU76" s="287"/>
      <c r="FM76" s="1" t="s">
        <v>1242</v>
      </c>
      <c r="FN76" s="223">
        <f>+FN77+(FN78*FN79)</f>
        <v>6.5500000000000003E-2</v>
      </c>
      <c r="FQ76"/>
      <c r="FR76" s="254"/>
      <c r="FS76"/>
      <c r="FT76"/>
      <c r="FU76"/>
      <c r="FV76" s="1"/>
      <c r="FW76" s="1"/>
    </row>
    <row r="77" spans="1:270" s="279" customFormat="1" ht="12.75" customHeight="1" x14ac:dyDescent="0.2">
      <c r="A77" s="1"/>
      <c r="B77" s="1" t="s">
        <v>347</v>
      </c>
      <c r="C77" s="282">
        <f>PV(11%,4,0,-EO73)*14</f>
        <v>62.667453175112655</v>
      </c>
      <c r="D77" s="282"/>
      <c r="E77" s="282"/>
      <c r="F77" s="282"/>
      <c r="G77" s="282"/>
      <c r="H77" s="288">
        <f t="shared" ref="H77:BB77" si="524">H61/D61-1</f>
        <v>1.4917514917514918E-2</v>
      </c>
      <c r="I77" s="288">
        <f t="shared" si="524"/>
        <v>2.4704618689581181E-2</v>
      </c>
      <c r="J77" s="288">
        <f t="shared" si="524"/>
        <v>0.13090586145648309</v>
      </c>
      <c r="K77" s="288">
        <f t="shared" si="524"/>
        <v>0.14784713816358286</v>
      </c>
      <c r="L77" s="288">
        <f t="shared" si="524"/>
        <v>0.18519799412069871</v>
      </c>
      <c r="M77" s="288">
        <f t="shared" si="524"/>
        <v>0.17907058001397624</v>
      </c>
      <c r="N77" s="288">
        <f t="shared" si="524"/>
        <v>8.0100518297471446E-2</v>
      </c>
      <c r="O77" s="288">
        <f t="shared" si="524"/>
        <v>0.1025911419102139</v>
      </c>
      <c r="P77" s="288">
        <f>P61/L61-1</f>
        <v>9.54187335862271E-2</v>
      </c>
      <c r="Q77" s="288">
        <f t="shared" si="524"/>
        <v>6.7417395169654837E-2</v>
      </c>
      <c r="R77" s="288">
        <f t="shared" si="524"/>
        <v>3.3590228297222691E-2</v>
      </c>
      <c r="S77" s="288">
        <f t="shared" si="524"/>
        <v>6.4489684383112422E-2</v>
      </c>
      <c r="T77" s="288">
        <f>T61/P61-1</f>
        <v>0.11108151305274383</v>
      </c>
      <c r="U77" s="288">
        <f t="shared" si="524"/>
        <v>0.14353137146029993</v>
      </c>
      <c r="V77" s="288">
        <f t="shared" si="524"/>
        <v>0.18218908272369161</v>
      </c>
      <c r="W77" s="288">
        <f t="shared" si="524"/>
        <v>0.12219227313566927</v>
      </c>
      <c r="X77" s="288">
        <f t="shared" si="524"/>
        <v>8.7628865979381354E-2</v>
      </c>
      <c r="Y77" s="288">
        <f t="shared" si="524"/>
        <v>0.10208788540907987</v>
      </c>
      <c r="Z77" s="288">
        <f t="shared" si="524"/>
        <v>0.11900511722004037</v>
      </c>
      <c r="AA77" s="288">
        <f t="shared" si="524"/>
        <v>0.12341301612718736</v>
      </c>
      <c r="AB77" s="288">
        <f t="shared" si="524"/>
        <v>0.13876336382673871</v>
      </c>
      <c r="AC77" s="288">
        <f t="shared" si="524"/>
        <v>0.15144839740059468</v>
      </c>
      <c r="AD77" s="288">
        <f t="shared" si="524"/>
        <v>0.21120918855684345</v>
      </c>
      <c r="AE77" s="288">
        <f t="shared" si="524"/>
        <v>0.22011810221950734</v>
      </c>
      <c r="AF77" s="288">
        <f t="shared" si="524"/>
        <v>0.15098722415795596</v>
      </c>
      <c r="AG77" s="288">
        <f t="shared" si="524"/>
        <v>0.1051272240290797</v>
      </c>
      <c r="AH77" s="288">
        <f t="shared" si="524"/>
        <v>0.11967688120115905</v>
      </c>
      <c r="AI77" s="288">
        <f t="shared" si="524"/>
        <v>7.0761014686248291E-2</v>
      </c>
      <c r="AJ77" s="288">
        <f t="shared" si="524"/>
        <v>7.3158425832492435E-2</v>
      </c>
      <c r="AK77" s="288">
        <f t="shared" si="524"/>
        <v>6.552410629273786E-2</v>
      </c>
      <c r="AL77" s="288">
        <f t="shared" si="524"/>
        <v>-1.1135508155583396E-2</v>
      </c>
      <c r="AM77" s="288">
        <f t="shared" si="524"/>
        <v>1.2468827930174564E-2</v>
      </c>
      <c r="AN77" s="288">
        <f t="shared" si="524"/>
        <v>4.7092932142297483E-2</v>
      </c>
      <c r="AO77" s="288">
        <f t="shared" si="524"/>
        <v>7.9366368805848797E-2</v>
      </c>
      <c r="AP77" s="288">
        <f t="shared" si="524"/>
        <v>8.5011895321173592E-2</v>
      </c>
      <c r="AQ77" s="288">
        <f t="shared" si="524"/>
        <v>0.16125307881773399</v>
      </c>
      <c r="AR77" s="288">
        <f t="shared" si="524"/>
        <v>0.13312878844570819</v>
      </c>
      <c r="AS77" s="289">
        <f t="shared" si="524"/>
        <v>0.12944983818770228</v>
      </c>
      <c r="AT77" s="289">
        <f t="shared" si="524"/>
        <v>0.16627686010817122</v>
      </c>
      <c r="AU77" s="289">
        <f t="shared" si="524"/>
        <v>7.3374428315768458E-2</v>
      </c>
      <c r="AV77" s="289">
        <f t="shared" si="524"/>
        <v>8.6382248051776411E-2</v>
      </c>
      <c r="AW77" s="289">
        <f t="shared" si="524"/>
        <v>6.0904911041513854E-2</v>
      </c>
      <c r="AX77" s="289">
        <f>AX61/AT61-1</f>
        <v>-4.8568026571410683E-2</v>
      </c>
      <c r="AY77" s="289">
        <f t="shared" si="524"/>
        <v>-7.2125478572310775E-2</v>
      </c>
      <c r="AZ77" s="289">
        <f t="shared" si="524"/>
        <v>-7.3617021276595751E-2</v>
      </c>
      <c r="BA77" s="289">
        <f>BA61/AW61-1</f>
        <v>-5.27605049934049E-2</v>
      </c>
      <c r="BB77" s="289">
        <f t="shared" si="524"/>
        <v>9.017257278355939E-2</v>
      </c>
      <c r="BC77" s="289">
        <f>BC61/AY61-1</f>
        <v>4.026354319180081E-2</v>
      </c>
      <c r="BD77" s="289">
        <f>BD61/AZ61-1</f>
        <v>9.8431655620447867E-3</v>
      </c>
      <c r="BE77" s="289">
        <f t="shared" ref="BE77:BG77" si="525">BE61/BA61-1</f>
        <v>-6.5645514223194867E-3</v>
      </c>
      <c r="BF77" s="289">
        <f t="shared" si="525"/>
        <v>-5.4800314180412091E-2</v>
      </c>
      <c r="BG77" s="289">
        <f t="shared" si="525"/>
        <v>8.5407203633804718E-2</v>
      </c>
      <c r="BH77" s="289">
        <f>BH61/BD61-1</f>
        <v>7.8497628175969947E-2</v>
      </c>
      <c r="BI77" s="289">
        <f>BI61/BE61-1</f>
        <v>6.8281938325991165E-2</v>
      </c>
      <c r="BJ77" s="289">
        <f t="shared" ref="BJ77" si="526">BJ61/BF61-1</f>
        <v>0.20308105343901817</v>
      </c>
      <c r="BK77" s="289">
        <f>BK61/BG61-1</f>
        <v>-4.8744547919368109E-2</v>
      </c>
      <c r="BL77" s="289">
        <f>BL61/BH61-1</f>
        <v>1.7473037295896443E-3</v>
      </c>
      <c r="BM77" s="289">
        <f>BM61/BI61-1</f>
        <v>7.4101843174008142E-2</v>
      </c>
      <c r="BN77" s="289">
        <f>BN61/BJ61-1</f>
        <v>-5.4726103820200822E-2</v>
      </c>
      <c r="BO77" s="289">
        <f t="shared" ref="BO77:BR77" si="527">BO61/BK61-1</f>
        <v>8.7304046099510479E-2</v>
      </c>
      <c r="BP77" s="289">
        <f t="shared" si="527"/>
        <v>7.8611812823288885E-2</v>
      </c>
      <c r="BQ77" s="289">
        <f t="shared" si="527"/>
        <v>2.60601477517306E-2</v>
      </c>
      <c r="BR77" s="289">
        <f t="shared" si="527"/>
        <v>3.7097408802203358E-2</v>
      </c>
      <c r="BS77" s="289">
        <f>BS61/BO61-1</f>
        <v>3.8237975837702276E-2</v>
      </c>
      <c r="BT77" s="289">
        <f t="shared" ref="BT77" si="528">BT61/BP61-1</f>
        <v>8.7101990743322366E-2</v>
      </c>
      <c r="BU77" s="289">
        <f t="shared" ref="BU77" si="529">BU61/BQ61-1</f>
        <v>4.6941436589375884E-2</v>
      </c>
      <c r="BV77" s="289">
        <f t="shared" ref="BV77" si="530">BV61/BR61-1</f>
        <v>-1.0676928079778825E-2</v>
      </c>
      <c r="BW77" s="289">
        <f t="shared" ref="BW77" si="531">BW61/BS61-1</f>
        <v>-4.6380152587957579E-2</v>
      </c>
      <c r="BX77" s="289">
        <f t="shared" ref="BX77" si="532">BX61/BT61-1</f>
        <v>-8.7612208258527779E-2</v>
      </c>
      <c r="BY77" s="289">
        <f t="shared" ref="BY77" si="533">BY61/BU61-1</f>
        <v>-7.3915633291817828E-2</v>
      </c>
      <c r="BZ77" s="289">
        <f t="shared" ref="BZ77" si="534">BZ61/BV61-1</f>
        <v>-2.4268653445820076E-2</v>
      </c>
      <c r="CA77" s="289">
        <f t="shared" ref="CA77:CH77" si="535">CA61/BW61-1</f>
        <v>6.2161851041786509E-3</v>
      </c>
      <c r="CB77" s="289">
        <f t="shared" si="535"/>
        <v>3.9073480631922175E-2</v>
      </c>
      <c r="CC77" s="289">
        <f t="shared" si="535"/>
        <v>4.1983393755116394E-2</v>
      </c>
      <c r="CD77" s="289">
        <f t="shared" si="535"/>
        <v>1.6562798270731482E-2</v>
      </c>
      <c r="CE77" s="289">
        <f t="shared" si="535"/>
        <v>1.6245280860313516E-2</v>
      </c>
      <c r="CF77" s="289">
        <f t="shared" si="535"/>
        <v>1.9316091332106877E-2</v>
      </c>
      <c r="CG77" s="289">
        <f t="shared" si="535"/>
        <v>0.10269360269360273</v>
      </c>
      <c r="CH77" s="289">
        <f t="shared" si="535"/>
        <v>0.11537611841378559</v>
      </c>
      <c r="CI77" s="289">
        <f t="shared" ref="CI77:CO77" si="536">+CI61/CE61-1</f>
        <v>0.12625239220983908</v>
      </c>
      <c r="CJ77" s="289">
        <f t="shared" si="536"/>
        <v>0.10568501512819162</v>
      </c>
      <c r="CK77" s="289">
        <f t="shared" si="536"/>
        <v>3.5521628498727642E-2</v>
      </c>
      <c r="CL77" s="289">
        <f t="shared" si="536"/>
        <v>9.8539242386730397E-3</v>
      </c>
      <c r="CM77" s="289">
        <f t="shared" si="536"/>
        <v>5.9973012144531879E-4</v>
      </c>
      <c r="CN77" s="289">
        <f t="shared" si="536"/>
        <v>-1.2770043206913106E-2</v>
      </c>
      <c r="CO77" s="289">
        <f t="shared" si="536"/>
        <v>1.867505405936698E-2</v>
      </c>
      <c r="CP77" s="289">
        <f t="shared" ref="CP77" si="537">+CP61/CL61-1</f>
        <v>1.7161910365793842E-2</v>
      </c>
      <c r="CQ77" s="289">
        <f t="shared" ref="CQ77:CU77" si="538">+CQ61/CM61-1</f>
        <v>3.3414914339943147E-2</v>
      </c>
      <c r="CR77" s="289">
        <f t="shared" si="538"/>
        <v>-0.10824742268041232</v>
      </c>
      <c r="CS77" s="289">
        <f t="shared" si="538"/>
        <v>1.7078348128135801E-2</v>
      </c>
      <c r="CT77" s="289">
        <f>+CT61/CP61-1</f>
        <v>8.3494022367913701E-2</v>
      </c>
      <c r="CU77" s="289">
        <f t="shared" si="538"/>
        <v>7.8830352827452765E-2</v>
      </c>
      <c r="CV77" s="289">
        <f t="shared" ref="CV77" si="539">+CV61/CR61-1</f>
        <v>0.27827462100556222</v>
      </c>
      <c r="CW77" s="289">
        <f t="shared" ref="CW77:CX77" si="540">+CW61/CS61-1</f>
        <v>0.10686841855611418</v>
      </c>
      <c r="CX77" s="289">
        <f t="shared" si="540"/>
        <v>0.10686954974194696</v>
      </c>
      <c r="CY77" s="289">
        <f>+CY61/CU61-1</f>
        <v>5.3895434792347929E-2</v>
      </c>
      <c r="CZ77" s="289">
        <f t="shared" ref="CZ77:DG77" si="541">+CZ61/CV61-1</f>
        <v>2.9350283690968926E-2</v>
      </c>
      <c r="DA77" s="289">
        <f t="shared" si="541"/>
        <v>2.6226698092993272E-2</v>
      </c>
      <c r="DB77" s="289">
        <f>+DB61/CX61-1</f>
        <v>-4.0155961090119763E-2</v>
      </c>
      <c r="DC77" s="289">
        <f t="shared" si="541"/>
        <v>-0.11180071416425774</v>
      </c>
      <c r="DD77" s="289">
        <f t="shared" si="541"/>
        <v>6.1958638982137604E-2</v>
      </c>
      <c r="DE77" s="289">
        <f t="shared" si="541"/>
        <v>-0.10381258612769861</v>
      </c>
      <c r="DF77" s="289">
        <f t="shared" si="541"/>
        <v>-0.10398257883495954</v>
      </c>
      <c r="DG77" s="289">
        <f t="shared" si="541"/>
        <v>2.3355987364793718E-2</v>
      </c>
      <c r="DH77" s="289">
        <f t="shared" ref="DH77" si="542">+DH61/DD61-1</f>
        <v>-0.15609194505151414</v>
      </c>
      <c r="DI77" s="289">
        <f t="shared" ref="DI77" si="543">+DI61/DE61-1</f>
        <v>8.6976375751361967E-3</v>
      </c>
      <c r="DJ77" s="289">
        <f t="shared" ref="DJ77" si="544">+DJ61/DF61-1</f>
        <v>2.5873481024490497E-2</v>
      </c>
      <c r="DK77" s="289">
        <f t="shared" ref="DK77" si="545">+DK61/DG61-1</f>
        <v>2.2026662613413128E-2</v>
      </c>
      <c r="DL77" s="289">
        <f t="shared" ref="DL77" si="546">+DL61/DH61-1</f>
        <v>2.6637046748333892E-2</v>
      </c>
      <c r="DM77" s="289">
        <f t="shared" ref="DM77" si="547">+DM61/DI61-1</f>
        <v>2.944407021359341E-2</v>
      </c>
      <c r="DN77" s="289">
        <f t="shared" ref="DN77" si="548">+DN61/DJ61-1</f>
        <v>3.147423119858872E-2</v>
      </c>
      <c r="DP77" s="245"/>
      <c r="DQ77" s="245">
        <f t="shared" ref="DQ77:EQ77" si="549">DQ61/DP61-1</f>
        <v>0.15117351644972832</v>
      </c>
      <c r="DR77" s="245">
        <f t="shared" si="549"/>
        <v>0.10817307692307687</v>
      </c>
      <c r="DS77" s="245">
        <f t="shared" si="549"/>
        <v>0.10492488149754964</v>
      </c>
      <c r="DT77" s="245">
        <f t="shared" si="549"/>
        <v>2.7993892241692686E-2</v>
      </c>
      <c r="DU77" s="245">
        <f t="shared" si="549"/>
        <v>0.11288725420851597</v>
      </c>
      <c r="DV77" s="245">
        <f t="shared" si="549"/>
        <v>0.19753400279649158</v>
      </c>
      <c r="DW77" s="245">
        <f t="shared" si="549"/>
        <v>0.14743657785797692</v>
      </c>
      <c r="DX77" s="245">
        <f t="shared" si="549"/>
        <v>4.6669750231267404E-2</v>
      </c>
      <c r="DY77" s="245">
        <f t="shared" si="549"/>
        <v>4.542843254231288E-2</v>
      </c>
      <c r="DZ77" s="245">
        <f t="shared" si="549"/>
        <v>0.16122078031872178</v>
      </c>
      <c r="EA77" s="245">
        <f t="shared" si="549"/>
        <v>6.071857595282304E-2</v>
      </c>
      <c r="EB77" s="245">
        <f t="shared" si="549"/>
        <v>0.13264010432753359</v>
      </c>
      <c r="EC77" s="245">
        <f t="shared" si="549"/>
        <v>0.11840685977457288</v>
      </c>
      <c r="ED77" s="245">
        <f t="shared" si="549"/>
        <v>0.14774368157694395</v>
      </c>
      <c r="EE77" s="245">
        <f t="shared" si="549"/>
        <v>0.13576173009106474</v>
      </c>
      <c r="EF77" s="245">
        <f t="shared" si="549"/>
        <v>2.870087495064122E-2</v>
      </c>
      <c r="EG77" s="245">
        <f t="shared" si="549"/>
        <v>7.729605236575221E-2</v>
      </c>
      <c r="EH77" s="245">
        <f t="shared" si="549"/>
        <v>0.14573175305678499</v>
      </c>
      <c r="EI77" s="245">
        <f>EI61/EH61-1</f>
        <v>4.3407807512889862E-2</v>
      </c>
      <c r="EJ77" s="245">
        <f>EJ61/EI61-1</f>
        <v>-2.902097353600952E-2</v>
      </c>
      <c r="EK77" s="245">
        <f t="shared" si="549"/>
        <v>-7.1408953584179979E-3</v>
      </c>
      <c r="EL77" s="245">
        <f t="shared" si="549"/>
        <v>5.817264665202182E-2</v>
      </c>
      <c r="EM77" s="245">
        <f t="shared" si="549"/>
        <v>4.178071659234206E-2</v>
      </c>
      <c r="EN77" s="245">
        <f t="shared" si="549"/>
        <v>5.2622256336073869E-2</v>
      </c>
      <c r="EO77" s="245">
        <f t="shared" si="549"/>
        <v>5.5186013574153092E-2</v>
      </c>
      <c r="EP77" s="245">
        <f t="shared" si="549"/>
        <v>1.0956896863912657E-2</v>
      </c>
      <c r="EQ77" s="245">
        <f t="shared" si="549"/>
        <v>-7.3837523337225819E-2</v>
      </c>
      <c r="ER77" s="245">
        <f t="shared" ref="ER77" si="550">ER61/EQ61-1</f>
        <v>-0.99999740259527692</v>
      </c>
      <c r="ES77" s="245">
        <f t="shared" ref="ES77" si="551">ES61/ER61-1</f>
        <v>445796.91420765017</v>
      </c>
      <c r="ET77" s="245">
        <f t="shared" ref="ET77" si="552">ET61/ES61-1</f>
        <v>5.834488707282981E-3</v>
      </c>
      <c r="EU77" s="245">
        <f t="shared" ref="EU77" si="553">EU61/ET61-1</f>
        <v>6.4467157975860445E-3</v>
      </c>
      <c r="EV77" s="245">
        <f t="shared" ref="EV77" si="554">EV61/EU61-1</f>
        <v>0.14061705373792166</v>
      </c>
      <c r="EW77" s="245">
        <f t="shared" ref="EW77" si="555">EW61/EV61-1</f>
        <v>1.2462977313984158E-2</v>
      </c>
      <c r="EX77" s="245">
        <f t="shared" ref="EX77" si="556">EX61/EW61-1</f>
        <v>2.3552315644889132E-2</v>
      </c>
      <c r="EY77" s="245">
        <f t="shared" ref="EY77" si="557">EY61/EX61-1</f>
        <v>7.3374113027189214E-3</v>
      </c>
      <c r="EZ77" s="245">
        <f t="shared" ref="EZ77" si="558">EZ61/EY61-1</f>
        <v>-5.9596793098764755E-2</v>
      </c>
      <c r="FA77" s="245">
        <f t="shared" ref="FA77" si="559">FA61/EZ61-1</f>
        <v>-1.7815456715123634E-2</v>
      </c>
      <c r="FB77" s="245">
        <f t="shared" ref="FB77" si="560">FB61/FA61-1</f>
        <v>-8.543927828437714E-3</v>
      </c>
      <c r="FC77" s="245">
        <f t="shared" ref="FC77" si="561">FC61/FB61-1</f>
        <v>-3.2392538371566193E-3</v>
      </c>
      <c r="FD77" s="245">
        <f t="shared" ref="FD77" si="562">FD61/FC61-1</f>
        <v>-1.5398860219043686E-2</v>
      </c>
      <c r="FE77" s="245">
        <f t="shared" ref="FE77" si="563">FE61/FD61-1</f>
        <v>-3.6282532934658329E-3</v>
      </c>
      <c r="FF77" s="245"/>
      <c r="FG77" s="245"/>
      <c r="FH77" s="245"/>
      <c r="FI77" s="245"/>
      <c r="FJ77" s="245"/>
      <c r="FM77" t="s">
        <v>1442</v>
      </c>
      <c r="FN77" s="81">
        <v>0.02</v>
      </c>
      <c r="FQ77" s="290"/>
      <c r="FR77" s="290"/>
      <c r="FS77" s="291"/>
      <c r="FT77"/>
      <c r="FU77" s="291"/>
      <c r="FV77" s="290"/>
      <c r="FW77" s="290"/>
    </row>
    <row r="78" spans="1:270" s="275" customFormat="1" ht="12.75" customHeight="1" x14ac:dyDescent="0.2">
      <c r="A78"/>
      <c r="B78" t="s">
        <v>1545</v>
      </c>
      <c r="C78" s="283"/>
      <c r="D78" s="283"/>
      <c r="E78" s="283"/>
      <c r="F78" s="283"/>
      <c r="G78" s="283"/>
      <c r="H78" s="288"/>
      <c r="I78" s="288"/>
      <c r="J78" s="288"/>
      <c r="K78" s="288"/>
      <c r="L78" s="288"/>
      <c r="M78" s="288"/>
      <c r="N78" s="288"/>
      <c r="O78" s="288"/>
      <c r="P78" s="288"/>
      <c r="Q78" s="288"/>
      <c r="R78" s="288"/>
      <c r="S78" s="288"/>
      <c r="T78" s="288"/>
      <c r="U78" s="288"/>
      <c r="V78" s="288"/>
      <c r="W78" s="288"/>
      <c r="X78" s="288"/>
      <c r="Y78" s="288"/>
      <c r="Z78" s="288"/>
      <c r="AA78" s="288"/>
      <c r="AB78" s="288"/>
      <c r="AC78" s="288"/>
      <c r="AD78" s="288"/>
      <c r="AE78" s="288"/>
      <c r="AF78" s="288"/>
      <c r="AG78" s="288"/>
      <c r="AH78" s="288"/>
      <c r="AI78" s="288"/>
      <c r="AJ78" s="288"/>
      <c r="AK78" s="288"/>
      <c r="AL78" s="288"/>
      <c r="AM78" s="288"/>
      <c r="AN78" s="288"/>
      <c r="AO78" s="288"/>
      <c r="AP78" s="288"/>
      <c r="AQ78" s="288"/>
      <c r="AR78" s="288"/>
      <c r="AS78" s="288"/>
      <c r="AT78" s="288"/>
      <c r="AU78" s="288"/>
      <c r="AV78" s="288"/>
      <c r="AW78" s="288"/>
      <c r="AX78" s="288"/>
      <c r="AY78" s="288"/>
      <c r="AZ78" s="288"/>
      <c r="BA78" s="288"/>
      <c r="BB78" s="288"/>
      <c r="BC78" s="288"/>
      <c r="BD78" s="288">
        <f t="shared" ref="BD78" si="564">+BD65/AZ65-1</f>
        <v>6.1050061050060833E-3</v>
      </c>
      <c r="BE78" s="288">
        <f t="shared" ref="BE78" si="565">+BE65/BA65-1</f>
        <v>2.4737167594310439E-2</v>
      </c>
      <c r="BF78" s="288">
        <f t="shared" ref="BF78" si="566">+BF65/BB65-1</f>
        <v>-0.10438319023949394</v>
      </c>
      <c r="BG78" s="288">
        <f t="shared" ref="BG78" si="567">+BG65/BC65-1</f>
        <v>0.11624919717405269</v>
      </c>
      <c r="BH78" s="288">
        <f t="shared" ref="BH78:BL78" si="568">+BH65/BD65-1</f>
        <v>0.14199029126213603</v>
      </c>
      <c r="BI78" s="288">
        <f t="shared" si="568"/>
        <v>7.0006035003017608E-2</v>
      </c>
      <c r="BJ78" s="288">
        <f t="shared" si="568"/>
        <v>8.7285570131180545E-2</v>
      </c>
      <c r="BK78" s="288">
        <f t="shared" si="568"/>
        <v>-5.3509781357882646E-2</v>
      </c>
      <c r="BL78" s="288">
        <f t="shared" si="568"/>
        <v>-6.1636556854410163E-2</v>
      </c>
      <c r="BM78" s="288">
        <f>+BM65/BI65-1</f>
        <v>8.4602368866328215E-2</v>
      </c>
      <c r="BN78" s="288">
        <f t="shared" ref="BN78:BR78" si="569">+BN65/BJ65-1</f>
        <v>8.1670533642691501E-2</v>
      </c>
      <c r="BO78" s="288">
        <f t="shared" si="569"/>
        <v>8.44984802431612E-2</v>
      </c>
      <c r="BP78" s="288">
        <f t="shared" si="569"/>
        <v>0.10192525481313708</v>
      </c>
      <c r="BQ78" s="288">
        <f t="shared" si="569"/>
        <v>6.1882475299011919E-2</v>
      </c>
      <c r="BR78" s="288">
        <f t="shared" si="569"/>
        <v>3.4320034320034276E-2</v>
      </c>
      <c r="BS78" s="288">
        <f>+BS65/BO65-1</f>
        <v>2.6345291479820565E-2</v>
      </c>
      <c r="BT78" s="288">
        <f t="shared" ref="BT78" si="570">+BT65/BP65-1</f>
        <v>3.0318602261048211E-2</v>
      </c>
      <c r="BU78" s="288">
        <f t="shared" ref="BU78" si="571">+BU65/BQ65-1</f>
        <v>-9.3046033300685504E-3</v>
      </c>
      <c r="BV78" s="288">
        <f t="shared" ref="BV78" si="572">+BV65/BR65-1</f>
        <v>9.2907507258398914E-2</v>
      </c>
      <c r="BW78" s="288">
        <f t="shared" ref="BW78" si="573">+BW65/BS65-1</f>
        <v>3.713817586018564E-2</v>
      </c>
      <c r="BX78" s="288">
        <f t="shared" ref="BX78" si="574">+BX65/BT65-1</f>
        <v>6.1845386533665891E-2</v>
      </c>
      <c r="BY78" s="288">
        <f t="shared" ref="BY78" si="575">+BY65/BU65-1</f>
        <v>6.4755313890261901E-2</v>
      </c>
      <c r="BZ78" s="288">
        <f t="shared" ref="BZ78" si="576">+BZ65/BV65-1</f>
        <v>8.6907020872865282E-2</v>
      </c>
      <c r="CA78" s="288">
        <f t="shared" ref="CA78" si="577">+CA65/BW65-1</f>
        <v>6.0031595576619301E-2</v>
      </c>
      <c r="CB78" s="288">
        <f t="shared" ref="CB78" si="578">+CB65/BX65-1</f>
        <v>6.3410051667449396E-2</v>
      </c>
      <c r="CC78" s="288">
        <f t="shared" ref="CC78" si="579">+CC65/BY65-1</f>
        <v>1.1142061281337101E-2</v>
      </c>
      <c r="CD78" s="288">
        <f t="shared" ref="CD78" si="580">+CD65/BZ65-1</f>
        <v>-7.8212290502793325E-2</v>
      </c>
      <c r="CE78" s="288">
        <f t="shared" ref="CE78" si="581">+CE65/CA65-1</f>
        <v>2.3348236462990668E-2</v>
      </c>
      <c r="CF78" s="288">
        <f t="shared" ref="CF78" si="582">+CF65/CB65-1</f>
        <v>9.2756183745583698E-3</v>
      </c>
      <c r="CG78" s="288">
        <f t="shared" ref="CG78" si="583">+CG65/CC65-1</f>
        <v>0.18181818181818188</v>
      </c>
      <c r="CH78" s="288">
        <f t="shared" ref="CH78" si="584">+CH65/CD65-1</f>
        <v>0.37689393939393945</v>
      </c>
      <c r="CI78" s="288">
        <f t="shared" ref="CI78" si="585">+CI65/CE65-1</f>
        <v>0.16699029126213594</v>
      </c>
      <c r="CJ78" s="288">
        <f t="shared" ref="CJ78" si="586">+CJ65/CF65-1</f>
        <v>0.15492341356673967</v>
      </c>
      <c r="CK78" s="288">
        <f t="shared" ref="CK78" si="587">+CK65/CG65-1</f>
        <v>-2.5641025641025661E-2</v>
      </c>
      <c r="CL78" s="288">
        <f t="shared" ref="CL78" si="588">+CL65/CH65-1</f>
        <v>-0.1130674002751032</v>
      </c>
      <c r="CM78" s="288">
        <f t="shared" ref="CM78:CO78" si="589">+CM65/CI65-1</f>
        <v>0.18885191347753749</v>
      </c>
      <c r="CN78" s="288">
        <f t="shared" si="589"/>
        <v>1.0231148162182624E-2</v>
      </c>
      <c r="CO78" s="288">
        <f t="shared" si="589"/>
        <v>3.6283891547049363E-2</v>
      </c>
      <c r="CP78" s="288">
        <f t="shared" ref="CP78" si="590">+CP65/CL65-1</f>
        <v>2.4813895781636841E-3</v>
      </c>
      <c r="CQ78" s="288">
        <f t="shared" ref="CQ78" si="591">+CQ65/CM65-1</f>
        <v>-9.7270818754373711E-2</v>
      </c>
      <c r="CR78" s="288">
        <f t="shared" ref="CR78" si="592">+CR65/CN65-1</f>
        <v>1.5378844711177786E-2</v>
      </c>
      <c r="CS78" s="288">
        <f t="shared" ref="CS78" si="593">+CS65/CO65-1</f>
        <v>9.2727972297037331E-2</v>
      </c>
      <c r="CT78" s="288">
        <f t="shared" ref="CT78" si="594">+CT65/CP65-1</f>
        <v>0.24752475247524752</v>
      </c>
      <c r="CU78" s="288">
        <f t="shared" ref="CU78" si="595">+CU65/CQ65-1</f>
        <v>0.23178294573643421</v>
      </c>
      <c r="CV78" s="288">
        <f t="shared" ref="CV78" si="596">+CV65/CR65-1</f>
        <v>0.24270410048023638</v>
      </c>
      <c r="CW78" s="288">
        <f t="shared" ref="CW78:CX78" si="597">+CW65/CS65-1</f>
        <v>0.20492957746478879</v>
      </c>
      <c r="CX78" s="288">
        <f t="shared" si="597"/>
        <v>0.17063492063492069</v>
      </c>
      <c r="CY78" s="288">
        <f>+CY65/CU65-1</f>
        <v>8.9364380113278852E-2</v>
      </c>
      <c r="CZ78" s="288">
        <f t="shared" ref="CZ78:DJ78" si="598">+CZ65/CV65-1</f>
        <v>5.6480380499405403E-2</v>
      </c>
      <c r="DA78" s="288">
        <f t="shared" si="598"/>
        <v>5.1139684395090645E-2</v>
      </c>
      <c r="DB78" s="288">
        <f t="shared" si="598"/>
        <v>-0.22012711864406775</v>
      </c>
      <c r="DC78" s="288">
        <f t="shared" si="598"/>
        <v>-2.021952628538437E-3</v>
      </c>
      <c r="DD78" s="288">
        <f t="shared" si="598"/>
        <v>7.7377602701181658E-2</v>
      </c>
      <c r="DE78" s="288">
        <f t="shared" si="598"/>
        <v>-4.1701417848206801E-2</v>
      </c>
      <c r="DF78" s="288">
        <f t="shared" si="598"/>
        <v>0.20211898940505302</v>
      </c>
      <c r="DG78" s="288">
        <f t="shared" si="598"/>
        <v>1.013024602026058E-2</v>
      </c>
      <c r="DH78" s="288">
        <f t="shared" si="598"/>
        <v>-1</v>
      </c>
      <c r="DI78" s="288">
        <f t="shared" si="598"/>
        <v>-1</v>
      </c>
      <c r="DJ78" s="288">
        <f t="shared" si="598"/>
        <v>-1</v>
      </c>
      <c r="DK78" s="288">
        <f t="shared" ref="DK78" si="599">+DK65/DG65-1</f>
        <v>-1</v>
      </c>
      <c r="DL78" s="288" t="e">
        <f t="shared" ref="DL78" si="600">+DL65/DH65-1</f>
        <v>#DIV/0!</v>
      </c>
      <c r="DM78" s="288" t="e">
        <f t="shared" ref="DM78" si="601">+DM65/DI65-1</f>
        <v>#DIV/0!</v>
      </c>
      <c r="DN78" s="288" t="e">
        <f t="shared" ref="DN78" si="602">+DN65/DJ65-1</f>
        <v>#DIV/0!</v>
      </c>
      <c r="DP78" s="246"/>
      <c r="DQ78" s="246"/>
      <c r="DR78" s="246"/>
      <c r="DS78" s="246"/>
      <c r="DT78" s="246"/>
      <c r="DU78" s="246"/>
      <c r="DV78" s="246"/>
      <c r="DW78" s="246"/>
      <c r="DX78" s="246"/>
      <c r="DY78" s="246"/>
      <c r="DZ78" s="246"/>
      <c r="EA78" s="246"/>
      <c r="EB78" s="246"/>
      <c r="EC78" s="246"/>
      <c r="ED78" s="246"/>
      <c r="EE78" s="246"/>
      <c r="EF78" s="246"/>
      <c r="EG78" s="246"/>
      <c r="EH78" s="246"/>
      <c r="EI78" s="246"/>
      <c r="EJ78" s="246"/>
      <c r="EK78" s="246">
        <f t="shared" ref="EK78:EM78" si="603">EK65/EJ65-1</f>
        <v>-2.0326367019753766E-2</v>
      </c>
      <c r="EL78" s="246">
        <f t="shared" si="603"/>
        <v>0.10286382232612512</v>
      </c>
      <c r="EM78" s="246">
        <f t="shared" si="603"/>
        <v>1.5500794912559623E-2</v>
      </c>
      <c r="EN78" s="246">
        <f>EN65/EM65-1</f>
        <v>6.7579908675799105E-2</v>
      </c>
      <c r="EO78" s="246">
        <f t="shared" ref="EO78:EY78" si="604">EO65/EN65-1</f>
        <v>-0.63338628864719548</v>
      </c>
      <c r="EP78" s="246">
        <f t="shared" si="604"/>
        <v>0</v>
      </c>
      <c r="EQ78" s="246">
        <f t="shared" si="604"/>
        <v>0</v>
      </c>
      <c r="ER78" s="246">
        <f t="shared" si="604"/>
        <v>-1</v>
      </c>
      <c r="ES78" s="246" t="e">
        <f t="shared" si="604"/>
        <v>#DIV/0!</v>
      </c>
      <c r="ET78" s="246">
        <f t="shared" si="604"/>
        <v>5.382830626450108E-2</v>
      </c>
      <c r="EU78" s="246">
        <f t="shared" si="604"/>
        <v>7.080581241743733E-2</v>
      </c>
      <c r="EV78" s="246">
        <f t="shared" si="604"/>
        <v>0.20766510403816096</v>
      </c>
      <c r="EW78" s="246">
        <f t="shared" si="604"/>
        <v>-2.6559520566603156E-2</v>
      </c>
      <c r="EX78" s="246">
        <f t="shared" si="604"/>
        <v>-0.7901217293969498</v>
      </c>
      <c r="EY78" s="246">
        <f t="shared" si="604"/>
        <v>0</v>
      </c>
      <c r="EZ78" s="246"/>
      <c r="FA78" s="246"/>
      <c r="FB78" s="246"/>
      <c r="FC78" s="246"/>
      <c r="FD78" s="246"/>
      <c r="FE78" s="246"/>
      <c r="FF78" s="246"/>
      <c r="FG78" s="246"/>
      <c r="FH78" s="246"/>
      <c r="FI78" s="246"/>
      <c r="FJ78" s="246"/>
      <c r="FM78" t="s">
        <v>1443</v>
      </c>
      <c r="FN78" s="81">
        <v>6.5000000000000002E-2</v>
      </c>
      <c r="FQ78" s="291"/>
      <c r="FR78" s="291"/>
      <c r="FS78" s="291"/>
      <c r="FT78"/>
      <c r="FU78" s="291"/>
      <c r="FV78" s="291"/>
      <c r="FW78" s="291"/>
    </row>
    <row r="79" spans="1:270" s="275" customFormat="1" ht="12.75" customHeight="1" x14ac:dyDescent="0.2">
      <c r="A79"/>
      <c r="B79" t="s">
        <v>1546</v>
      </c>
      <c r="C79" s="283"/>
      <c r="D79" s="283"/>
      <c r="E79" s="283"/>
      <c r="F79" s="283"/>
      <c r="G79" s="283"/>
      <c r="H79" s="288"/>
      <c r="I79" s="288"/>
      <c r="J79" s="288"/>
      <c r="K79" s="288"/>
      <c r="L79" s="288"/>
      <c r="M79" s="288"/>
      <c r="N79" s="288"/>
      <c r="O79" s="288"/>
      <c r="P79" s="288"/>
      <c r="Q79" s="288"/>
      <c r="R79" s="288"/>
      <c r="S79" s="288"/>
      <c r="T79" s="288"/>
      <c r="U79" s="288"/>
      <c r="V79" s="288"/>
      <c r="W79" s="288"/>
      <c r="X79" s="288"/>
      <c r="Y79" s="288"/>
      <c r="Z79" s="288"/>
      <c r="AA79" s="288"/>
      <c r="AB79" s="288"/>
      <c r="AC79" s="288"/>
      <c r="AD79" s="288"/>
      <c r="AE79" s="288"/>
      <c r="AF79" s="288"/>
      <c r="AG79" s="288"/>
      <c r="AH79" s="288"/>
      <c r="AI79" s="288"/>
      <c r="AJ79" s="288"/>
      <c r="AK79" s="288"/>
      <c r="AL79" s="288"/>
      <c r="AM79" s="288"/>
      <c r="AN79" s="288"/>
      <c r="AO79" s="288"/>
      <c r="AP79" s="288"/>
      <c r="AQ79" s="288"/>
      <c r="AR79" s="288"/>
      <c r="AS79" s="288"/>
      <c r="AT79" s="288"/>
      <c r="AU79" s="288"/>
      <c r="AV79" s="288"/>
      <c r="AW79" s="288"/>
      <c r="AX79" s="288"/>
      <c r="AY79" s="288"/>
      <c r="AZ79" s="288"/>
      <c r="BA79" s="288"/>
      <c r="BB79" s="288"/>
      <c r="BC79" s="288"/>
      <c r="BD79" s="288">
        <f t="shared" ref="BD79:BL79" si="605">BD64/AZ64-1</f>
        <v>-8.5470085470085166E-3</v>
      </c>
      <c r="BE79" s="288">
        <f t="shared" si="605"/>
        <v>-1.2166981329976956E-2</v>
      </c>
      <c r="BF79" s="288">
        <f t="shared" si="605"/>
        <v>-7.9765500088825769E-2</v>
      </c>
      <c r="BG79" s="288">
        <f t="shared" si="605"/>
        <v>5.7961916718978879E-2</v>
      </c>
      <c r="BH79" s="288">
        <f t="shared" si="605"/>
        <v>9.6509671993271651E-2</v>
      </c>
      <c r="BI79" s="288">
        <f t="shared" si="605"/>
        <v>0.11276279464854544</v>
      </c>
      <c r="BJ79" s="288">
        <f t="shared" si="605"/>
        <v>5.3667953667953627E-2</v>
      </c>
      <c r="BK79" s="288">
        <f t="shared" si="605"/>
        <v>-8.1091772151898889E-3</v>
      </c>
      <c r="BL79" s="288">
        <f t="shared" si="605"/>
        <v>-4.7938638542665335E-2</v>
      </c>
      <c r="BM79" s="288">
        <f>BM64/BI64-1</f>
        <v>-2.2900763358778553E-3</v>
      </c>
      <c r="BN79" s="288">
        <f t="shared" ref="BN79:BR79" si="606">BN64/BJ64-1</f>
        <v>3.7193111029681258E-2</v>
      </c>
      <c r="BO79" s="288">
        <f t="shared" si="606"/>
        <v>4.1475573280159495E-2</v>
      </c>
      <c r="BP79" s="288">
        <f t="shared" si="606"/>
        <v>7.2507552870091363E-3</v>
      </c>
      <c r="BQ79" s="288">
        <f t="shared" si="606"/>
        <v>1.6449885233358774E-2</v>
      </c>
      <c r="BR79" s="288">
        <f t="shared" si="606"/>
        <v>4.5221692280515757E-2</v>
      </c>
      <c r="BS79" s="288">
        <f>BS64/BO64-1</f>
        <v>-7.6584338502776461E-3</v>
      </c>
      <c r="BT79" s="288">
        <f t="shared" ref="BT79" si="607">BT64/BP64-1</f>
        <v>9.5980803839232243E-2</v>
      </c>
      <c r="BU79" s="288">
        <f t="shared" ref="BU79" si="608">BU64/BQ64-1</f>
        <v>2.8980052691004898E-2</v>
      </c>
      <c r="BV79" s="288">
        <f t="shared" ref="BV79" si="609">BV64/BR64-1</f>
        <v>-1.6055433496704463E-2</v>
      </c>
      <c r="BW79" s="288">
        <f t="shared" ref="BW79" si="610">BW64/BS64-1</f>
        <v>-6.4827320084892892E-2</v>
      </c>
      <c r="BX79" s="288">
        <f t="shared" ref="BX79" si="611">BX64/BT64-1</f>
        <v>-1.7697500456121174E-2</v>
      </c>
      <c r="BY79" s="288">
        <f t="shared" ref="BY79" si="612">BY64/BU64-1</f>
        <v>-7.0775420629114905E-2</v>
      </c>
      <c r="BZ79" s="288">
        <f t="shared" ref="BZ79" si="613">BZ64/BV64-1</f>
        <v>1.1851597389213264E-2</v>
      </c>
      <c r="CA79" s="288">
        <f t="shared" ref="CA79" si="614">CA64/BW64-1</f>
        <v>-3.2803796162574783E-2</v>
      </c>
      <c r="CB79" s="288">
        <f t="shared" ref="CB79" si="615">CB64/BX64-1</f>
        <v>-3.8632986627043064E-2</v>
      </c>
      <c r="CC79" s="288">
        <f t="shared" ref="CC79" si="616">CC64/BY64-1</f>
        <v>-6.0814800236174027E-2</v>
      </c>
      <c r="CD79" s="288">
        <f t="shared" ref="CD79" si="617">CD64/BZ64-1</f>
        <v>-9.8794771685622118E-2</v>
      </c>
      <c r="CE79" s="288">
        <f t="shared" ref="CE79" si="618">CE64/CA64-1</f>
        <v>1.0452218430034188E-2</v>
      </c>
      <c r="CF79" s="288">
        <f t="shared" ref="CF79" si="619">CF64/CB64-1</f>
        <v>1.6615146831530092E-2</v>
      </c>
      <c r="CG79" s="288">
        <f t="shared" ref="CG79" si="620">CG64/CC64-1</f>
        <v>0.13076278290025156</v>
      </c>
      <c r="CH79" s="288">
        <f t="shared" ref="CH79" si="621">CH64/CD64-1</f>
        <v>0.13486532303635346</v>
      </c>
      <c r="CI79" s="288">
        <f t="shared" ref="CI79" si="622">CI64/CE64-1</f>
        <v>0.1110407430863416</v>
      </c>
      <c r="CJ79" s="288">
        <f t="shared" ref="CJ79" si="623">CJ64/CF64-1</f>
        <v>9.1410110224249275E-2</v>
      </c>
      <c r="CK79" s="288">
        <f t="shared" ref="CK79" si="624">CK64/CG64-1</f>
        <v>-0.17383246849518164</v>
      </c>
      <c r="CL79" s="288">
        <f t="shared" ref="CL79" si="625">CL64/CH64-1</f>
        <v>-0.18373443983402493</v>
      </c>
      <c r="CM79" s="288">
        <f t="shared" ref="CM79:CO79" si="626">+CM64/CI64-1</f>
        <v>-8.3602508075242277E-3</v>
      </c>
      <c r="CN79" s="288">
        <f t="shared" si="626"/>
        <v>-3.4302629287828679E-2</v>
      </c>
      <c r="CO79" s="288">
        <f t="shared" si="626"/>
        <v>-4.9798115746971683E-2</v>
      </c>
      <c r="CP79" s="288">
        <f t="shared" ref="CP79" si="627">+CP64/CL64-1</f>
        <v>-4.2700284668564237E-3</v>
      </c>
      <c r="CQ79" s="288">
        <f t="shared" ref="CQ79" si="628">+CQ64/CM64-1</f>
        <v>-3.0657214025675561E-3</v>
      </c>
      <c r="CR79" s="288">
        <f t="shared" ref="CR79" si="629">+CR64/CN64-1</f>
        <v>-9.9711503786512834E-2</v>
      </c>
      <c r="CS79" s="288">
        <f t="shared" ref="CS79" si="630">+CS64/CO64-1</f>
        <v>0.2821057601510859</v>
      </c>
      <c r="CT79" s="288">
        <f t="shared" ref="CT79" si="631">+CT64/CP64-1</f>
        <v>0.31856238513375534</v>
      </c>
      <c r="CU79" s="288">
        <f t="shared" ref="CU79" si="632">+CU64/CQ64-1</f>
        <v>4.4013069383048276E-2</v>
      </c>
      <c r="CV79" s="288">
        <f t="shared" ref="CV79" si="633">+CV64/CR64-1</f>
        <v>0.21510114159823757</v>
      </c>
      <c r="CW79" s="288">
        <f t="shared" ref="CW79:CX79" si="634">+CW64/CS64-1</f>
        <v>0.10476891916774078</v>
      </c>
      <c r="CX79" s="288">
        <f t="shared" si="634"/>
        <v>0.10794486603685916</v>
      </c>
      <c r="CY79" s="288">
        <f>+CY64/CU64-1</f>
        <v>9.3151693667157476E-2</v>
      </c>
      <c r="CZ79" s="288">
        <f t="shared" ref="CZ79:DG79" si="635">+CZ64/CV64-1</f>
        <v>2.5218394593703675E-2</v>
      </c>
      <c r="DA79" s="288">
        <f t="shared" si="635"/>
        <v>-1</v>
      </c>
      <c r="DB79" s="288">
        <f t="shared" si="635"/>
        <v>-9.7008666480290717E-2</v>
      </c>
      <c r="DC79" s="288">
        <f t="shared" si="635"/>
        <v>-0.17379589087234759</v>
      </c>
      <c r="DD79" s="288">
        <f t="shared" si="635"/>
        <v>7.1543408360128513E-2</v>
      </c>
      <c r="DE79" s="288" t="e">
        <f t="shared" si="635"/>
        <v>#DIV/0!</v>
      </c>
      <c r="DF79" s="288">
        <f t="shared" si="635"/>
        <v>-0.10185758513931886</v>
      </c>
      <c r="DG79" s="288">
        <f t="shared" si="635"/>
        <v>7.0729718711781464E-2</v>
      </c>
      <c r="DH79" s="288">
        <f t="shared" ref="DH79" si="636">+DH64/DD64-1</f>
        <v>-1</v>
      </c>
      <c r="DI79" s="288">
        <f t="shared" ref="DI79" si="637">+DI64/DE64-1</f>
        <v>-1</v>
      </c>
      <c r="DJ79" s="288">
        <f t="shared" ref="DJ79" si="638">+DJ64/DF64-1</f>
        <v>-1</v>
      </c>
      <c r="DK79" s="288">
        <f t="shared" ref="DK79" si="639">+DK64/DG64-1</f>
        <v>-1</v>
      </c>
      <c r="DL79" s="288" t="e">
        <f t="shared" ref="DL79" si="640">+DL64/DH64-1</f>
        <v>#DIV/0!</v>
      </c>
      <c r="DM79" s="288" t="e">
        <f t="shared" ref="DM79" si="641">+DM64/DI64-1</f>
        <v>#DIV/0!</v>
      </c>
      <c r="DN79" s="288" t="e">
        <f t="shared" ref="DN79" si="642">+DN64/DJ64-1</f>
        <v>#DIV/0!</v>
      </c>
      <c r="DP79" s="246"/>
      <c r="DQ79" s="246"/>
      <c r="DR79" s="246"/>
      <c r="DS79" s="246"/>
      <c r="DT79" s="246"/>
      <c r="DU79" s="246"/>
      <c r="DV79" s="246"/>
      <c r="DW79" s="246"/>
      <c r="DX79" s="246"/>
      <c r="DY79" s="246"/>
      <c r="DZ79" s="246"/>
      <c r="EA79" s="246"/>
      <c r="EB79" s="246"/>
      <c r="EC79" s="246"/>
      <c r="ED79" s="246"/>
      <c r="EE79" s="246"/>
      <c r="EF79" s="246"/>
      <c r="EG79" s="246"/>
      <c r="EH79" s="246"/>
      <c r="EI79" s="246"/>
      <c r="EJ79" s="246"/>
      <c r="EK79" s="246">
        <f t="shared" ref="EK79:EM79" si="643">EK64/EJ64-1</f>
        <v>-1.9039442452401412E-2</v>
      </c>
      <c r="EL79" s="246">
        <f t="shared" si="643"/>
        <v>7.9540774299835304E-2</v>
      </c>
      <c r="EM79" s="246">
        <f t="shared" si="643"/>
        <v>-4.7689446325528406E-3</v>
      </c>
      <c r="EN79" s="246">
        <f>EN64/EM64-1</f>
        <v>2.8079927164694096E-2</v>
      </c>
      <c r="EO79" s="246">
        <f t="shared" ref="EO79:EY79" si="644">EO64/EN64-1</f>
        <v>0.15738290608249828</v>
      </c>
      <c r="EP79" s="246">
        <f t="shared" si="644"/>
        <v>-1</v>
      </c>
      <c r="EQ79" s="246" t="e">
        <f t="shared" si="644"/>
        <v>#DIV/0!</v>
      </c>
      <c r="ER79" s="246" t="e">
        <f t="shared" si="644"/>
        <v>#DIV/0!</v>
      </c>
      <c r="ES79" s="246" t="e">
        <f t="shared" si="644"/>
        <v>#DIV/0!</v>
      </c>
      <c r="ET79" s="246">
        <f t="shared" si="644"/>
        <v>-2.3746442939848844E-2</v>
      </c>
      <c r="EU79" s="246">
        <f t="shared" si="644"/>
        <v>0.10986028746607701</v>
      </c>
      <c r="EV79" s="246">
        <f t="shared" si="644"/>
        <v>0.11632856366600253</v>
      </c>
      <c r="EW79" s="246">
        <f t="shared" si="644"/>
        <v>-0.24479779337200336</v>
      </c>
      <c r="EX79" s="246">
        <f t="shared" si="644"/>
        <v>0.36325095606402424</v>
      </c>
      <c r="EY79" s="246">
        <f t="shared" si="644"/>
        <v>7.3374113027189214E-3</v>
      </c>
      <c r="EZ79" s="246"/>
      <c r="FA79" s="246"/>
      <c r="FB79" s="246"/>
      <c r="FC79" s="246"/>
      <c r="FD79" s="246"/>
      <c r="FE79" s="246"/>
      <c r="FF79" s="246"/>
      <c r="FG79" s="246"/>
      <c r="FH79" s="246"/>
      <c r="FI79" s="246"/>
      <c r="FJ79" s="246"/>
      <c r="FM79" t="s">
        <v>1444</v>
      </c>
      <c r="FN79" s="292">
        <v>0.7</v>
      </c>
      <c r="FQ79" s="291"/>
      <c r="FR79" s="291"/>
      <c r="FS79" s="291"/>
      <c r="FT79"/>
      <c r="FU79" s="291"/>
      <c r="FV79" s="291"/>
      <c r="FW79" s="291"/>
    </row>
    <row r="80" spans="1:270" s="281" customFormat="1" ht="12.75" customHeight="1" x14ac:dyDescent="0.2">
      <c r="B80" s="1" t="s">
        <v>346</v>
      </c>
      <c r="C80" s="282">
        <f>PV(9%,4,0,-EO73)*14</f>
        <v>67.395045147406719</v>
      </c>
      <c r="D80" s="282"/>
      <c r="E80" s="282"/>
      <c r="F80" s="166"/>
      <c r="G80" s="166"/>
      <c r="H80" s="287">
        <f t="shared" ref="H80:AY80" si="645">H73/D73-1</f>
        <v>7.5818659710282343E-2</v>
      </c>
      <c r="I80" s="287">
        <f t="shared" si="645"/>
        <v>9.2950596934190166E-2</v>
      </c>
      <c r="J80" s="287">
        <f t="shared" si="645"/>
        <v>7.634149897929432E-2</v>
      </c>
      <c r="K80" s="287">
        <f t="shared" si="645"/>
        <v>0.11788882689055269</v>
      </c>
      <c r="L80" s="287">
        <f t="shared" si="645"/>
        <v>0.14473964191263655</v>
      </c>
      <c r="M80" s="287">
        <f t="shared" si="645"/>
        <v>0.14310088198022242</v>
      </c>
      <c r="N80" s="287">
        <f t="shared" si="645"/>
        <v>5.1308536479371281E-2</v>
      </c>
      <c r="O80" s="287">
        <f t="shared" si="645"/>
        <v>0.13385180270518893</v>
      </c>
      <c r="P80" s="287">
        <f>P73/L73-1</f>
        <v>0.12075080173552166</v>
      </c>
      <c r="Q80" s="287">
        <f t="shared" si="645"/>
        <v>0.11640695323782246</v>
      </c>
      <c r="R80" s="287">
        <f t="shared" si="645"/>
        <v>0.25331564986737409</v>
      </c>
      <c r="S80" s="287">
        <f t="shared" si="645"/>
        <v>0.13856690012533113</v>
      </c>
      <c r="T80" s="287">
        <f>T73/P73-1</f>
        <v>1.2037195940025613E-2</v>
      </c>
      <c r="U80" s="287">
        <f t="shared" si="645"/>
        <v>0.10050364968255754</v>
      </c>
      <c r="V80" s="287">
        <f t="shared" si="645"/>
        <v>0.16465516247651335</v>
      </c>
      <c r="W80" s="287">
        <f t="shared" si="645"/>
        <v>0.11042340202435219</v>
      </c>
      <c r="X80" s="287">
        <f t="shared" si="645"/>
        <v>0.33892222366878832</v>
      </c>
      <c r="Y80" s="287">
        <f t="shared" si="645"/>
        <v>0.15957351708447542</v>
      </c>
      <c r="Z80" s="287">
        <f t="shared" si="645"/>
        <v>0.18068383735432225</v>
      </c>
      <c r="AA80" s="287">
        <f t="shared" si="645"/>
        <v>0.17560586488735686</v>
      </c>
      <c r="AB80" s="287">
        <f t="shared" si="645"/>
        <v>9.5766268040985869E-2</v>
      </c>
      <c r="AC80" s="287">
        <f t="shared" si="645"/>
        <v>0.20792294940519618</v>
      </c>
      <c r="AD80" s="287">
        <f t="shared" si="645"/>
        <v>0.43934703660578567</v>
      </c>
      <c r="AE80" s="287">
        <f t="shared" si="645"/>
        <v>0.40330271308582621</v>
      </c>
      <c r="AF80" s="287">
        <f t="shared" si="645"/>
        <v>0.36425979190318269</v>
      </c>
      <c r="AG80" s="287">
        <f t="shared" si="645"/>
        <v>0.13879826799979922</v>
      </c>
      <c r="AH80" s="287">
        <f t="shared" si="645"/>
        <v>1.0408112986510343E-2</v>
      </c>
      <c r="AI80" s="287">
        <f t="shared" si="645"/>
        <v>-3.321908623949843E-2</v>
      </c>
      <c r="AJ80" s="287">
        <f t="shared" si="645"/>
        <v>4.5241526320477954E-2</v>
      </c>
      <c r="AK80" s="287">
        <f t="shared" si="645"/>
        <v>7.6881693334693413E-2</v>
      </c>
      <c r="AL80" s="287">
        <f t="shared" si="645"/>
        <v>4.7357926221335944E-2</v>
      </c>
      <c r="AM80" s="287">
        <f t="shared" si="645"/>
        <v>0.18936887555891713</v>
      </c>
      <c r="AN80" s="287">
        <f t="shared" si="645"/>
        <v>3.6136156228004479E-2</v>
      </c>
      <c r="AO80" s="287">
        <f t="shared" si="645"/>
        <v>0.15510613626240932</v>
      </c>
      <c r="AP80" s="287">
        <f t="shared" si="645"/>
        <v>0.16724537677075335</v>
      </c>
      <c r="AQ80" s="287">
        <f t="shared" si="645"/>
        <v>5.0337651327217348E-2</v>
      </c>
      <c r="AR80" s="287">
        <f t="shared" si="645"/>
        <v>2.4384801824921754E-2</v>
      </c>
      <c r="AS80" s="287">
        <f t="shared" si="645"/>
        <v>9.4606176817664034E-2</v>
      </c>
      <c r="AT80" s="287">
        <f t="shared" si="645"/>
        <v>0.23000568097020602</v>
      </c>
      <c r="AU80" s="287">
        <f t="shared" si="645"/>
        <v>7.020584740193403E-2</v>
      </c>
      <c r="AV80" s="287">
        <f t="shared" si="645"/>
        <v>0.11868138566888375</v>
      </c>
      <c r="AW80" s="287">
        <f t="shared" si="645"/>
        <v>9.5187736415512925E-2</v>
      </c>
      <c r="AX80" s="287">
        <f t="shared" si="645"/>
        <v>-6.3593420219504537E-2</v>
      </c>
      <c r="AY80" s="287">
        <f t="shared" si="645"/>
        <v>1.4359563869827952E-3</v>
      </c>
      <c r="AZ80" s="287">
        <f t="shared" ref="AZ80:BF80" si="646">AZ73/AV73-1</f>
        <v>-2.5715357562949182E-2</v>
      </c>
      <c r="BA80" s="287">
        <f t="shared" si="646"/>
        <v>2.4431871651507064E-2</v>
      </c>
      <c r="BB80" s="287">
        <f t="shared" si="646"/>
        <v>0.10025117077992585</v>
      </c>
      <c r="BC80" s="287">
        <f t="shared" si="646"/>
        <v>2.8316206701865632E-2</v>
      </c>
      <c r="BD80" s="287">
        <f t="shared" si="646"/>
        <v>6.7260095469480863E-2</v>
      </c>
      <c r="BE80" s="287">
        <f t="shared" si="646"/>
        <v>2.3944295740103483E-2</v>
      </c>
      <c r="BF80" s="287">
        <f t="shared" si="646"/>
        <v>-1.6153307030108977E-3</v>
      </c>
      <c r="BG80" s="287">
        <f>BG73/BC73-1</f>
        <v>0.1910607025483293</v>
      </c>
      <c r="BH80" s="287">
        <f>BH73/BD73-1</f>
        <v>-1.6918038772520849E-2</v>
      </c>
      <c r="BI80" s="287">
        <f>BI73/BE73-1</f>
        <v>-6.0154852950498827E-2</v>
      </c>
      <c r="BJ80" s="287">
        <f t="shared" ref="BJ80" si="647">BJ73/BF73-1</f>
        <v>1.0004880615359619</v>
      </c>
      <c r="BK80" s="287">
        <f>BK73/BG73-1</f>
        <v>-8.4820785085281014E-2</v>
      </c>
      <c r="BL80" s="287">
        <f t="shared" ref="BL80" si="648">BL73/BH73-1</f>
        <v>6.9578193071049954E-2</v>
      </c>
      <c r="BM80" s="287">
        <f t="shared" ref="BM80" si="649">BM73/BI73-1</f>
        <v>6.1272871553678554E-2</v>
      </c>
      <c r="BN80" s="287">
        <f t="shared" ref="BN80" si="650">BN73/BJ73-1</f>
        <v>-0.51080284450880753</v>
      </c>
      <c r="BO80" s="287">
        <f t="shared" ref="BO80" si="651">BO73/BK73-1</f>
        <v>-0.10531204944610384</v>
      </c>
      <c r="BP80" s="287">
        <f t="shared" ref="BP80" si="652">BP73/BL73-1</f>
        <v>0.16062407397490119</v>
      </c>
      <c r="BQ80" s="287">
        <f t="shared" ref="BQ80" si="653">BQ73/BM73-1</f>
        <v>0.13019144828970597</v>
      </c>
      <c r="BR80" s="287">
        <f t="shared" ref="BR80" si="654">BR73/BN73-1</f>
        <v>0.2607768876622647</v>
      </c>
      <c r="BS80" s="287">
        <f>BS73/BO73-1</f>
        <v>0.38546858742814538</v>
      </c>
      <c r="BT80" s="287">
        <f t="shared" ref="BT80" si="655">BT73/BP73-1</f>
        <v>6.3296424145320662E-2</v>
      </c>
      <c r="BU80" s="287">
        <f t="shared" ref="BU80" si="656">BU73/BQ73-1</f>
        <v>-0.14032529532852378</v>
      </c>
      <c r="BV80" s="287">
        <f t="shared" ref="BV80" si="657">BV73/BR73-1</f>
        <v>7.0171293429426296E-3</v>
      </c>
      <c r="BW80" s="287">
        <f t="shared" ref="BW80" si="658">BW73/BS73-1</f>
        <v>-0.19529001548062908</v>
      </c>
      <c r="BX80" s="287">
        <f t="shared" ref="BX80" si="659">BX73/BT73-1</f>
        <v>-0.20167791630639931</v>
      </c>
      <c r="BY80" s="287">
        <f t="shared" ref="BY80" si="660">BY73/BU73-1</f>
        <v>0.13544359995566224</v>
      </c>
      <c r="BZ80" s="287">
        <f t="shared" ref="BZ80" si="661">BZ73/BV73-1</f>
        <v>-0.23792671941193322</v>
      </c>
      <c r="CA80" s="287">
        <f t="shared" ref="CA80" si="662">CA73/BW73-1</f>
        <v>0.16493010636593963</v>
      </c>
      <c r="CB80" s="287">
        <f t="shared" ref="CB80" si="663">CB73/BX73-1</f>
        <v>0.31852760954226067</v>
      </c>
      <c r="CC80" s="287">
        <f t="shared" ref="CC80" si="664">CC73/BY73-1</f>
        <v>0.15309402193622512</v>
      </c>
      <c r="CD80" s="287">
        <f t="shared" ref="CD80" si="665">CD73/BZ73-1</f>
        <v>0.4874740822051471</v>
      </c>
      <c r="CE80" s="287">
        <f t="shared" ref="CE80" si="666">CE73/CA73-1</f>
        <v>-6.7252058155131689E-4</v>
      </c>
      <c r="CF80" s="287">
        <f t="shared" ref="CF80" si="667">CF73/CB73-1</f>
        <v>-3.9582449882542892E-2</v>
      </c>
      <c r="CG80" s="287">
        <f t="shared" ref="CG80" si="668">CG73/CC73-1</f>
        <v>-0.10018831722551658</v>
      </c>
      <c r="CH80" s="287">
        <f t="shared" ref="CH80" si="669">CH73/CD73-1</f>
        <v>0.22612525482605106</v>
      </c>
      <c r="CI80" s="287">
        <f t="shared" ref="CI80" si="670">CI73/CE73-1</f>
        <v>-1.3651202781446381E-2</v>
      </c>
      <c r="CJ80" s="287">
        <f t="shared" ref="CJ80" si="671">CJ73/CF73-1</f>
        <v>-4.1854298358804387E-3</v>
      </c>
      <c r="CK80" s="287">
        <f t="shared" ref="CK80" si="672">CK73/CG73-1</f>
        <v>0.51458844505578183</v>
      </c>
      <c r="CL80" s="287">
        <f t="shared" ref="CL80" si="673">CL73/CH73-1</f>
        <v>0.10394841705592039</v>
      </c>
      <c r="CM80" s="287">
        <f t="shared" ref="CM80:CO80" si="674">+CM73/CI73-1</f>
        <v>7.3335795050902153E-2</v>
      </c>
      <c r="CN80" s="287">
        <f t="shared" si="674"/>
        <v>-7.9588542556748409E-2</v>
      </c>
      <c r="CO80" s="287">
        <f t="shared" si="674"/>
        <v>-2.4099928214634803E-3</v>
      </c>
      <c r="CP80" s="287">
        <f t="shared" ref="CP80" si="675">+CP73/CL73-1</f>
        <v>-3.401938512106395E-2</v>
      </c>
      <c r="CQ80" s="287">
        <f t="shared" ref="CQ80" si="676">+CQ73/CM73-1</f>
        <v>0.10010206676183309</v>
      </c>
      <c r="CR80" s="287">
        <f t="shared" ref="CR80" si="677">+CR73/CN73-1</f>
        <v>-6.3188735958248476E-2</v>
      </c>
      <c r="CS80" s="287">
        <f t="shared" ref="CS80" si="678">+CS73/CO73-1</f>
        <v>-0.12151690217235556</v>
      </c>
      <c r="CT80" s="287">
        <f t="shared" ref="CT80" si="679">+CT73/CP73-1</f>
        <v>-0.19005066624794598</v>
      </c>
      <c r="CU80" s="287">
        <f t="shared" ref="CU80" si="680">+CU73/CQ73-1</f>
        <v>0.22711682108032161</v>
      </c>
      <c r="CV80" s="287">
        <f t="shared" ref="CV80" si="681">+CV73/CR73-1</f>
        <v>0.82370196327592327</v>
      </c>
      <c r="CW80" s="287">
        <f t="shared" ref="CW80:CX80" si="682">+CW73/CS73-1</f>
        <v>0.30236297648751398</v>
      </c>
      <c r="CX80" s="287">
        <f t="shared" si="682"/>
        <v>0.19325870108083376</v>
      </c>
      <c r="CY80" s="287">
        <f>+CY73/CU73-1</f>
        <v>-4.9475018188636977E-2</v>
      </c>
      <c r="CZ80" s="287">
        <f t="shared" ref="CZ80:DG80" si="683">+CZ73/CV73-1</f>
        <v>4.0973813158941219E-2</v>
      </c>
      <c r="DA80" s="287">
        <f t="shared" si="683"/>
        <v>0.73557736636361604</v>
      </c>
      <c r="DB80" s="287">
        <f t="shared" si="683"/>
        <v>0.31595973461524585</v>
      </c>
      <c r="DC80" s="287">
        <f t="shared" si="683"/>
        <v>-0.13043649439575344</v>
      </c>
      <c r="DD80" s="287">
        <f t="shared" si="683"/>
        <v>-0.22097777201966096</v>
      </c>
      <c r="DE80" s="287">
        <f t="shared" si="683"/>
        <v>-0.55341701245278396</v>
      </c>
      <c r="DF80" s="287">
        <f t="shared" si="683"/>
        <v>-1.5335215793113588E-2</v>
      </c>
      <c r="DG80" s="287">
        <f t="shared" si="683"/>
        <v>0.40068699716185274</v>
      </c>
      <c r="DH80" s="287">
        <f t="shared" ref="DH80" si="684">+DH73/DD73-1</f>
        <v>2.2553665761264949</v>
      </c>
      <c r="DI80" s="287">
        <f t="shared" ref="DI80" si="685">+DI73/DE73-1</f>
        <v>2.5615314136421818</v>
      </c>
      <c r="DJ80" s="287">
        <f t="shared" ref="DJ80" si="686">+DJ73/DF73-1</f>
        <v>1.8527817604707875</v>
      </c>
      <c r="DK80" s="287">
        <f t="shared" ref="DK80" si="687">+DK73/DG73-1</f>
        <v>1.4912191176470588</v>
      </c>
      <c r="DL80" s="287">
        <f t="shared" ref="DL80" si="688">+DL73/DH73-1</f>
        <v>2.663704674833367E-2</v>
      </c>
      <c r="DM80" s="287">
        <f t="shared" ref="DM80" si="689">+DM73/DI73-1</f>
        <v>2.944407021359341E-2</v>
      </c>
      <c r="DN80" s="287">
        <f t="shared" ref="DN80" si="690">+DN73/DJ73-1</f>
        <v>3.1474231198588942E-2</v>
      </c>
      <c r="DP80" s="287"/>
      <c r="DQ80" s="287">
        <f t="shared" ref="DQ80:EQ80" si="691">DQ73/DP73-1</f>
        <v>0.16138620699103701</v>
      </c>
      <c r="DR80" s="287">
        <f t="shared" si="691"/>
        <v>9.3784452783480798E-3</v>
      </c>
      <c r="DS80" s="287">
        <f t="shared" si="691"/>
        <v>0.11223738786059356</v>
      </c>
      <c r="DT80" s="287">
        <f t="shared" si="691"/>
        <v>9.9683709315189217E-2</v>
      </c>
      <c r="DU80" s="287">
        <f t="shared" si="691"/>
        <v>0.12252543201017119</v>
      </c>
      <c r="DV80" s="287">
        <f t="shared" si="691"/>
        <v>0.19787193984028106</v>
      </c>
      <c r="DW80" s="287">
        <f t="shared" si="691"/>
        <v>0.20141489804411172</v>
      </c>
      <c r="DX80" s="287">
        <f t="shared" si="691"/>
        <v>0.14409421544856249</v>
      </c>
      <c r="DY80" s="287">
        <f t="shared" si="691"/>
        <v>0.16136845292158641</v>
      </c>
      <c r="DZ80" s="287">
        <f t="shared" si="691"/>
        <v>8.6222689728370661E-2</v>
      </c>
      <c r="EA80" s="287">
        <f t="shared" si="691"/>
        <v>0.15694367545205146</v>
      </c>
      <c r="EB80" s="287">
        <f t="shared" si="691"/>
        <v>0.17827821800773225</v>
      </c>
      <c r="EC80" s="287">
        <f t="shared" si="691"/>
        <v>0.37830154695147633</v>
      </c>
      <c r="ED80" s="287">
        <f t="shared" si="691"/>
        <v>0.13855365103019746</v>
      </c>
      <c r="EE80" s="287">
        <f t="shared" si="691"/>
        <v>7.7515187246461448E-2</v>
      </c>
      <c r="EF80" s="287">
        <f t="shared" si="691"/>
        <v>4.8372071083447876E-2</v>
      </c>
      <c r="EG80" s="287">
        <f t="shared" si="691"/>
        <v>0.1462207278197587</v>
      </c>
      <c r="EH80" s="287">
        <f t="shared" si="691"/>
        <v>0.11889271311352956</v>
      </c>
      <c r="EI80" s="287">
        <f t="shared" si="691"/>
        <v>8.1321657802964298E-2</v>
      </c>
      <c r="EJ80" s="287">
        <f>EJ73/EI73-1</f>
        <v>0.32184701102067947</v>
      </c>
      <c r="EK80" s="287">
        <f t="shared" si="691"/>
        <v>-0.21643770301278442</v>
      </c>
      <c r="EL80" s="287">
        <f t="shared" si="691"/>
        <v>0.26467153844213498</v>
      </c>
      <c r="EM80" s="287">
        <f t="shared" si="691"/>
        <v>-0.19197091346348505</v>
      </c>
      <c r="EN80" s="287">
        <f t="shared" si="691"/>
        <v>0.10636798720285601</v>
      </c>
      <c r="EO80" s="287">
        <f t="shared" si="691"/>
        <v>0.27564464955984436</v>
      </c>
      <c r="EP80" s="287">
        <f t="shared" si="691"/>
        <v>1.532103792198575</v>
      </c>
      <c r="EQ80" s="287">
        <f t="shared" si="691"/>
        <v>-7.8313463952260576E-2</v>
      </c>
      <c r="ER80" s="287" t="e">
        <f t="shared" ref="ER80" si="692">ER73/EQ73-1</f>
        <v>#DIV/0!</v>
      </c>
      <c r="ES80" s="287" t="e">
        <f t="shared" ref="ES80" si="693">ES73/ER73-1</f>
        <v>#DIV/0!</v>
      </c>
      <c r="ET80" s="287">
        <f t="shared" ref="ET80" si="694">ET73/ES73-1</f>
        <v>-1.1629204213314037E-2</v>
      </c>
      <c r="EU80" s="287">
        <f t="shared" ref="EU80" si="695">EU73/ET73-1</f>
        <v>-7.3891727611955949E-2</v>
      </c>
      <c r="EV80" s="287">
        <f t="shared" ref="EV80" si="696">EV73/EU73-1</f>
        <v>0.37643894125962207</v>
      </c>
      <c r="EW80" s="287">
        <f t="shared" ref="EW80" si="697">EW73/EV73-1</f>
        <v>0.24041054252660876</v>
      </c>
      <c r="EX80" s="287">
        <f t="shared" ref="EX80" si="698">EX73/EW73-1</f>
        <v>2.999643674611141E-3</v>
      </c>
      <c r="EY80" s="287">
        <f t="shared" ref="EY80" si="699">EY73/EX73-1</f>
        <v>7.9021710516185006E-3</v>
      </c>
      <c r="EZ80" s="287"/>
      <c r="FA80" s="287"/>
      <c r="FB80" s="287"/>
      <c r="FC80" s="287"/>
      <c r="FD80" s="287"/>
      <c r="FE80" s="287"/>
      <c r="FF80" s="287"/>
      <c r="FG80" s="287"/>
      <c r="FH80" s="287"/>
      <c r="FI80" s="287"/>
      <c r="FJ80" s="287"/>
      <c r="FM80" t="s">
        <v>1243</v>
      </c>
      <c r="FN80" s="79">
        <f>NPV(FN76,EX72:JW72)+EW72+Main!Q5-Main!Q6</f>
        <v>458752.26350342005</v>
      </c>
      <c r="FQ80" s="1"/>
      <c r="FR80" s="1"/>
      <c r="FS80"/>
      <c r="FT80"/>
      <c r="FU80"/>
      <c r="FV80" s="1"/>
      <c r="FW80" s="1"/>
    </row>
    <row r="81" spans="1:179" s="279" customFormat="1" ht="12.75" customHeight="1" x14ac:dyDescent="0.2">
      <c r="A81" s="1"/>
      <c r="B81" t="s">
        <v>348</v>
      </c>
      <c r="C81" s="282">
        <f>PV(7%,4,0,-EO73)*14</f>
        <v>72.576972777937499</v>
      </c>
      <c r="D81" s="282"/>
      <c r="E81" s="282"/>
      <c r="F81" s="293"/>
      <c r="G81" s="293"/>
      <c r="H81" s="293"/>
      <c r="I81" s="294"/>
      <c r="J81" s="294"/>
      <c r="K81" s="294"/>
      <c r="L81" s="294"/>
      <c r="M81" s="294"/>
      <c r="N81" s="294"/>
      <c r="O81" s="294">
        <f t="shared" ref="O81:AT81" si="700">O3/K3-1</f>
        <v>1.3333333333333335</v>
      </c>
      <c r="P81" s="294">
        <f t="shared" si="700"/>
        <v>2.5076923076923077</v>
      </c>
      <c r="Q81" s="294">
        <f t="shared" si="700"/>
        <v>2.3629629629629627</v>
      </c>
      <c r="R81" s="294">
        <f t="shared" si="700"/>
        <v>2.3902439024390243</v>
      </c>
      <c r="S81" s="294">
        <f t="shared" si="700"/>
        <v>1.6734693877551021</v>
      </c>
      <c r="T81" s="294">
        <f t="shared" si="700"/>
        <v>0.875</v>
      </c>
      <c r="U81" s="294">
        <f t="shared" si="700"/>
        <v>1.3017621145374449</v>
      </c>
      <c r="V81" s="294">
        <f t="shared" si="700"/>
        <v>0.51079136690647475</v>
      </c>
      <c r="W81" s="294">
        <f t="shared" si="700"/>
        <v>0.87022900763358768</v>
      </c>
      <c r="X81" s="294">
        <f t="shared" si="700"/>
        <v>0.9415204678362572</v>
      </c>
      <c r="Y81" s="294">
        <f t="shared" si="700"/>
        <v>0.63157894736842102</v>
      </c>
      <c r="Z81" s="294">
        <f t="shared" si="700"/>
        <v>0.80476190476190479</v>
      </c>
      <c r="AA81" s="294">
        <f t="shared" si="700"/>
        <v>0.66938775510204085</v>
      </c>
      <c r="AB81" s="294">
        <f t="shared" si="700"/>
        <v>0.26807228915662651</v>
      </c>
      <c r="AC81" s="294">
        <f t="shared" si="700"/>
        <v>0.30205278592375362</v>
      </c>
      <c r="AD81" s="294">
        <f t="shared" si="700"/>
        <v>0.20316622691292885</v>
      </c>
      <c r="AE81" s="294">
        <f t="shared" si="700"/>
        <v>0.13447432762836176</v>
      </c>
      <c r="AF81" s="294">
        <f t="shared" si="700"/>
        <v>0.28028503562945373</v>
      </c>
      <c r="AG81" s="294">
        <f t="shared" si="700"/>
        <v>0.22747747747747749</v>
      </c>
      <c r="AH81" s="294">
        <f t="shared" si="700"/>
        <v>0.31140350877192979</v>
      </c>
      <c r="AI81" s="294">
        <f t="shared" si="700"/>
        <v>0.24353448275862077</v>
      </c>
      <c r="AJ81" s="294">
        <f t="shared" si="700"/>
        <v>0.19109461966604813</v>
      </c>
      <c r="AK81" s="294">
        <f t="shared" si="700"/>
        <v>0.14495412844036704</v>
      </c>
      <c r="AL81" s="294">
        <f t="shared" si="700"/>
        <v>0.15719063545150491</v>
      </c>
      <c r="AM81" s="294">
        <f t="shared" si="700"/>
        <v>0.18024263431542464</v>
      </c>
      <c r="AN81" s="294">
        <f t="shared" si="700"/>
        <v>0.21028037383177578</v>
      </c>
      <c r="AO81" s="294">
        <f t="shared" si="700"/>
        <v>0.24358974358974361</v>
      </c>
      <c r="AP81" s="294">
        <f t="shared" si="700"/>
        <v>0.12716763005780352</v>
      </c>
      <c r="AQ81" s="294">
        <f t="shared" si="700"/>
        <v>7.3421439060205484E-2</v>
      </c>
      <c r="AR81" s="294">
        <f t="shared" si="700"/>
        <v>0.11840411840411846</v>
      </c>
      <c r="AS81" s="294">
        <f t="shared" si="700"/>
        <v>5.5412371134020644E-2</v>
      </c>
      <c r="AT81" s="294">
        <f t="shared" si="700"/>
        <v>0.16410256410256419</v>
      </c>
      <c r="AU81" s="294">
        <f t="shared" ref="AU81:BZ81" si="701">AU3/AQ3-1</f>
        <v>0.36525307797537621</v>
      </c>
      <c r="AV81" s="294">
        <f t="shared" si="701"/>
        <v>1.9562715765247374E-2</v>
      </c>
      <c r="AW81" s="294">
        <f t="shared" si="701"/>
        <v>0.19413919413919412</v>
      </c>
      <c r="AX81" s="294">
        <f t="shared" si="701"/>
        <v>-2.4229074889867808E-2</v>
      </c>
      <c r="AY81" s="294">
        <f t="shared" si="701"/>
        <v>3.0060120240480881E-2</v>
      </c>
      <c r="AZ81" s="294">
        <f t="shared" si="701"/>
        <v>0.24379232505643333</v>
      </c>
      <c r="BA81" s="294">
        <f t="shared" si="701"/>
        <v>5.9304703476482645E-2</v>
      </c>
      <c r="BB81" s="294">
        <f t="shared" si="701"/>
        <v>0.28442437923250563</v>
      </c>
      <c r="BC81" s="294">
        <f t="shared" si="701"/>
        <v>0.15369649805447461</v>
      </c>
      <c r="BD81" s="294">
        <f t="shared" si="701"/>
        <v>2.5408348457350183E-2</v>
      </c>
      <c r="BE81" s="294">
        <f t="shared" si="701"/>
        <v>0.18629343629343631</v>
      </c>
      <c r="BF81" s="294">
        <f t="shared" si="701"/>
        <v>-6.4147627416520248E-2</v>
      </c>
      <c r="BG81" s="294">
        <f t="shared" si="701"/>
        <v>8.3473861720067433E-2</v>
      </c>
      <c r="BH81" s="294">
        <f t="shared" si="701"/>
        <v>0.21327433628318593</v>
      </c>
      <c r="BI81" s="294">
        <f t="shared" si="701"/>
        <v>0.14564686737184696</v>
      </c>
      <c r="BJ81" s="294">
        <f t="shared" si="701"/>
        <v>0.3408450704225352</v>
      </c>
      <c r="BK81" s="294">
        <f t="shared" si="701"/>
        <v>0.18365758754863815</v>
      </c>
      <c r="BL81" s="294">
        <f t="shared" si="701"/>
        <v>0.11086797957695116</v>
      </c>
      <c r="BM81" s="294">
        <f t="shared" si="701"/>
        <v>0.12997159090909083</v>
      </c>
      <c r="BN81" s="294">
        <f t="shared" si="701"/>
        <v>5.3221288515406195E-2</v>
      </c>
      <c r="BO81" s="294">
        <f t="shared" si="701"/>
        <v>5.1939513477974986E-2</v>
      </c>
      <c r="BP81" s="294">
        <f t="shared" si="701"/>
        <v>9.7833223900196886E-2</v>
      </c>
      <c r="BQ81" s="294">
        <f t="shared" si="701"/>
        <v>6.1596480201131287E-2</v>
      </c>
      <c r="BR81" s="294">
        <f t="shared" si="701"/>
        <v>0.13829787234042556</v>
      </c>
      <c r="BS81" s="294">
        <f t="shared" si="701"/>
        <v>6.2500000000000888E-3</v>
      </c>
      <c r="BT81" s="294">
        <f t="shared" si="701"/>
        <v>7.8947368421052655E-2</v>
      </c>
      <c r="BU81" s="294">
        <f t="shared" si="701"/>
        <v>5.5062166962699832E-2</v>
      </c>
      <c r="BV81" s="294">
        <f t="shared" si="701"/>
        <v>-2.3364485981308358E-2</v>
      </c>
      <c r="BW81" s="294">
        <f t="shared" si="701"/>
        <v>-6.2111801242236142E-3</v>
      </c>
      <c r="BX81" s="294">
        <f t="shared" si="701"/>
        <v>-7.5388026607538849E-2</v>
      </c>
      <c r="BY81" s="294">
        <f t="shared" si="701"/>
        <v>-9.4837261503928127E-2</v>
      </c>
      <c r="BZ81" s="294">
        <f t="shared" si="701"/>
        <v>4.7846889952152249E-3</v>
      </c>
      <c r="CA81" s="294">
        <f t="shared" ref="CA81" si="702">CA3/BW3-1</f>
        <v>0.11187499999999995</v>
      </c>
      <c r="CB81" s="294">
        <f t="shared" ref="CB81" si="703">CB3/BX3-1</f>
        <v>6.714628297362113E-2</v>
      </c>
      <c r="CC81" s="294">
        <f t="shared" ref="CC81" si="704">CC3/BY3-1</f>
        <v>0.10539367637941721</v>
      </c>
      <c r="CD81" s="294">
        <f t="shared" ref="CD81" si="705">CD3/BZ3-1</f>
        <v>-3.3333333333333326E-2</v>
      </c>
      <c r="CE81" s="294">
        <f t="shared" ref="CE81" si="706">CE3/CA3-1</f>
        <v>-6.014614952220354E-2</v>
      </c>
      <c r="CF81" s="294">
        <f t="shared" ref="CF81" si="707">CF3/CB3-1</f>
        <v>-0.1404494382022472</v>
      </c>
      <c r="CG81" s="294">
        <f t="shared" ref="CG81" si="708">CG3/CC3-1</f>
        <v>-7.6275939427930428E-2</v>
      </c>
      <c r="CH81" s="294">
        <f t="shared" ref="CH81" si="709">CH3/CD3-1</f>
        <v>-9.7290640394088634E-2</v>
      </c>
      <c r="CI81" s="294">
        <f t="shared" ref="CI81" si="710">CI3/CE3-1</f>
        <v>-0.16925837320574166</v>
      </c>
      <c r="CJ81" s="294">
        <f t="shared" ref="CJ81" si="711">CJ3/CF3-1</f>
        <v>-0.13725490196078427</v>
      </c>
      <c r="CK81" s="294">
        <f t="shared" ref="CK81" si="712">CK3/CG3-1</f>
        <v>-0.16272009714632663</v>
      </c>
      <c r="CL81" s="294">
        <f t="shared" ref="CL81" si="713">CL3/CH3-1</f>
        <v>-0.155525238744884</v>
      </c>
      <c r="CM81" s="294">
        <f t="shared" ref="CM81:CV82" si="714">+CM3/CI3-1</f>
        <v>-0.20662347012239024</v>
      </c>
      <c r="CN81" s="294">
        <f t="shared" si="714"/>
        <v>-0.16136363636363638</v>
      </c>
      <c r="CO81" s="294">
        <f t="shared" si="714"/>
        <v>-0.17621464829586653</v>
      </c>
      <c r="CP81" s="294">
        <f t="shared" si="714"/>
        <v>-0.16397415185783526</v>
      </c>
      <c r="CQ81" s="294">
        <f t="shared" si="714"/>
        <v>-0.10163339382940106</v>
      </c>
      <c r="CR81" s="294">
        <f t="shared" si="714"/>
        <v>-0.15537488708220415</v>
      </c>
      <c r="CS81" s="294">
        <f t="shared" si="714"/>
        <v>-0.18926056338028174</v>
      </c>
      <c r="CT81" s="294">
        <f t="shared" si="714"/>
        <v>-0.12946859903381647</v>
      </c>
      <c r="CU81" s="294">
        <f t="shared" si="714"/>
        <v>-0.2151515151515152</v>
      </c>
      <c r="CV81" s="294">
        <f t="shared" si="714"/>
        <v>-5.0267379679144408E-2</v>
      </c>
      <c r="CW81" s="294">
        <f t="shared" ref="CW81:DF82" si="715">+CW3/CS3-1</f>
        <v>-0.17372421281216066</v>
      </c>
      <c r="CX81" s="294">
        <f t="shared" si="715"/>
        <v>-0.1520532741398446</v>
      </c>
      <c r="CY81" s="294">
        <f t="shared" si="715"/>
        <v>-0.14671814671814676</v>
      </c>
      <c r="CZ81" s="294">
        <f t="shared" si="715"/>
        <v>-0.27139639639639634</v>
      </c>
      <c r="DA81" s="294">
        <f t="shared" si="715"/>
        <v>-0.26675427069645208</v>
      </c>
      <c r="DB81" s="294">
        <f t="shared" si="715"/>
        <v>-0.37827225130890052</v>
      </c>
      <c r="DC81" s="294">
        <f t="shared" si="715"/>
        <v>-0.26546003016591246</v>
      </c>
      <c r="DD81" s="294">
        <f t="shared" si="715"/>
        <v>-0.28593508500772802</v>
      </c>
      <c r="DE81" s="294">
        <f t="shared" si="715"/>
        <v>-0.1738351254480287</v>
      </c>
      <c r="DF81" s="294">
        <f t="shared" si="715"/>
        <v>-9.6842105263157841E-2</v>
      </c>
      <c r="DG81" s="294">
        <f t="shared" ref="DG81:DG82" si="716">+DG3/DC3-1</f>
        <v>-0.10882956878850103</v>
      </c>
      <c r="DH81" s="294">
        <f t="shared" ref="DH81:DH82" si="717">+DH3/DD3-1</f>
        <v>-0.19999999999999996</v>
      </c>
      <c r="DI81" s="294">
        <f t="shared" ref="DI81:DI82" si="718">+DI3/DE3-1</f>
        <v>-0.19999999999999996</v>
      </c>
      <c r="DJ81" s="294">
        <f t="shared" ref="DJ81:DJ82" si="719">+DJ3/DF3-1</f>
        <v>-0.19999999999999984</v>
      </c>
      <c r="DK81" s="294">
        <f t="shared" ref="DK81:DK82" si="720">+DK3/DG3-1</f>
        <v>-0.19999999999999984</v>
      </c>
      <c r="DL81" s="294">
        <f t="shared" ref="DL81:DL82" si="721">+DL3/DH3-1</f>
        <v>-0.20000000000000007</v>
      </c>
      <c r="DM81" s="294">
        <f t="shared" ref="DM81:DM82" si="722">+DM3/DI3-1</f>
        <v>-0.19999999999999996</v>
      </c>
      <c r="DN81" s="294">
        <f t="shared" ref="DN81:DN82" si="723">+DN3/DJ3-1</f>
        <v>-0.19999999999999996</v>
      </c>
      <c r="DP81" s="245"/>
      <c r="DQ81" s="245"/>
      <c r="DR81" s="245"/>
      <c r="DS81" s="245"/>
      <c r="DT81" s="245"/>
      <c r="DU81" s="245"/>
      <c r="DV81" s="245"/>
      <c r="DW81" s="245"/>
      <c r="DX81" s="245"/>
      <c r="DY81" s="245"/>
      <c r="DZ81" s="245"/>
      <c r="EA81" s="245"/>
      <c r="EB81" s="245"/>
      <c r="EC81" s="246">
        <f t="shared" ref="EC81:FE81" si="724">EC3/EB3-1</f>
        <v>0.79889042995839121</v>
      </c>
      <c r="ED81" s="246">
        <f t="shared" si="724"/>
        <v>0.33384734001542027</v>
      </c>
      <c r="EE81" s="246">
        <f t="shared" si="724"/>
        <v>0.23988439306358389</v>
      </c>
      <c r="EF81" s="246">
        <f t="shared" si="724"/>
        <v>0.18181818181818188</v>
      </c>
      <c r="EG81" s="246">
        <f t="shared" si="724"/>
        <v>0.18895463510848121</v>
      </c>
      <c r="EH81" s="246">
        <f t="shared" si="724"/>
        <v>0.10384870603848717</v>
      </c>
      <c r="EI81" s="246">
        <f t="shared" si="724"/>
        <v>0.12654042681094069</v>
      </c>
      <c r="EJ81" s="246">
        <f t="shared" si="724"/>
        <v>0.14834578441835644</v>
      </c>
      <c r="EK81" s="246">
        <f t="shared" si="724"/>
        <v>7.1096654275093041E-2</v>
      </c>
      <c r="EL81" s="246">
        <f t="shared" si="724"/>
        <v>0.19132321041214762</v>
      </c>
      <c r="EM81" s="246">
        <f t="shared" si="724"/>
        <v>0.11780772032046616</v>
      </c>
      <c r="EN81" s="246">
        <f t="shared" si="724"/>
        <v>8.6984850952923853E-2</v>
      </c>
      <c r="EO81" s="246">
        <f t="shared" si="724"/>
        <v>2.9222238873070516E-2</v>
      </c>
      <c r="EP81" s="246">
        <f t="shared" si="724"/>
        <v>3.0000000000000027E-2</v>
      </c>
      <c r="EQ81" s="246">
        <f t="shared" si="724"/>
        <v>0</v>
      </c>
      <c r="ER81" s="246">
        <f t="shared" si="724"/>
        <v>-1</v>
      </c>
      <c r="ES81" s="246" t="e">
        <f t="shared" si="724"/>
        <v>#DIV/0!</v>
      </c>
      <c r="ET81" s="246">
        <f t="shared" si="724"/>
        <v>-0.17761922643634998</v>
      </c>
      <c r="EU81" s="246">
        <f t="shared" si="724"/>
        <v>-0.14452054794520552</v>
      </c>
      <c r="EV81" s="246">
        <f t="shared" si="724"/>
        <v>-0.14865225513744329</v>
      </c>
      <c r="EW81" s="246">
        <f t="shared" si="724"/>
        <v>-0.26551724137931032</v>
      </c>
      <c r="EX81" s="246">
        <f t="shared" si="724"/>
        <v>-0.21510883482714471</v>
      </c>
      <c r="EY81" s="246">
        <f t="shared" si="724"/>
        <v>-0.17585644371941267</v>
      </c>
      <c r="EZ81" s="246">
        <f t="shared" si="724"/>
        <v>-4.9999999999999933E-2</v>
      </c>
      <c r="FA81" s="246">
        <f t="shared" si="724"/>
        <v>-4.9999999999999933E-2</v>
      </c>
      <c r="FB81" s="246">
        <f t="shared" si="724"/>
        <v>-5.0000000000000044E-2</v>
      </c>
      <c r="FC81" s="246">
        <f t="shared" si="724"/>
        <v>-5.0000000000000044E-2</v>
      </c>
      <c r="FD81" s="246">
        <f t="shared" si="724"/>
        <v>-5.0000000000000044E-2</v>
      </c>
      <c r="FE81" s="246">
        <f t="shared" si="724"/>
        <v>-4.9999999999999933E-2</v>
      </c>
      <c r="FF81" s="246"/>
      <c r="FG81" s="246"/>
      <c r="FH81" s="246"/>
      <c r="FI81" s="246"/>
      <c r="FJ81" s="246"/>
      <c r="FM81" s="1" t="s">
        <v>1245</v>
      </c>
      <c r="FN81" s="295">
        <f>FN80/Main!Q3</f>
        <v>188.78693971334158</v>
      </c>
      <c r="FQ81" s="290"/>
      <c r="FR81" s="290"/>
      <c r="FS81" s="291"/>
      <c r="FT81"/>
      <c r="FU81" s="290"/>
      <c r="FV81" s="290"/>
      <c r="FW81" s="290"/>
    </row>
    <row r="82" spans="1:179" s="279" customFormat="1" ht="12.75" customHeight="1" x14ac:dyDescent="0.2">
      <c r="A82" s="1"/>
      <c r="B82" t="s">
        <v>1632</v>
      </c>
      <c r="C82" s="282"/>
      <c r="D82" s="282"/>
      <c r="E82" s="282"/>
      <c r="F82" s="293"/>
      <c r="G82" s="293"/>
      <c r="H82" s="293"/>
      <c r="I82" s="294"/>
      <c r="J82" s="294"/>
      <c r="K82" s="294"/>
      <c r="L82" s="294"/>
      <c r="M82" s="294"/>
      <c r="N82" s="294"/>
      <c r="O82" s="294"/>
      <c r="P82" s="294"/>
      <c r="Q82" s="294"/>
      <c r="R82" s="294"/>
      <c r="S82" s="294"/>
      <c r="T82" s="294"/>
      <c r="U82" s="294"/>
      <c r="V82" s="294"/>
      <c r="W82" s="294"/>
      <c r="X82" s="294"/>
      <c r="Y82" s="294"/>
      <c r="Z82" s="294"/>
      <c r="AA82" s="294"/>
      <c r="AB82" s="294"/>
      <c r="AC82" s="294"/>
      <c r="AD82" s="294"/>
      <c r="AE82" s="294"/>
      <c r="AF82" s="294"/>
      <c r="AG82" s="294"/>
      <c r="AH82" s="294"/>
      <c r="AI82" s="294"/>
      <c r="AJ82" s="294"/>
      <c r="AK82" s="294"/>
      <c r="AL82" s="294"/>
      <c r="AM82" s="294"/>
      <c r="AN82" s="294"/>
      <c r="AO82" s="294"/>
      <c r="AP82" s="294"/>
      <c r="AQ82" s="294"/>
      <c r="AR82" s="294"/>
      <c r="AS82" s="294"/>
      <c r="AT82" s="294"/>
      <c r="AU82" s="294"/>
      <c r="AV82" s="294"/>
      <c r="AW82" s="294"/>
      <c r="AX82" s="294"/>
      <c r="AY82" s="294"/>
      <c r="AZ82" s="294"/>
      <c r="BA82" s="294"/>
      <c r="BB82" s="294"/>
      <c r="BC82" s="294"/>
      <c r="BD82" s="294"/>
      <c r="BE82" s="294"/>
      <c r="BF82" s="294"/>
      <c r="BG82" s="294"/>
      <c r="BH82" s="294"/>
      <c r="BI82" s="294"/>
      <c r="BJ82" s="294"/>
      <c r="BK82" s="294">
        <f t="shared" ref="BK82:BZ82" si="725">+BK4/BG4-1</f>
        <v>0.22105263157894739</v>
      </c>
      <c r="BL82" s="294">
        <f t="shared" si="725"/>
        <v>0.86567164179104483</v>
      </c>
      <c r="BM82" s="294">
        <f t="shared" si="725"/>
        <v>0.43410852713178305</v>
      </c>
      <c r="BN82" s="294">
        <f t="shared" si="725"/>
        <v>0.52100840336134446</v>
      </c>
      <c r="BO82" s="294">
        <f t="shared" si="725"/>
        <v>1.0431034482758621</v>
      </c>
      <c r="BP82" s="294">
        <f t="shared" si="725"/>
        <v>0.39999999999999991</v>
      </c>
      <c r="BQ82" s="294">
        <f t="shared" si="725"/>
        <v>0.43783783783783781</v>
      </c>
      <c r="BR82" s="294">
        <f t="shared" si="725"/>
        <v>0.40331491712707179</v>
      </c>
      <c r="BS82" s="294">
        <f t="shared" si="725"/>
        <v>9.2827004219409259E-2</v>
      </c>
      <c r="BT82" s="294">
        <f t="shared" si="725"/>
        <v>0.61142857142857143</v>
      </c>
      <c r="BU82" s="294">
        <f t="shared" si="725"/>
        <v>0.1278195488721805</v>
      </c>
      <c r="BV82" s="294">
        <f t="shared" si="725"/>
        <v>0.36220472440944884</v>
      </c>
      <c r="BW82" s="294">
        <f t="shared" si="725"/>
        <v>0.15830115830115821</v>
      </c>
      <c r="BX82" s="294">
        <f t="shared" si="725"/>
        <v>9.219858156028371E-2</v>
      </c>
      <c r="BY82" s="294">
        <f t="shared" si="725"/>
        <v>0.26666666666666661</v>
      </c>
      <c r="BZ82" s="294">
        <f t="shared" si="725"/>
        <v>-1.7341040462427793E-2</v>
      </c>
      <c r="CA82" s="294">
        <f t="shared" ref="CA82" si="726">+CA4/BW4-1</f>
        <v>0.30000000000000004</v>
      </c>
      <c r="CB82" s="294">
        <f t="shared" ref="CB82" si="727">+CB4/BX4-1</f>
        <v>0.45454545454545459</v>
      </c>
      <c r="CC82" s="294">
        <f t="shared" ref="CC82" si="728">+CC4/BY4-1</f>
        <v>0.26578947368421058</v>
      </c>
      <c r="CD82" s="294">
        <f t="shared" ref="CD82" si="729">+CD4/BZ4-1</f>
        <v>0.25294117647058822</v>
      </c>
      <c r="CE82" s="294">
        <f t="shared" ref="CE82" si="730">+CE4/CA4-1</f>
        <v>9.7435897435897534E-2</v>
      </c>
      <c r="CF82" s="294">
        <f t="shared" ref="CF82" si="731">+CF4/CB4-1</f>
        <v>-2.0089285714285698E-2</v>
      </c>
      <c r="CG82" s="294">
        <f t="shared" ref="CG82" si="732">+CG4/CC4-1</f>
        <v>-1.039501039501034E-2</v>
      </c>
      <c r="CH82" s="294">
        <f t="shared" ref="CH82" si="733">+CH4/CD4-1</f>
        <v>0.15023474178403751</v>
      </c>
      <c r="CI82" s="294">
        <f t="shared" ref="CI82" si="734">+CI4/CE4-1</f>
        <v>0.21028037383177578</v>
      </c>
      <c r="CJ82" s="294">
        <f t="shared" ref="CJ82" si="735">+CJ4/CF4-1</f>
        <v>0.24829157175398642</v>
      </c>
      <c r="CK82" s="294">
        <f t="shared" ref="CK82" si="736">+CK4/CG4-1</f>
        <v>0.12605042016806722</v>
      </c>
      <c r="CL82" s="294">
        <f t="shared" ref="CL82" si="737">+CL4/CH4-1</f>
        <v>-1.6326530612244872E-2</v>
      </c>
      <c r="CM82" s="294">
        <f t="shared" si="714"/>
        <v>1.158301158301156E-2</v>
      </c>
      <c r="CN82" s="294">
        <f t="shared" si="714"/>
        <v>2.7372262773722733E-2</v>
      </c>
      <c r="CO82" s="294">
        <f t="shared" si="714"/>
        <v>9.3283582089552342E-2</v>
      </c>
      <c r="CP82" s="294">
        <f t="shared" si="714"/>
        <v>6.846473029045641E-2</v>
      </c>
      <c r="CQ82" s="294">
        <f t="shared" si="714"/>
        <v>9.5419847328244156E-3</v>
      </c>
      <c r="CR82" s="294">
        <f t="shared" si="714"/>
        <v>-3.0195381882770822E-2</v>
      </c>
      <c r="CS82" s="294">
        <f t="shared" si="714"/>
        <v>1.0238907849829282E-2</v>
      </c>
      <c r="CT82" s="294">
        <f t="shared" si="714"/>
        <v>0.11844660194174761</v>
      </c>
      <c r="CU82" s="294">
        <f t="shared" si="714"/>
        <v>6.2381852551984807E-2</v>
      </c>
      <c r="CV82" s="294">
        <f t="shared" si="714"/>
        <v>6.9597069597069572E-2</v>
      </c>
      <c r="CW82" s="294">
        <f t="shared" si="715"/>
        <v>-3.5472972972973027E-2</v>
      </c>
      <c r="CX82" s="294">
        <f t="shared" si="715"/>
        <v>-2.951388888888884E-2</v>
      </c>
      <c r="CY82" s="294">
        <f t="shared" si="715"/>
        <v>1.6014234875444844E-2</v>
      </c>
      <c r="CZ82" s="294">
        <f t="shared" si="715"/>
        <v>-3.082191780821919E-2</v>
      </c>
      <c r="DA82" s="294">
        <f t="shared" si="715"/>
        <v>-4.5534150612959734E-2</v>
      </c>
      <c r="DB82" s="294">
        <f t="shared" si="715"/>
        <v>-0.10375670840787121</v>
      </c>
      <c r="DC82" s="294">
        <f t="shared" si="715"/>
        <v>-5.9544658493870362E-2</v>
      </c>
      <c r="DD82" s="294">
        <f t="shared" si="715"/>
        <v>-6.5371024734982353E-2</v>
      </c>
      <c r="DE82" s="294">
        <f t="shared" si="715"/>
        <v>0.15412844036697249</v>
      </c>
      <c r="DF82" s="294">
        <f t="shared" si="715"/>
        <v>1.9960079840319889E-3</v>
      </c>
      <c r="DG82" s="294">
        <f t="shared" si="716"/>
        <v>3.165735567970196E-2</v>
      </c>
      <c r="DH82" s="294">
        <f t="shared" si="717"/>
        <v>-3.5633270321361099E-2</v>
      </c>
      <c r="DI82" s="294">
        <f t="shared" si="718"/>
        <v>-0.201033386327504</v>
      </c>
      <c r="DJ82" s="294">
        <f t="shared" si="719"/>
        <v>0.19033864541832668</v>
      </c>
      <c r="DK82" s="294">
        <f t="shared" si="720"/>
        <v>-0.1391696750902528</v>
      </c>
      <c r="DL82" s="294">
        <f t="shared" si="721"/>
        <v>3.165735567970196E-2</v>
      </c>
      <c r="DM82" s="294">
        <f t="shared" si="722"/>
        <v>-3.5633270321360988E-2</v>
      </c>
      <c r="DN82" s="294">
        <f t="shared" si="723"/>
        <v>-0.201033386327504</v>
      </c>
      <c r="DP82" s="245"/>
      <c r="DQ82" s="245"/>
      <c r="DR82" s="245"/>
      <c r="DS82" s="245"/>
      <c r="DT82" s="245"/>
      <c r="DU82" s="245"/>
      <c r="DV82" s="245"/>
      <c r="DW82" s="245"/>
      <c r="DX82" s="245"/>
      <c r="DY82" s="245"/>
      <c r="DZ82" s="245"/>
      <c r="EA82" s="245"/>
      <c r="EB82" s="245"/>
      <c r="EC82" s="246"/>
      <c r="ED82" s="246"/>
      <c r="EE82" s="246"/>
      <c r="EF82" s="246"/>
      <c r="EG82" s="246"/>
      <c r="EH82" s="246"/>
      <c r="EI82" s="265" t="s">
        <v>1315</v>
      </c>
      <c r="EJ82" s="265" t="s">
        <v>1315</v>
      </c>
      <c r="EK82" s="265" t="s">
        <v>1315</v>
      </c>
      <c r="EL82" s="265" t="s">
        <v>1315</v>
      </c>
      <c r="EM82" s="246">
        <f t="shared" ref="EM82:EY82" si="738">EM4/EL4-1</f>
        <v>0.48048780487804876</v>
      </c>
      <c r="EN82" s="246">
        <f t="shared" si="738"/>
        <v>0.53542009884678743</v>
      </c>
      <c r="EO82" s="246">
        <f t="shared" si="738"/>
        <v>0.2736051502145922</v>
      </c>
      <c r="EP82" s="246">
        <f t="shared" si="738"/>
        <v>0.10000000000000009</v>
      </c>
      <c r="EQ82" s="246">
        <f t="shared" si="738"/>
        <v>5.0000000000000044E-2</v>
      </c>
      <c r="ER82" s="246">
        <f t="shared" si="738"/>
        <v>-1</v>
      </c>
      <c r="ES82" s="246" t="e">
        <f t="shared" si="738"/>
        <v>#DIV/0!</v>
      </c>
      <c r="ET82" s="246">
        <f t="shared" si="738"/>
        <v>4.9904030710172798E-2</v>
      </c>
      <c r="EU82" s="246">
        <f t="shared" si="738"/>
        <v>2.5137111517367527E-2</v>
      </c>
      <c r="EV82" s="246">
        <f t="shared" si="738"/>
        <v>1.471243869817207E-2</v>
      </c>
      <c r="EW82" s="246">
        <f t="shared" si="738"/>
        <v>-4.0861159929701185E-2</v>
      </c>
      <c r="EX82" s="246">
        <f t="shared" si="738"/>
        <v>6.4131928538708749E-3</v>
      </c>
      <c r="EY82" s="246">
        <f t="shared" si="738"/>
        <v>-1.4906690942193879E-2</v>
      </c>
      <c r="EZ82" s="246"/>
      <c r="FA82" s="246"/>
      <c r="FB82" s="246"/>
      <c r="FC82" s="246"/>
      <c r="FD82" s="246"/>
      <c r="FE82" s="246"/>
      <c r="FF82" s="246"/>
      <c r="FG82" s="246"/>
      <c r="FH82" s="246"/>
      <c r="FI82" s="246"/>
      <c r="FJ82" s="246"/>
      <c r="FM82" t="s">
        <v>1244</v>
      </c>
      <c r="FN82" s="3">
        <f>FN81/170-1</f>
        <v>0.11051141007847987</v>
      </c>
      <c r="FQ82" s="290"/>
      <c r="FR82" s="290"/>
      <c r="FS82" s="291"/>
      <c r="FT82"/>
      <c r="FU82" s="290"/>
      <c r="FV82" s="290"/>
      <c r="FW82" s="290"/>
    </row>
    <row r="83" spans="1:179" s="279" customFormat="1" ht="12.75" customHeight="1" x14ac:dyDescent="0.2">
      <c r="A83" s="1"/>
      <c r="B83" t="s">
        <v>1631</v>
      </c>
      <c r="C83" s="282"/>
      <c r="D83" s="282"/>
      <c r="E83" s="282"/>
      <c r="F83" s="293"/>
      <c r="G83" s="293"/>
      <c r="H83" s="293"/>
      <c r="I83" s="294"/>
      <c r="J83" s="294"/>
      <c r="K83" s="294"/>
      <c r="L83" s="294"/>
      <c r="M83" s="294"/>
      <c r="N83" s="294"/>
      <c r="O83" s="294"/>
      <c r="P83" s="294"/>
      <c r="Q83" s="294"/>
      <c r="R83" s="294"/>
      <c r="S83" s="294"/>
      <c r="T83" s="294"/>
      <c r="U83" s="294"/>
      <c r="V83" s="294"/>
      <c r="W83" s="294"/>
      <c r="X83" s="294"/>
      <c r="Y83" s="294"/>
      <c r="Z83" s="294"/>
      <c r="AA83" s="294"/>
      <c r="AB83" s="294"/>
      <c r="AC83" s="294"/>
      <c r="AD83" s="294"/>
      <c r="AE83" s="294"/>
      <c r="AF83" s="294"/>
      <c r="AG83" s="294"/>
      <c r="AH83" s="294"/>
      <c r="AI83" s="294"/>
      <c r="AJ83" s="294"/>
      <c r="AK83" s="294"/>
      <c r="AL83" s="294"/>
      <c r="AM83" s="294"/>
      <c r="AN83" s="294"/>
      <c r="AO83" s="294"/>
      <c r="AP83" s="294"/>
      <c r="AQ83" s="294"/>
      <c r="AR83" s="294"/>
      <c r="AS83" s="294"/>
      <c r="AT83" s="294"/>
      <c r="AU83" s="294"/>
      <c r="AV83" s="294"/>
      <c r="AW83" s="294"/>
      <c r="AX83" s="294"/>
      <c r="AY83" s="294"/>
      <c r="AZ83" s="294"/>
      <c r="BA83" s="294"/>
      <c r="BB83" s="294"/>
      <c r="BC83" s="294"/>
      <c r="BD83" s="294"/>
      <c r="BE83" s="294"/>
      <c r="BF83" s="294"/>
      <c r="BG83" s="294"/>
      <c r="BH83" s="294"/>
      <c r="BI83" s="294" t="s">
        <v>1315</v>
      </c>
      <c r="BJ83" s="294" t="s">
        <v>1315</v>
      </c>
      <c r="BK83" s="294">
        <f t="shared" ref="BK83:BZ83" si="739">+BK6/BG6-1</f>
        <v>0.33132530120481918</v>
      </c>
      <c r="BL83" s="294">
        <f t="shared" si="739"/>
        <v>0.40909090909090917</v>
      </c>
      <c r="BM83" s="294">
        <f t="shared" si="739"/>
        <v>0.5185185185185186</v>
      </c>
      <c r="BN83" s="294">
        <f t="shared" si="739"/>
        <v>0.29951690821256038</v>
      </c>
      <c r="BO83" s="294">
        <f t="shared" si="739"/>
        <v>0.56561085972850678</v>
      </c>
      <c r="BP83" s="294">
        <f t="shared" si="739"/>
        <v>0.49596774193548376</v>
      </c>
      <c r="BQ83" s="294">
        <f t="shared" si="739"/>
        <v>0.28919860627177707</v>
      </c>
      <c r="BR83" s="294">
        <f t="shared" si="739"/>
        <v>0.55018587360594795</v>
      </c>
      <c r="BS83" s="294">
        <f t="shared" si="739"/>
        <v>0.31791907514450868</v>
      </c>
      <c r="BT83" s="294">
        <f t="shared" si="739"/>
        <v>0.42318059299191368</v>
      </c>
      <c r="BU83" s="294">
        <f t="shared" si="739"/>
        <v>0.46756756756756768</v>
      </c>
      <c r="BV83" s="294">
        <f t="shared" si="739"/>
        <v>0.30695443645083942</v>
      </c>
      <c r="BW83" s="294">
        <f t="shared" si="739"/>
        <v>0.20394736842105265</v>
      </c>
      <c r="BX83" s="294">
        <f t="shared" si="739"/>
        <v>7.9545454545454586E-2</v>
      </c>
      <c r="BY83" s="294">
        <f t="shared" si="739"/>
        <v>0.1289134438305708</v>
      </c>
      <c r="BZ83" s="294">
        <f t="shared" si="739"/>
        <v>0.36146788990825685</v>
      </c>
      <c r="CA83" s="294">
        <f t="shared" ref="CA83" si="740">+CA6/BW6-1</f>
        <v>0.33879781420765021</v>
      </c>
      <c r="CB83" s="294">
        <f t="shared" ref="CB83" si="741">+CB6/BX6-1</f>
        <v>0.41052631578947363</v>
      </c>
      <c r="CC83" s="294">
        <f t="shared" ref="CC83" si="742">+CC6/BY6-1</f>
        <v>0.32789559543230018</v>
      </c>
      <c r="CD83" s="294">
        <f t="shared" ref="CD83" si="743">+CD6/BZ6-1</f>
        <v>0.18463611859838269</v>
      </c>
      <c r="CE83" s="294">
        <f t="shared" ref="CE83" si="744">+CE6/CA6-1</f>
        <v>0.11972789115646254</v>
      </c>
      <c r="CF83" s="294">
        <f t="shared" ref="CF83" si="745">+CF6/CB6-1</f>
        <v>0.22263681592039797</v>
      </c>
      <c r="CG83" s="294">
        <f t="shared" ref="CG83" si="746">+CG6/CC6-1</f>
        <v>0.38083538083538082</v>
      </c>
      <c r="CH83" s="294">
        <f t="shared" ref="CH83" si="747">+CH6/CD6-1</f>
        <v>0.22980659840728102</v>
      </c>
      <c r="CI83" s="294">
        <f t="shared" ref="CI83" si="748">+CI6/CE6-1</f>
        <v>0.28918590522478738</v>
      </c>
      <c r="CJ83" s="294">
        <f t="shared" ref="CJ83" si="749">+CJ6/CF6-1</f>
        <v>0.36419125127161744</v>
      </c>
      <c r="CK83" s="294">
        <f t="shared" ref="CK83" si="750">+CK6/CG6-1</f>
        <v>0.16548042704626331</v>
      </c>
      <c r="CL83" s="294">
        <f t="shared" ref="CL83" si="751">+CL6/CH6-1</f>
        <v>0.3358001850138761</v>
      </c>
      <c r="CM83" s="294">
        <f t="shared" ref="CM83:DG83" si="752">+CM6/CI6-1</f>
        <v>0.32422243166823761</v>
      </c>
      <c r="CN83" s="294">
        <f t="shared" si="752"/>
        <v>0.16181953765846391</v>
      </c>
      <c r="CO83" s="294">
        <f t="shared" si="752"/>
        <v>0.29618320610687032</v>
      </c>
      <c r="CP83" s="294">
        <f t="shared" si="752"/>
        <v>0.17728531855955687</v>
      </c>
      <c r="CQ83" s="294">
        <f t="shared" si="752"/>
        <v>0.29466192170818495</v>
      </c>
      <c r="CR83" s="294">
        <f t="shared" si="752"/>
        <v>8.9216944801026932E-2</v>
      </c>
      <c r="CS83" s="294">
        <f t="shared" si="752"/>
        <v>0.14664310954063597</v>
      </c>
      <c r="CT83" s="294">
        <f t="shared" si="752"/>
        <v>0.32000000000000006</v>
      </c>
      <c r="CU83" s="294">
        <f t="shared" si="752"/>
        <v>0.18086860912589331</v>
      </c>
      <c r="CV83" s="294">
        <f t="shared" si="752"/>
        <v>0.34001178550383027</v>
      </c>
      <c r="CW83" s="294">
        <f t="shared" si="752"/>
        <v>0.2213662044170519</v>
      </c>
      <c r="CX83" s="294">
        <f t="shared" si="752"/>
        <v>4.0106951871657692E-2</v>
      </c>
      <c r="CY83" s="294">
        <f t="shared" si="752"/>
        <v>6.5176908752327734E-2</v>
      </c>
      <c r="CZ83" s="294">
        <f t="shared" si="752"/>
        <v>0.14291996481970104</v>
      </c>
      <c r="DA83" s="294">
        <f t="shared" si="752"/>
        <v>2.9857022708158043E-2</v>
      </c>
      <c r="DB83" s="294">
        <f t="shared" si="752"/>
        <v>2.227934875749793E-2</v>
      </c>
      <c r="DC83" s="294">
        <f t="shared" si="752"/>
        <v>6.8181818181818121E-2</v>
      </c>
      <c r="DD83" s="294">
        <f t="shared" si="752"/>
        <v>7.6183147364370818E-2</v>
      </c>
      <c r="DE83" s="294">
        <f t="shared" si="752"/>
        <v>0.16945692119232336</v>
      </c>
      <c r="DF83" s="294">
        <f t="shared" si="752"/>
        <v>0.15381391450125736</v>
      </c>
      <c r="DG83" s="294">
        <f t="shared" si="752"/>
        <v>2.864157119476296E-3</v>
      </c>
      <c r="DH83" s="294">
        <f t="shared" ref="DH83" si="753">+DH6/DD6-1</f>
        <v>-9.9999999999999978E-2</v>
      </c>
      <c r="DI83" s="294">
        <f t="shared" ref="DI83" si="754">+DI6/DE6-1</f>
        <v>-9.9999999999999978E-2</v>
      </c>
      <c r="DJ83" s="294">
        <f t="shared" ref="DJ83" si="755">+DJ6/DF6-1</f>
        <v>-9.9999999999999867E-2</v>
      </c>
      <c r="DK83" s="294">
        <f t="shared" ref="DK83" si="756">+DK6/DG6-1</f>
        <v>-9.9999999999999978E-2</v>
      </c>
      <c r="DL83" s="294">
        <f t="shared" ref="DL83" si="757">+DL6/DH6-1</f>
        <v>-9.9999999999999978E-2</v>
      </c>
      <c r="DM83" s="294">
        <f t="shared" ref="DM83" si="758">+DM6/DI6-1</f>
        <v>-9.9999999999999867E-2</v>
      </c>
      <c r="DN83" s="294">
        <f t="shared" ref="DN83" si="759">+DN6/DJ6-1</f>
        <v>-9.9999999999999978E-2</v>
      </c>
      <c r="DP83" s="245"/>
      <c r="DQ83" s="245"/>
      <c r="DR83" s="245"/>
      <c r="DS83" s="245"/>
      <c r="DT83" s="245"/>
      <c r="DU83" s="245"/>
      <c r="DV83" s="245"/>
      <c r="DW83" s="245"/>
      <c r="DX83" s="245"/>
      <c r="DY83" s="245"/>
      <c r="DZ83" s="245"/>
      <c r="EA83" s="245"/>
      <c r="EB83" s="245"/>
      <c r="EC83" s="246"/>
      <c r="ED83" s="246"/>
      <c r="EE83" s="246"/>
      <c r="EF83" s="246"/>
      <c r="EG83" s="246"/>
      <c r="EH83" s="246"/>
      <c r="EI83" s="246"/>
      <c r="EJ83" s="246"/>
      <c r="EK83" s="265" t="s">
        <v>1315</v>
      </c>
      <c r="EL83" s="265" t="s">
        <v>1315</v>
      </c>
      <c r="EM83" s="246">
        <f t="shared" ref="EM83:EY83" si="760">EM6/EL6-1</f>
        <v>0.38888888888888884</v>
      </c>
      <c r="EN83" s="246">
        <f t="shared" si="760"/>
        <v>0.46731707317073168</v>
      </c>
      <c r="EO83" s="246">
        <f t="shared" si="760"/>
        <v>0.37765957446808507</v>
      </c>
      <c r="EP83" s="246">
        <f t="shared" si="760"/>
        <v>0.14999999999999991</v>
      </c>
      <c r="EQ83" s="246">
        <f t="shared" si="760"/>
        <v>-1</v>
      </c>
      <c r="ER83" s="246" t="e">
        <f t="shared" si="760"/>
        <v>#DIV/0!</v>
      </c>
      <c r="ES83" s="246" t="e">
        <f t="shared" si="760"/>
        <v>#DIV/0!</v>
      </c>
      <c r="ET83" s="246">
        <f t="shared" si="760"/>
        <v>0.23370830100853368</v>
      </c>
      <c r="EU83" s="246">
        <f t="shared" si="760"/>
        <v>0.21160194937902843</v>
      </c>
      <c r="EV83" s="246">
        <f t="shared" si="760"/>
        <v>0.18515635136888542</v>
      </c>
      <c r="EW83" s="246">
        <f t="shared" si="760"/>
        <v>6.4374863148675354E-2</v>
      </c>
      <c r="EX83" s="246">
        <f t="shared" si="760"/>
        <v>0.1168483851059452</v>
      </c>
      <c r="EY83" s="246">
        <f t="shared" si="760"/>
        <v>-7.684656474488849E-2</v>
      </c>
      <c r="EZ83" s="246"/>
      <c r="FA83" s="246"/>
      <c r="FB83" s="246"/>
      <c r="FC83" s="246"/>
      <c r="FD83" s="246"/>
      <c r="FE83" s="246"/>
      <c r="FF83" s="246"/>
      <c r="FG83" s="246"/>
      <c r="FH83" s="246"/>
      <c r="FI83" s="246"/>
      <c r="FJ83" s="246"/>
      <c r="FM83"/>
      <c r="FN83" s="292"/>
      <c r="FQ83" s="290"/>
      <c r="FR83" s="290"/>
      <c r="FS83" s="291"/>
      <c r="FT83"/>
      <c r="FU83" s="290"/>
      <c r="FV83" s="290"/>
      <c r="FW83" s="290"/>
    </row>
    <row r="84" spans="1:179" s="279" customFormat="1" ht="12.75" customHeight="1" x14ac:dyDescent="0.2">
      <c r="A84" s="1"/>
      <c r="B84" t="s">
        <v>1693</v>
      </c>
      <c r="C84" s="282"/>
      <c r="D84" s="282"/>
      <c r="E84" s="282"/>
      <c r="F84" s="293"/>
      <c r="G84" s="293"/>
      <c r="H84" s="293"/>
      <c r="I84" s="294"/>
      <c r="J84" s="294"/>
      <c r="K84" s="294"/>
      <c r="L84" s="294"/>
      <c r="M84" s="294"/>
      <c r="N84" s="294"/>
      <c r="O84" s="294"/>
      <c r="P84" s="294"/>
      <c r="Q84" s="294"/>
      <c r="R84" s="294"/>
      <c r="S84" s="294"/>
      <c r="T84" s="294"/>
      <c r="U84" s="294"/>
      <c r="V84" s="294"/>
      <c r="W84" s="294"/>
      <c r="X84" s="294"/>
      <c r="Y84" s="294"/>
      <c r="Z84" s="294"/>
      <c r="AA84" s="294"/>
      <c r="AB84" s="294"/>
      <c r="AC84" s="294"/>
      <c r="AD84" s="294"/>
      <c r="AE84" s="294"/>
      <c r="AF84" s="294"/>
      <c r="AG84" s="294"/>
      <c r="AH84" s="294"/>
      <c r="AI84" s="294"/>
      <c r="AJ84" s="294"/>
      <c r="AK84" s="294"/>
      <c r="AL84" s="294"/>
      <c r="AM84" s="294"/>
      <c r="AN84" s="294"/>
      <c r="AO84" s="294"/>
      <c r="AP84" s="294"/>
      <c r="AQ84" s="294"/>
      <c r="AR84" s="294"/>
      <c r="AS84" s="294"/>
      <c r="AT84" s="294"/>
      <c r="AU84" s="294"/>
      <c r="AV84" s="294"/>
      <c r="AW84" s="294"/>
      <c r="AX84" s="294"/>
      <c r="AY84" s="294"/>
      <c r="AZ84" s="294"/>
      <c r="BA84" s="294"/>
      <c r="BB84" s="294"/>
      <c r="BC84" s="294"/>
      <c r="BD84" s="294"/>
      <c r="BE84" s="294"/>
      <c r="BF84" s="294"/>
      <c r="BG84" s="294"/>
      <c r="BH84" s="294"/>
      <c r="BI84" s="294"/>
      <c r="BJ84" s="294"/>
      <c r="BK84" s="294"/>
      <c r="BL84" s="294"/>
      <c r="BM84" s="294"/>
      <c r="BN84" s="294"/>
      <c r="BO84" s="294"/>
      <c r="BP84" s="294"/>
      <c r="BQ84" s="294"/>
      <c r="BR84" s="294"/>
      <c r="BS84" s="294"/>
      <c r="BT84" s="294"/>
      <c r="BU84" s="294"/>
      <c r="BV84" s="294"/>
      <c r="BW84" s="294"/>
      <c r="BX84" s="294"/>
      <c r="BY84" s="294"/>
      <c r="BZ84" s="294"/>
      <c r="CA84" s="294"/>
      <c r="CB84" s="294"/>
      <c r="CC84" s="294"/>
      <c r="CD84" s="294"/>
      <c r="CE84" s="294"/>
      <c r="CF84" s="294"/>
      <c r="CG84" s="294"/>
      <c r="CH84" s="294"/>
      <c r="CI84" s="294"/>
      <c r="CJ84" s="294"/>
      <c r="CK84" s="294"/>
      <c r="CL84" s="294">
        <f t="shared" ref="CL84" si="761">+CL5/CH5-1</f>
        <v>2.7234042553191489</v>
      </c>
      <c r="CM84" s="294">
        <f t="shared" ref="CM84:DG84" si="762">+CM5/CI5-1</f>
        <v>2.0138888888888888</v>
      </c>
      <c r="CN84" s="294">
        <f t="shared" si="762"/>
        <v>0.86507936507936511</v>
      </c>
      <c r="CO84" s="294">
        <f t="shared" si="762"/>
        <v>0.69590643274853803</v>
      </c>
      <c r="CP84" s="294">
        <f t="shared" si="762"/>
        <v>0.54285714285714293</v>
      </c>
      <c r="CQ84" s="294">
        <f t="shared" si="762"/>
        <v>0.3640552995391706</v>
      </c>
      <c r="CR84" s="294">
        <f t="shared" si="762"/>
        <v>0.45531914893617031</v>
      </c>
      <c r="CS84" s="294">
        <f t="shared" si="762"/>
        <v>0.12758620689655165</v>
      </c>
      <c r="CT84" s="294">
        <f t="shared" si="762"/>
        <v>0.41481481481481475</v>
      </c>
      <c r="CU84" s="294">
        <f t="shared" si="762"/>
        <v>0.41216216216216206</v>
      </c>
      <c r="CV84" s="294">
        <f t="shared" si="762"/>
        <v>0.40058479532163749</v>
      </c>
      <c r="CW84" s="294">
        <f t="shared" si="762"/>
        <v>0.64220183486238525</v>
      </c>
      <c r="CX84" s="294">
        <f t="shared" si="762"/>
        <v>0.81413612565445037</v>
      </c>
      <c r="CY84" s="294">
        <f t="shared" si="762"/>
        <v>0.41148325358851667</v>
      </c>
      <c r="CZ84" s="294">
        <f t="shared" si="762"/>
        <v>0.24634655532359084</v>
      </c>
      <c r="DA84" s="294">
        <f t="shared" si="762"/>
        <v>0.35754189944134085</v>
      </c>
      <c r="DB84" s="294">
        <f t="shared" si="762"/>
        <v>8.5137085137085178E-2</v>
      </c>
      <c r="DC84" s="294">
        <f t="shared" si="762"/>
        <v>8.4745762711864403E-2</v>
      </c>
      <c r="DD84" s="294">
        <f t="shared" si="762"/>
        <v>0.18257956448911217</v>
      </c>
      <c r="DE84" s="294">
        <f t="shared" si="762"/>
        <v>0.22222222222222232</v>
      </c>
      <c r="DF84" s="294">
        <f t="shared" si="762"/>
        <v>0.21010638297872331</v>
      </c>
      <c r="DG84" s="294">
        <f t="shared" si="762"/>
        <v>0.26249999999999996</v>
      </c>
      <c r="DH84" s="294">
        <f t="shared" ref="DH84" si="763">+DH5/DD5-1</f>
        <v>0.25</v>
      </c>
      <c r="DI84" s="294">
        <f t="shared" ref="DI84" si="764">+DI5/DE5-1</f>
        <v>0.25</v>
      </c>
      <c r="DJ84" s="294">
        <f t="shared" ref="DJ84" si="765">+DJ5/DF5-1</f>
        <v>0.25</v>
      </c>
      <c r="DK84" s="294">
        <f t="shared" ref="DK84" si="766">+DK5/DG5-1</f>
        <v>0.25</v>
      </c>
      <c r="DL84" s="294">
        <f t="shared" ref="DL84" si="767">+DL5/DH5-1</f>
        <v>0.25</v>
      </c>
      <c r="DM84" s="294">
        <f t="shared" ref="DM84" si="768">+DM5/DI5-1</f>
        <v>0.25</v>
      </c>
      <c r="DN84" s="294">
        <f t="shared" ref="DN84" si="769">+DN5/DJ5-1</f>
        <v>0.25</v>
      </c>
      <c r="DP84" s="245"/>
      <c r="DQ84" s="245"/>
      <c r="DR84" s="245"/>
      <c r="DS84" s="245"/>
      <c r="DT84" s="245"/>
      <c r="DU84" s="245"/>
      <c r="DV84" s="245"/>
      <c r="DW84" s="245"/>
      <c r="DX84" s="245"/>
      <c r="DY84" s="245"/>
      <c r="DZ84" s="245"/>
      <c r="EA84" s="245"/>
      <c r="EB84" s="245"/>
      <c r="EC84" s="246"/>
      <c r="ED84" s="246"/>
      <c r="EE84" s="246"/>
      <c r="EF84" s="246"/>
      <c r="EG84" s="246"/>
      <c r="EH84" s="246"/>
      <c r="EI84" s="246"/>
      <c r="EJ84" s="246"/>
      <c r="EK84" s="265"/>
      <c r="EL84" s="265"/>
      <c r="EM84" s="246"/>
      <c r="EN84" s="246"/>
      <c r="EO84" s="246"/>
      <c r="EP84" s="246"/>
      <c r="EQ84" s="246"/>
      <c r="ER84" s="246"/>
      <c r="ES84" s="246"/>
      <c r="ET84" s="246"/>
      <c r="EU84" s="246"/>
      <c r="EV84" s="246"/>
      <c r="EW84" s="246"/>
      <c r="EX84" s="246"/>
      <c r="EY84" s="246"/>
      <c r="EZ84" s="246"/>
      <c r="FA84" s="246"/>
      <c r="FB84" s="246"/>
      <c r="FC84" s="246"/>
      <c r="FD84" s="246"/>
      <c r="FE84" s="246"/>
      <c r="FF84" s="246"/>
      <c r="FG84" s="246"/>
      <c r="FH84" s="246"/>
      <c r="FI84" s="246"/>
      <c r="FJ84" s="246"/>
      <c r="FM84"/>
      <c r="FN84" s="292"/>
      <c r="FQ84" s="290"/>
      <c r="FR84" s="290"/>
      <c r="FS84" s="291"/>
      <c r="FT84"/>
      <c r="FU84" s="290"/>
      <c r="FV84" s="290"/>
      <c r="FW84" s="290"/>
    </row>
    <row r="85" spans="1:179" s="279" customFormat="1" ht="12.75" customHeight="1" x14ac:dyDescent="0.2">
      <c r="A85" s="1"/>
      <c r="B85" t="s">
        <v>1694</v>
      </c>
      <c r="C85" s="282"/>
      <c r="D85" s="282"/>
      <c r="E85" s="282"/>
      <c r="F85" s="293"/>
      <c r="G85" s="293"/>
      <c r="H85" s="293"/>
      <c r="I85" s="294"/>
      <c r="J85" s="294"/>
      <c r="K85" s="294"/>
      <c r="L85" s="294"/>
      <c r="M85" s="294"/>
      <c r="N85" s="294"/>
      <c r="O85" s="294"/>
      <c r="P85" s="294"/>
      <c r="Q85" s="294"/>
      <c r="R85" s="294"/>
      <c r="S85" s="294"/>
      <c r="T85" s="294"/>
      <c r="U85" s="294"/>
      <c r="V85" s="294"/>
      <c r="W85" s="294"/>
      <c r="X85" s="294"/>
      <c r="Y85" s="294"/>
      <c r="Z85" s="294"/>
      <c r="AA85" s="294"/>
      <c r="AB85" s="294"/>
      <c r="AC85" s="294"/>
      <c r="AD85" s="294"/>
      <c r="AE85" s="294"/>
      <c r="AF85" s="294"/>
      <c r="AG85" s="294"/>
      <c r="AH85" s="294"/>
      <c r="AI85" s="294"/>
      <c r="AJ85" s="294"/>
      <c r="AK85" s="294"/>
      <c r="AL85" s="294"/>
      <c r="AM85" s="294"/>
      <c r="AN85" s="294"/>
      <c r="AO85" s="294"/>
      <c r="AP85" s="294"/>
      <c r="AQ85" s="294"/>
      <c r="AR85" s="294"/>
      <c r="AS85" s="294"/>
      <c r="AT85" s="294"/>
      <c r="AU85" s="294"/>
      <c r="AV85" s="294"/>
      <c r="AW85" s="294"/>
      <c r="AX85" s="294"/>
      <c r="AY85" s="294"/>
      <c r="AZ85" s="294"/>
      <c r="BA85" s="294"/>
      <c r="BB85" s="294"/>
      <c r="BC85" s="294"/>
      <c r="BD85" s="294"/>
      <c r="BE85" s="294"/>
      <c r="BF85" s="294"/>
      <c r="BG85" s="294"/>
      <c r="BH85" s="294"/>
      <c r="BI85" s="294"/>
      <c r="BJ85" s="294"/>
      <c r="BK85" s="294"/>
      <c r="BL85" s="294"/>
      <c r="BM85" s="294"/>
      <c r="BN85" s="294"/>
      <c r="BO85" s="294"/>
      <c r="BP85" s="294"/>
      <c r="BQ85" s="294"/>
      <c r="BR85" s="294"/>
      <c r="BS85" s="294"/>
      <c r="BT85" s="294"/>
      <c r="BU85" s="294"/>
      <c r="BV85" s="294"/>
      <c r="BW85" s="294"/>
      <c r="BX85" s="294"/>
      <c r="BY85" s="294"/>
      <c r="BZ85" s="294"/>
      <c r="CA85" s="294"/>
      <c r="CB85" s="294"/>
      <c r="CC85" s="294"/>
      <c r="CD85" s="294"/>
      <c r="CE85" s="294"/>
      <c r="CF85" s="294">
        <f t="shared" ref="CF85" si="770">CF11/CB11-1</f>
        <v>-2.024922118380057E-2</v>
      </c>
      <c r="CG85" s="294">
        <f t="shared" ref="CG85" si="771">CG11/CC11-1</f>
        <v>0</v>
      </c>
      <c r="CH85" s="294">
        <f t="shared" ref="CH85" si="772">CH11/CD11-1</f>
        <v>8.1123244929797167E-2</v>
      </c>
      <c r="CI85" s="294">
        <f t="shared" ref="CI85" si="773">CI11/CE11-1</f>
        <v>0.15231788079470188</v>
      </c>
      <c r="CJ85" s="294">
        <f t="shared" ref="CJ85" si="774">CJ11/CF11-1</f>
        <v>0.14467408585055641</v>
      </c>
      <c r="CK85" s="294">
        <f t="shared" ref="CK85" si="775">CK11/CG11-1</f>
        <v>0.16485225505443224</v>
      </c>
      <c r="CL85" s="294">
        <f t="shared" ref="CL85" si="776">CL11/CH11-1</f>
        <v>0.10101010101010099</v>
      </c>
      <c r="CM85" s="294">
        <f t="shared" ref="CM85:DG85" si="777">CM11/CI11-1</f>
        <v>0.13505747126436773</v>
      </c>
      <c r="CN85" s="294">
        <f t="shared" si="777"/>
        <v>0.13611111111111107</v>
      </c>
      <c r="CO85" s="294">
        <f t="shared" si="777"/>
        <v>0.13618157543391196</v>
      </c>
      <c r="CP85" s="294">
        <f t="shared" si="777"/>
        <v>0.1415465268676277</v>
      </c>
      <c r="CQ85" s="294">
        <f t="shared" si="777"/>
        <v>0.11772151898734173</v>
      </c>
      <c r="CR85" s="294">
        <f t="shared" si="777"/>
        <v>7.457212713936423E-2</v>
      </c>
      <c r="CS85" s="294">
        <f t="shared" si="777"/>
        <v>8.8131609870740313E-2</v>
      </c>
      <c r="CT85" s="294">
        <f t="shared" si="777"/>
        <v>0.10792192881745111</v>
      </c>
      <c r="CU85" s="294">
        <f t="shared" si="777"/>
        <v>9.2865232163080513E-2</v>
      </c>
      <c r="CV85" s="294">
        <f t="shared" si="777"/>
        <v>0.16496018202502838</v>
      </c>
      <c r="CW85" s="294">
        <f t="shared" si="777"/>
        <v>8.4233261339092813E-2</v>
      </c>
      <c r="CX85" s="294">
        <f t="shared" si="777"/>
        <v>6.6321243523316031E-2</v>
      </c>
      <c r="CY85" s="294">
        <f t="shared" si="777"/>
        <v>8.6010362694300513E-2</v>
      </c>
      <c r="CZ85" s="294">
        <f t="shared" si="777"/>
        <v>2.9296875E-2</v>
      </c>
      <c r="DA85" s="294">
        <f t="shared" si="777"/>
        <v>2.6892430278884438E-2</v>
      </c>
      <c r="DB85" s="294">
        <f t="shared" si="777"/>
        <v>-2.0408163265306145E-2</v>
      </c>
      <c r="DC85" s="294">
        <f t="shared" si="777"/>
        <v>-3.8167938931297218E-3</v>
      </c>
      <c r="DD85" s="294">
        <f t="shared" si="777"/>
        <v>-2.1821631878557901E-2</v>
      </c>
      <c r="DE85" s="294">
        <f t="shared" si="777"/>
        <v>-1.9398642095053154E-3</v>
      </c>
      <c r="DF85" s="294">
        <f t="shared" si="777"/>
        <v>2.9761904761904656E-3</v>
      </c>
      <c r="DG85" s="294">
        <f t="shared" si="777"/>
        <v>1.1494252873563315E-2</v>
      </c>
      <c r="DH85" s="294">
        <f t="shared" ref="DH85" si="778">DH11/DD11-1</f>
        <v>1.0000000000000009E-2</v>
      </c>
      <c r="DI85" s="294">
        <f t="shared" ref="DI85" si="779">DI11/DE11-1</f>
        <v>1.0000000000000009E-2</v>
      </c>
      <c r="DJ85" s="294">
        <f t="shared" ref="DJ85" si="780">DJ11/DF11-1</f>
        <v>1.0000000000000009E-2</v>
      </c>
      <c r="DK85" s="294">
        <f t="shared" ref="DK85" si="781">DK11/DG11-1</f>
        <v>1.0000000000000009E-2</v>
      </c>
      <c r="DL85" s="294">
        <f t="shared" ref="DL85" si="782">DL11/DH11-1</f>
        <v>1.0000000000000009E-2</v>
      </c>
      <c r="DM85" s="294">
        <f t="shared" ref="DM85" si="783">DM11/DI11-1</f>
        <v>1.0000000000000009E-2</v>
      </c>
      <c r="DN85" s="294">
        <f t="shared" ref="DN85" si="784">DN11/DJ11-1</f>
        <v>1.0000000000000009E-2</v>
      </c>
      <c r="DP85" s="245"/>
      <c r="DQ85" s="245"/>
      <c r="DR85" s="245"/>
      <c r="DS85" s="245"/>
      <c r="DT85" s="245"/>
      <c r="DU85" s="245"/>
      <c r="DV85" s="245"/>
      <c r="DW85" s="245"/>
      <c r="DX85" s="245"/>
      <c r="DY85" s="245"/>
      <c r="DZ85" s="245"/>
      <c r="EA85" s="245"/>
      <c r="EB85" s="245"/>
      <c r="EC85" s="246"/>
      <c r="ED85" s="246"/>
      <c r="EE85" s="246"/>
      <c r="EF85" s="246"/>
      <c r="EG85" s="246"/>
      <c r="EH85" s="246"/>
      <c r="EI85" s="246"/>
      <c r="EJ85" s="246"/>
      <c r="EK85" s="265"/>
      <c r="EL85" s="265"/>
      <c r="EM85" s="246"/>
      <c r="EN85" s="246"/>
      <c r="EO85" s="246"/>
      <c r="EP85" s="246"/>
      <c r="EQ85" s="246"/>
      <c r="ER85" s="246"/>
      <c r="ES85" s="246"/>
      <c r="ET85" s="246"/>
      <c r="EU85" s="246"/>
      <c r="EV85" s="246"/>
      <c r="EW85" s="246"/>
      <c r="EX85" s="246"/>
      <c r="EY85" s="246"/>
      <c r="EZ85" s="246"/>
      <c r="FA85" s="246"/>
      <c r="FB85" s="246"/>
      <c r="FC85" s="246"/>
      <c r="FD85" s="246"/>
      <c r="FE85" s="246"/>
      <c r="FF85" s="246"/>
      <c r="FG85" s="246"/>
      <c r="FH85" s="246"/>
      <c r="FI85" s="246"/>
      <c r="FJ85" s="246"/>
      <c r="FM85"/>
      <c r="FN85" s="292"/>
      <c r="FQ85" s="290"/>
      <c r="FR85" s="290"/>
      <c r="FS85" s="291"/>
      <c r="FT85"/>
      <c r="FU85" s="290"/>
      <c r="FV85" s="290"/>
      <c r="FW85" s="290"/>
    </row>
    <row r="86" spans="1:179" s="279" customFormat="1" ht="12.75" customHeight="1" x14ac:dyDescent="0.2">
      <c r="A86" s="1"/>
      <c r="B86" t="s">
        <v>1691</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c r="BJ86" s="294"/>
      <c r="BK86" s="294"/>
      <c r="BL86" s="294"/>
      <c r="BM86" s="294"/>
      <c r="BN86" s="294"/>
      <c r="BO86" s="294"/>
      <c r="BP86" s="294"/>
      <c r="BQ86" s="294"/>
      <c r="BR86" s="294"/>
      <c r="BS86" s="294"/>
      <c r="BT86" s="294"/>
      <c r="BU86" s="294"/>
      <c r="BV86" s="294"/>
      <c r="BW86" s="294"/>
      <c r="BX86" s="294"/>
      <c r="BY86" s="294"/>
      <c r="BZ86" s="294"/>
      <c r="CA86" s="294"/>
      <c r="CB86" s="294"/>
      <c r="CC86" s="294"/>
      <c r="CD86" s="294"/>
      <c r="CE86" s="294"/>
      <c r="CF86" s="294">
        <f t="shared" ref="CF86" si="785">CF27/CB27-1</f>
        <v>1.7685185185185186</v>
      </c>
      <c r="CG86" s="294" t="e">
        <f t="shared" ref="CG86" si="786">CG27/CC27-1</f>
        <v>#DIV/0!</v>
      </c>
      <c r="CH86" s="294">
        <f t="shared" ref="CH86" si="787">CH27/CD27-1</f>
        <v>0.85499999999999998</v>
      </c>
      <c r="CI86" s="294">
        <f t="shared" ref="CI86" si="788">CI27/CE27-1</f>
        <v>0.69411764705882351</v>
      </c>
      <c r="CJ86" s="294">
        <f t="shared" ref="CJ86" si="789">CJ27/CF27-1</f>
        <v>0.70903010033444813</v>
      </c>
      <c r="CK86" s="294">
        <f t="shared" ref="CK86" si="790">CK27/CG27-1</f>
        <v>0.57097791798107256</v>
      </c>
      <c r="CL86" s="294">
        <f t="shared" ref="CL86" si="791">CL27/CH27-1</f>
        <v>0.57412398921832875</v>
      </c>
      <c r="CM86" s="294">
        <f t="shared" ref="CM86:DG86" si="792">CM27/CI27-1</f>
        <v>0.4560185185185186</v>
      </c>
      <c r="CN86" s="294">
        <f t="shared" si="792"/>
        <v>0.51467710371819964</v>
      </c>
      <c r="CO86" s="294">
        <f t="shared" si="792"/>
        <v>0.53614457831325302</v>
      </c>
      <c r="CP86" s="294">
        <f t="shared" si="792"/>
        <v>0.42123287671232879</v>
      </c>
      <c r="CQ86" s="294">
        <f t="shared" si="792"/>
        <v>0.48966613672496018</v>
      </c>
      <c r="CR86" s="294">
        <f t="shared" si="792"/>
        <v>0.16408268733850129</v>
      </c>
      <c r="CS86" s="294">
        <f t="shared" si="792"/>
        <v>0.43660130718954249</v>
      </c>
      <c r="CT86" s="294">
        <f t="shared" si="792"/>
        <v>0.50963855421686755</v>
      </c>
      <c r="CU86" s="294">
        <f t="shared" si="792"/>
        <v>0.45677694770544286</v>
      </c>
      <c r="CV86" s="294">
        <f t="shared" si="792"/>
        <v>0.59045504994450604</v>
      </c>
      <c r="CW86" s="294">
        <f t="shared" si="792"/>
        <v>0.43767060964513194</v>
      </c>
      <c r="CX86" s="294">
        <f t="shared" si="792"/>
        <v>0.31284916201117308</v>
      </c>
      <c r="CY86" s="294">
        <f t="shared" si="792"/>
        <v>0.35970695970695976</v>
      </c>
      <c r="CZ86" s="294">
        <f t="shared" si="792"/>
        <v>0.38590369853454298</v>
      </c>
      <c r="DA86" s="294">
        <f t="shared" si="792"/>
        <v>0.29873417721518991</v>
      </c>
      <c r="DB86" s="294">
        <f t="shared" si="792"/>
        <v>0.2662613981762918</v>
      </c>
      <c r="DC86" s="294">
        <f t="shared" si="792"/>
        <v>0.21982758620689657</v>
      </c>
      <c r="DD86" s="294">
        <f t="shared" si="792"/>
        <v>0.22406847935548835</v>
      </c>
      <c r="DE86" s="294">
        <f t="shared" si="792"/>
        <v>0.21783625730994149</v>
      </c>
      <c r="DF86" s="294">
        <f t="shared" si="792"/>
        <v>0.22419587133941432</v>
      </c>
      <c r="DG86" s="294">
        <f t="shared" si="792"/>
        <v>0.18904593639575973</v>
      </c>
      <c r="DH86" s="294">
        <f t="shared" ref="DH86" si="793">DH27/DD27-1</f>
        <v>0.14999999999999991</v>
      </c>
      <c r="DI86" s="294">
        <f t="shared" ref="DI86" si="794">DI27/DE27-1</f>
        <v>0.14999999999999991</v>
      </c>
      <c r="DJ86" s="294">
        <f t="shared" ref="DJ86" si="795">DJ27/DF27-1</f>
        <v>0.14999999999999991</v>
      </c>
      <c r="DK86" s="294">
        <f t="shared" ref="DK86" si="796">DK27/DG27-1</f>
        <v>0.14999999999999991</v>
      </c>
      <c r="DL86" s="294">
        <f t="shared" ref="DL86" si="797">DL27/DH27-1</f>
        <v>0.14999999999999991</v>
      </c>
      <c r="DM86" s="294">
        <f t="shared" ref="DM86" si="798">DM27/DI27-1</f>
        <v>0.14999999999999991</v>
      </c>
      <c r="DN86" s="294">
        <f t="shared" ref="DN86" si="799">DN27/DJ27-1</f>
        <v>0.14999999999999991</v>
      </c>
      <c r="DP86" s="245"/>
      <c r="DQ86" s="245"/>
      <c r="DR86" s="245"/>
      <c r="DS86" s="245"/>
      <c r="DT86" s="245"/>
      <c r="DU86" s="245"/>
      <c r="DV86" s="245"/>
      <c r="DW86" s="245"/>
      <c r="DX86" s="245"/>
      <c r="DY86" s="245"/>
      <c r="DZ86" s="245"/>
      <c r="EA86" s="245"/>
      <c r="EB86" s="245"/>
      <c r="EC86" s="246"/>
      <c r="ED86" s="246"/>
      <c r="EE86" s="246"/>
      <c r="EF86" s="246"/>
      <c r="EG86" s="246"/>
      <c r="EH86" s="246"/>
      <c r="EI86" s="246"/>
      <c r="EJ86" s="246"/>
      <c r="EK86" s="265"/>
      <c r="EL86" s="265"/>
      <c r="EM86" s="246"/>
      <c r="EN86" s="246"/>
      <c r="EO86" s="246"/>
      <c r="EP86" s="246"/>
      <c r="EQ86" s="246"/>
      <c r="ER86" s="246"/>
      <c r="ES86" s="246"/>
      <c r="ET86" s="246"/>
      <c r="EU86" s="246"/>
      <c r="EV86" s="246"/>
      <c r="EW86" s="246"/>
      <c r="EX86" s="246"/>
      <c r="EY86" s="246"/>
      <c r="EZ86" s="246"/>
      <c r="FA86" s="246"/>
      <c r="FB86" s="246"/>
      <c r="FC86" s="246"/>
      <c r="FD86" s="246"/>
      <c r="FE86" s="246"/>
      <c r="FF86" s="246"/>
      <c r="FG86" s="246"/>
      <c r="FH86" s="246"/>
      <c r="FI86" s="246"/>
      <c r="FJ86" s="246"/>
      <c r="FM86"/>
      <c r="FN86" s="292"/>
      <c r="FQ86" s="290"/>
      <c r="FR86" s="290"/>
      <c r="FS86" s="291"/>
      <c r="FT86"/>
      <c r="FU86" s="290"/>
      <c r="FV86" s="290"/>
      <c r="FW86" s="290"/>
    </row>
    <row r="87" spans="1:179" s="279" customFormat="1" ht="12.75" customHeight="1" x14ac:dyDescent="0.2">
      <c r="A87" s="1"/>
      <c r="B87" t="s">
        <v>1692</v>
      </c>
      <c r="C87" s="293"/>
      <c r="D87" s="293"/>
      <c r="E87" s="293"/>
      <c r="F87" s="293"/>
      <c r="G87" s="293"/>
      <c r="H87" s="293"/>
      <c r="I87" s="293"/>
      <c r="J87" s="293"/>
      <c r="K87" s="293"/>
      <c r="L87" s="293"/>
      <c r="M87" s="293"/>
      <c r="N87" s="293"/>
      <c r="O87" s="293"/>
      <c r="P87" s="293"/>
      <c r="Q87" s="293"/>
      <c r="R87" s="293"/>
      <c r="S87" s="293"/>
      <c r="T87" s="293"/>
      <c r="U87" s="293"/>
      <c r="V87" s="293"/>
      <c r="W87" s="293"/>
      <c r="X87" s="293"/>
      <c r="Y87" s="293"/>
      <c r="Z87" s="293"/>
      <c r="AA87" s="293"/>
      <c r="AB87" s="293"/>
      <c r="AC87" s="293"/>
      <c r="AD87" s="293"/>
      <c r="AE87" s="243"/>
      <c r="AF87" s="243"/>
      <c r="AG87" s="243"/>
      <c r="AH87" s="288"/>
      <c r="AI87" s="288"/>
      <c r="AJ87" s="288"/>
      <c r="AK87" s="288"/>
      <c r="AL87" s="288"/>
      <c r="AM87" s="288"/>
      <c r="AN87" s="288"/>
      <c r="AO87" s="288"/>
      <c r="AP87" s="288"/>
      <c r="AQ87" s="288"/>
      <c r="AR87" s="288"/>
      <c r="AS87" s="288"/>
      <c r="AT87" s="288"/>
      <c r="AU87" s="288"/>
      <c r="AV87" s="288"/>
      <c r="AW87" s="294"/>
      <c r="AX87" s="294"/>
      <c r="AY87" s="294"/>
      <c r="AZ87" s="294"/>
      <c r="BA87" s="294"/>
      <c r="BB87" s="294"/>
      <c r="BC87" s="294"/>
      <c r="BD87" s="294"/>
      <c r="BE87" s="294"/>
      <c r="BF87" s="294"/>
      <c r="BG87" s="294"/>
      <c r="BH87" s="294"/>
      <c r="BI87" s="294"/>
      <c r="BJ87" s="294"/>
      <c r="BK87" s="294"/>
      <c r="BL87" s="294"/>
      <c r="BM87" s="294"/>
      <c r="BN87" s="294"/>
      <c r="BO87" s="294"/>
      <c r="BP87" s="294"/>
      <c r="BQ87" s="294"/>
      <c r="BR87" s="294"/>
      <c r="BS87" s="294"/>
      <c r="BT87" s="294"/>
      <c r="BU87" s="294"/>
      <c r="BV87" s="294"/>
      <c r="BW87" s="294"/>
      <c r="BX87" s="294"/>
      <c r="BY87" s="294"/>
      <c r="BZ87" s="294"/>
      <c r="CA87" s="294"/>
      <c r="CB87" s="294"/>
      <c r="CC87" s="294"/>
      <c r="CD87" s="294"/>
      <c r="CE87" s="294"/>
      <c r="CF87" s="294">
        <f t="shared" ref="CF87" si="800">+CF60/CB60-1</f>
        <v>1.7256507750804229E-2</v>
      </c>
      <c r="CG87" s="294">
        <f t="shared" ref="CG87" si="801">+CG60/CC60-1</f>
        <v>2.9132168046611451E-2</v>
      </c>
      <c r="CH87" s="294">
        <f t="shared" ref="CH87" si="802">+CH60/CD60-1</f>
        <v>3.1468531468531458E-2</v>
      </c>
      <c r="CI87" s="294">
        <f t="shared" ref="CI87" si="803">+CI60/CE60-1</f>
        <v>5.2664188351920771E-2</v>
      </c>
      <c r="CJ87" s="294">
        <f t="shared" ref="CJ87" si="804">+CJ60/CF60-1</f>
        <v>7.4755606670500185E-3</v>
      </c>
      <c r="CK87" s="294">
        <f t="shared" ref="CK87" si="805">+CK60/CG60-1</f>
        <v>1.7580452920143097E-2</v>
      </c>
      <c r="CL87" s="294">
        <f t="shared" ref="CL87" si="806">+CL60/CH60-1</f>
        <v>-1.1299435028248039E-3</v>
      </c>
      <c r="CM87" s="294">
        <f t="shared" ref="CM87:CT87" si="807">+CM60/CI60-1</f>
        <v>-2.3543260741612726E-2</v>
      </c>
      <c r="CN87" s="294">
        <f t="shared" si="807"/>
        <v>1.1415525114155223E-2</v>
      </c>
      <c r="CO87" s="294">
        <f t="shared" si="807"/>
        <v>1.5812591508052698E-2</v>
      </c>
      <c r="CP87" s="294">
        <f t="shared" si="807"/>
        <v>8.7669683257918241E-3</v>
      </c>
      <c r="CQ87" s="294">
        <f t="shared" si="807"/>
        <v>9.2525617842073471E-2</v>
      </c>
      <c r="CR87" s="294">
        <f t="shared" si="807"/>
        <v>-6.9977426636568807E-2</v>
      </c>
      <c r="CS87" s="294">
        <f t="shared" si="807"/>
        <v>1.2972038051311641E-2</v>
      </c>
      <c r="CT87" s="294">
        <f t="shared" si="807"/>
        <v>1.4297729184188368E-2</v>
      </c>
      <c r="CU87" s="294">
        <f t="shared" ref="CU87:DD87" si="808">+CU60/CQ60-1</f>
        <v>4.4137931034482492E-3</v>
      </c>
      <c r="CV87" s="294">
        <f t="shared" si="808"/>
        <v>0.16929611650485432</v>
      </c>
      <c r="CW87" s="294">
        <f t="shared" si="808"/>
        <v>5.2931132612407561E-2</v>
      </c>
      <c r="CX87" s="294">
        <f t="shared" si="808"/>
        <v>3.0403537866224406E-2</v>
      </c>
      <c r="CY87" s="294">
        <f t="shared" si="808"/>
        <v>-1.5105740181268867E-2</v>
      </c>
      <c r="CZ87" s="294">
        <f t="shared" si="808"/>
        <v>-1.2714063310845902E-2</v>
      </c>
      <c r="DA87" s="294">
        <f t="shared" si="808"/>
        <v>2.5675675675675746E-2</v>
      </c>
      <c r="DB87" s="294">
        <f t="shared" si="808"/>
        <v>1.046137339055786E-2</v>
      </c>
      <c r="DC87" s="294">
        <f t="shared" si="808"/>
        <v>7.4177356385945359E-2</v>
      </c>
      <c r="DD87" s="294">
        <f t="shared" si="808"/>
        <v>5.4139290407358764E-2</v>
      </c>
      <c r="DE87" s="294" t="s">
        <v>1315</v>
      </c>
      <c r="DF87" s="294" t="s">
        <v>1315</v>
      </c>
      <c r="DG87" s="294" t="s">
        <v>1315</v>
      </c>
      <c r="DH87" s="294" t="s">
        <v>1315</v>
      </c>
      <c r="DI87" s="294" t="s">
        <v>1315</v>
      </c>
      <c r="DJ87" s="294" t="s">
        <v>1315</v>
      </c>
      <c r="DK87" s="294" t="s">
        <v>1315</v>
      </c>
      <c r="DL87" s="294" t="s">
        <v>1315</v>
      </c>
      <c r="DM87" s="294" t="s">
        <v>1315</v>
      </c>
      <c r="DN87" s="294" t="s">
        <v>1315</v>
      </c>
      <c r="DO87" s="296"/>
      <c r="DP87" s="245"/>
      <c r="DQ87" s="245"/>
      <c r="DR87" s="245"/>
      <c r="DS87" s="245"/>
      <c r="DT87" s="245"/>
      <c r="DU87" s="245"/>
      <c r="DV87" s="245"/>
      <c r="DW87" s="245"/>
      <c r="DX87" s="245"/>
      <c r="DY87" s="245"/>
      <c r="DZ87" s="245"/>
      <c r="EA87" s="245"/>
      <c r="EB87" s="245"/>
      <c r="EC87" s="245"/>
      <c r="ED87" s="245"/>
      <c r="EE87" s="245"/>
      <c r="EF87" s="245"/>
      <c r="EG87" s="245"/>
      <c r="EH87" s="245"/>
      <c r="EI87" s="246"/>
      <c r="EJ87" s="246"/>
      <c r="EK87" s="246"/>
      <c r="EL87" s="246"/>
      <c r="EM87" s="246"/>
      <c r="EN87" s="246"/>
      <c r="EO87" s="246"/>
      <c r="EP87" s="246"/>
      <c r="EQ87" s="246"/>
      <c r="ER87" s="246"/>
      <c r="ES87" s="246"/>
      <c r="ET87" s="246"/>
      <c r="EU87" s="246"/>
      <c r="EV87" s="246"/>
      <c r="EW87" s="246"/>
      <c r="EX87" s="246"/>
      <c r="EY87" s="246"/>
      <c r="EZ87" s="246"/>
      <c r="FA87" s="246"/>
      <c r="FB87" s="246"/>
      <c r="FC87" s="246"/>
      <c r="FD87" s="246"/>
      <c r="FE87" s="246"/>
      <c r="FF87" s="246"/>
      <c r="FG87" s="246"/>
      <c r="FH87" s="246"/>
      <c r="FI87" s="246"/>
      <c r="FJ87" s="246"/>
      <c r="FQ87" s="290"/>
      <c r="FR87" s="290"/>
      <c r="FS87" s="291"/>
      <c r="FT87"/>
      <c r="FU87" s="291"/>
      <c r="FV87" s="290"/>
      <c r="FW87" s="290"/>
    </row>
    <row r="88" spans="1:179" s="279" customFormat="1" ht="12.75" customHeight="1" x14ac:dyDescent="0.2">
      <c r="A88" s="1"/>
      <c r="B88" t="s">
        <v>1790</v>
      </c>
      <c r="C88" s="293"/>
      <c r="D88" s="293"/>
      <c r="E88" s="293"/>
      <c r="F88" s="293"/>
      <c r="G88" s="293"/>
      <c r="H88" s="293"/>
      <c r="I88" s="293"/>
      <c r="J88" s="293"/>
      <c r="K88" s="293"/>
      <c r="L88" s="293"/>
      <c r="M88" s="293"/>
      <c r="N88" s="293"/>
      <c r="O88" s="293"/>
      <c r="P88" s="293"/>
      <c r="Q88" s="293"/>
      <c r="R88" s="293"/>
      <c r="S88" s="293"/>
      <c r="T88" s="293"/>
      <c r="U88" s="293"/>
      <c r="V88" s="293"/>
      <c r="W88" s="293"/>
      <c r="X88" s="293"/>
      <c r="Y88" s="293"/>
      <c r="Z88" s="293"/>
      <c r="AA88" s="293"/>
      <c r="AB88" s="293"/>
      <c r="AC88" s="293"/>
      <c r="AD88" s="293"/>
      <c r="AE88" s="243"/>
      <c r="AF88" s="243"/>
      <c r="AG88" s="243"/>
      <c r="AH88" s="288"/>
      <c r="AI88" s="288"/>
      <c r="AJ88" s="288"/>
      <c r="AK88" s="288"/>
      <c r="AL88" s="288"/>
      <c r="AM88" s="288"/>
      <c r="AN88" s="288"/>
      <c r="AO88" s="288"/>
      <c r="AP88" s="288"/>
      <c r="AQ88" s="288"/>
      <c r="AR88" s="288"/>
      <c r="AS88" s="288"/>
      <c r="AT88" s="288"/>
      <c r="AU88" s="288"/>
      <c r="AV88" s="288"/>
      <c r="AW88" s="294"/>
      <c r="AX88" s="297">
        <f t="shared" ref="AX88:BZ88" si="809">AX48/AT48-1</f>
        <v>-0.16820276497695852</v>
      </c>
      <c r="AY88" s="297">
        <f t="shared" si="809"/>
        <v>-0.19999999999999996</v>
      </c>
      <c r="AZ88" s="297">
        <f t="shared" si="809"/>
        <v>-0.20892018779342725</v>
      </c>
      <c r="BA88" s="297">
        <f t="shared" si="809"/>
        <v>-0.11845730027548207</v>
      </c>
      <c r="BB88" s="297">
        <f t="shared" si="809"/>
        <v>-3.4626038781163437E-2</v>
      </c>
      <c r="BC88" s="297">
        <f t="shared" si="809"/>
        <v>5.9880239520957446E-3</v>
      </c>
      <c r="BD88" s="297">
        <f t="shared" si="809"/>
        <v>-2.8189910979228516E-2</v>
      </c>
      <c r="BE88" s="297">
        <f t="shared" si="809"/>
        <v>-6.8749999999999978E-2</v>
      </c>
      <c r="BF88" s="297">
        <f t="shared" si="809"/>
        <v>-9.7560975609756073E-2</v>
      </c>
      <c r="BG88" s="297">
        <f t="shared" si="809"/>
        <v>-5.5059523809523836E-2</v>
      </c>
      <c r="BH88" s="297">
        <f t="shared" si="809"/>
        <v>-0.10381679389312981</v>
      </c>
      <c r="BI88" s="297">
        <f t="shared" si="809"/>
        <v>-0.1174496644295302</v>
      </c>
      <c r="BJ88" s="297">
        <f t="shared" si="809"/>
        <v>-0.14149443561208264</v>
      </c>
      <c r="BK88" s="297">
        <f t="shared" si="809"/>
        <v>-0.24094488188976382</v>
      </c>
      <c r="BL88" s="297">
        <f t="shared" si="809"/>
        <v>-0.141396933560477</v>
      </c>
      <c r="BM88" s="297">
        <f t="shared" si="809"/>
        <v>-6.2737642585551368E-2</v>
      </c>
      <c r="BN88" s="297">
        <f t="shared" si="809"/>
        <v>-6.2962962962962998E-2</v>
      </c>
      <c r="BO88" s="297">
        <f t="shared" si="809"/>
        <v>6.4315352697095429E-2</v>
      </c>
      <c r="BP88" s="297">
        <f t="shared" si="809"/>
        <v>4.9603174603174649E-2</v>
      </c>
      <c r="BQ88" s="297">
        <f t="shared" si="809"/>
        <v>1.6227180527383478E-2</v>
      </c>
      <c r="BR88" s="297">
        <f t="shared" si="809"/>
        <v>5.5335968379446543E-2</v>
      </c>
      <c r="BS88" s="297">
        <f t="shared" si="809"/>
        <v>5.4580896686159841E-2</v>
      </c>
      <c r="BT88" s="297">
        <f t="shared" si="809"/>
        <v>7.1833648393194727E-2</v>
      </c>
      <c r="BU88" s="297">
        <f t="shared" si="809"/>
        <v>8.1836327345309323E-2</v>
      </c>
      <c r="BV88" s="297">
        <f t="shared" si="809"/>
        <v>4.4943820224719211E-2</v>
      </c>
      <c r="BW88" s="297">
        <f t="shared" si="809"/>
        <v>-2.2181146025877951E-2</v>
      </c>
      <c r="BX88" s="297">
        <f t="shared" si="809"/>
        <v>-4.0564373897707284E-2</v>
      </c>
      <c r="BY88" s="297">
        <f t="shared" si="809"/>
        <v>-3.3210332103321027E-2</v>
      </c>
      <c r="BZ88" s="297">
        <f t="shared" si="809"/>
        <v>-0.21326164874551967</v>
      </c>
      <c r="CA88" s="297"/>
      <c r="CB88" s="297"/>
      <c r="CC88" s="297"/>
      <c r="CD88" s="297"/>
      <c r="CE88" s="297"/>
      <c r="CF88" s="297"/>
      <c r="CG88" s="297"/>
      <c r="CH88" s="297"/>
      <c r="CI88" s="297"/>
      <c r="CJ88" s="297"/>
      <c r="CK88" s="297"/>
      <c r="CL88" s="297"/>
      <c r="CM88" s="297">
        <f t="shared" ref="CM88:CT88" si="810">+CM48/CI48-1</f>
        <v>0.14375000000000004</v>
      </c>
      <c r="CN88" s="297">
        <f t="shared" si="810"/>
        <v>0.12443778110944526</v>
      </c>
      <c r="CO88" s="297">
        <f t="shared" si="810"/>
        <v>0.13476263399693722</v>
      </c>
      <c r="CP88" s="297">
        <f t="shared" si="810"/>
        <v>0.12827988338192431</v>
      </c>
      <c r="CQ88" s="297">
        <f t="shared" si="810"/>
        <v>-6.8306010928961269E-3</v>
      </c>
      <c r="CR88" s="297">
        <f t="shared" si="810"/>
        <v>-0.21333333333333337</v>
      </c>
      <c r="CS88" s="297">
        <f t="shared" si="810"/>
        <v>0.12820512820512819</v>
      </c>
      <c r="CT88" s="297">
        <f t="shared" si="810"/>
        <v>0.1537467700258397</v>
      </c>
      <c r="CU88" s="297">
        <f t="shared" ref="CU88:DG88" si="811">+CU48/CQ48-1</f>
        <v>0.30536451169188439</v>
      </c>
      <c r="CV88" s="297">
        <f t="shared" si="811"/>
        <v>0.77288135593220342</v>
      </c>
      <c r="CW88" s="297">
        <f t="shared" si="811"/>
        <v>0.14473684210526305</v>
      </c>
      <c r="CX88" s="297">
        <f t="shared" si="811"/>
        <v>0.14109742441209416</v>
      </c>
      <c r="CY88" s="297">
        <f t="shared" si="811"/>
        <v>0.15068493150684925</v>
      </c>
      <c r="CZ88" s="297">
        <f t="shared" si="811"/>
        <v>2.8680688336519822E-3</v>
      </c>
      <c r="DA88" s="297">
        <f t="shared" si="811"/>
        <v>0.1076280041797284</v>
      </c>
      <c r="DB88" s="297">
        <f t="shared" si="811"/>
        <v>-2.4533856722276703E-2</v>
      </c>
      <c r="DC88" s="297">
        <f t="shared" si="811"/>
        <v>0</v>
      </c>
      <c r="DD88" s="297">
        <f t="shared" si="811"/>
        <v>0.54432793136320301</v>
      </c>
      <c r="DE88" s="297">
        <f t="shared" si="811"/>
        <v>0.47075471698113214</v>
      </c>
      <c r="DF88" s="297">
        <f t="shared" si="811"/>
        <v>0.24647887323943651</v>
      </c>
      <c r="DG88" s="297">
        <f t="shared" si="811"/>
        <v>0.23076923076923084</v>
      </c>
      <c r="DH88" s="297">
        <f t="shared" ref="DH88" si="812">+DH48/DD48-1</f>
        <v>3.0000000000000027E-2</v>
      </c>
      <c r="DI88" s="297">
        <f t="shared" ref="DI88" si="813">+DI48/DE48-1</f>
        <v>3.0000000000000027E-2</v>
      </c>
      <c r="DJ88" s="297">
        <f t="shared" ref="DJ88" si="814">+DJ48/DF48-1</f>
        <v>3.0000000000000027E-2</v>
      </c>
      <c r="DK88" s="297">
        <f t="shared" ref="DK88" si="815">+DK48/DG48-1</f>
        <v>3.0000000000000027E-2</v>
      </c>
      <c r="DL88" s="297">
        <f t="shared" ref="DL88" si="816">+DL48/DH48-1</f>
        <v>3.0000000000000027E-2</v>
      </c>
      <c r="DM88" s="297">
        <f t="shared" ref="DM88" si="817">+DM48/DI48-1</f>
        <v>3.0000000000000027E-2</v>
      </c>
      <c r="DN88" s="297">
        <f t="shared" ref="DN88" si="818">+DN48/DJ48-1</f>
        <v>3.0000000000000027E-2</v>
      </c>
      <c r="DO88" s="296"/>
      <c r="DP88" s="245"/>
      <c r="DQ88" s="245"/>
      <c r="DR88" s="245"/>
      <c r="DS88" s="245"/>
      <c r="DT88" s="245"/>
      <c r="DU88" s="245"/>
      <c r="DV88" s="245"/>
      <c r="DW88" s="245"/>
      <c r="DX88" s="245"/>
      <c r="DY88" s="245"/>
      <c r="DZ88" s="245"/>
      <c r="EA88" s="245"/>
      <c r="EB88" s="245"/>
      <c r="EC88" s="245"/>
      <c r="ED88" s="245"/>
      <c r="EE88" s="245"/>
      <c r="EF88" s="245"/>
      <c r="EG88" s="245"/>
      <c r="EH88" s="245"/>
      <c r="EI88" s="246"/>
      <c r="EJ88" s="246"/>
      <c r="EK88" s="246"/>
      <c r="EL88" s="246"/>
      <c r="EM88" s="246"/>
      <c r="EN88" s="246"/>
      <c r="EO88" s="246"/>
      <c r="EP88" s="246"/>
      <c r="EQ88" s="246"/>
      <c r="ER88" s="246"/>
      <c r="ES88" s="246"/>
      <c r="ET88" s="246"/>
      <c r="EU88" s="246"/>
      <c r="FQ88" s="290"/>
      <c r="FR88" s="290"/>
      <c r="FS88" s="290"/>
      <c r="FT88"/>
      <c r="FU88" s="290"/>
      <c r="FV88" s="290"/>
      <c r="FW88" s="290"/>
    </row>
    <row r="89" spans="1:179" s="279" customFormat="1" ht="12.75" customHeight="1" x14ac:dyDescent="0.2">
      <c r="A89" s="1"/>
      <c r="B89" t="s">
        <v>1286</v>
      </c>
      <c r="C89" s="293"/>
      <c r="D89" s="293"/>
      <c r="E89" s="293"/>
      <c r="F89" s="293"/>
      <c r="G89" s="293"/>
      <c r="H89" s="293"/>
      <c r="I89" s="293"/>
      <c r="J89" s="293"/>
      <c r="K89" s="293"/>
      <c r="L89" s="293"/>
      <c r="M89" s="293"/>
      <c r="N89" s="293"/>
      <c r="O89" s="293"/>
      <c r="P89" s="293"/>
      <c r="Q89" s="293"/>
      <c r="R89" s="293"/>
      <c r="S89" s="293"/>
      <c r="T89" s="293"/>
      <c r="U89" s="293"/>
      <c r="V89" s="293"/>
      <c r="W89" s="293"/>
      <c r="X89" s="293"/>
      <c r="Y89" s="293"/>
      <c r="Z89" s="293"/>
      <c r="AA89" s="293"/>
      <c r="AB89" s="293"/>
      <c r="AC89" s="293"/>
      <c r="AD89" s="293"/>
      <c r="AE89" s="297">
        <f t="shared" ref="AE89:AN91" si="819">AE51/AA51-1</f>
        <v>0.13531799729364002</v>
      </c>
      <c r="AF89" s="297">
        <f t="shared" si="819"/>
        <v>0.12165775401069512</v>
      </c>
      <c r="AG89" s="297">
        <f t="shared" si="819"/>
        <v>0.10027855153203347</v>
      </c>
      <c r="AH89" s="297">
        <f t="shared" si="819"/>
        <v>0.18703241895261846</v>
      </c>
      <c r="AI89" s="297">
        <f t="shared" si="819"/>
        <v>0.18355184743742559</v>
      </c>
      <c r="AJ89" s="297">
        <f t="shared" si="819"/>
        <v>0.16805721096543502</v>
      </c>
      <c r="AK89" s="297">
        <f t="shared" si="819"/>
        <v>0.1354430379746836</v>
      </c>
      <c r="AL89" s="297">
        <f t="shared" si="819"/>
        <v>2.6260504201680579E-2</v>
      </c>
      <c r="AM89" s="297">
        <f t="shared" si="819"/>
        <v>4.6324269889224556E-2</v>
      </c>
      <c r="AN89" s="297">
        <f t="shared" si="819"/>
        <v>5.6122448979591733E-2</v>
      </c>
      <c r="AO89" s="297">
        <f t="shared" ref="AO89:AW91" si="820">AO51/AK51-1</f>
        <v>8.2497212931995634E-2</v>
      </c>
      <c r="AP89" s="297">
        <f t="shared" si="820"/>
        <v>8.4953940634595604E-2</v>
      </c>
      <c r="AQ89" s="297">
        <f t="shared" si="820"/>
        <v>0.11357074109720888</v>
      </c>
      <c r="AR89" s="297">
        <f t="shared" si="820"/>
        <v>9.661835748792269E-2</v>
      </c>
      <c r="AS89" s="297">
        <f t="shared" si="820"/>
        <v>0.11843460350154489</v>
      </c>
      <c r="AT89" s="297">
        <f t="shared" si="820"/>
        <v>0.14056603773584908</v>
      </c>
      <c r="AU89" s="297">
        <f t="shared" si="820"/>
        <v>8.2973206568712099E-2</v>
      </c>
      <c r="AV89" s="297">
        <f t="shared" si="820"/>
        <v>0.13568281938325999</v>
      </c>
      <c r="AW89" s="297">
        <f t="shared" si="820"/>
        <v>0.10036832412523022</v>
      </c>
      <c r="AX89" s="297">
        <f t="shared" ref="AX89:BG89" si="821">AX51/AT51-1</f>
        <v>3.556658395368073E-2</v>
      </c>
      <c r="AY89" s="297">
        <f t="shared" si="821"/>
        <v>3.1125299281723917E-2</v>
      </c>
      <c r="AZ89" s="297">
        <f t="shared" si="821"/>
        <v>2.6377036462373882E-2</v>
      </c>
      <c r="BA89" s="297">
        <f t="shared" si="821"/>
        <v>7.4476987447698706E-2</v>
      </c>
      <c r="BB89" s="297">
        <f t="shared" si="821"/>
        <v>0.17651757188498407</v>
      </c>
      <c r="BC89" s="297">
        <f t="shared" si="821"/>
        <v>0.12538699690402466</v>
      </c>
      <c r="BD89" s="297">
        <f t="shared" si="821"/>
        <v>3.9304610733182255E-2</v>
      </c>
      <c r="BE89" s="297">
        <f t="shared" si="821"/>
        <v>1.947040498442365E-2</v>
      </c>
      <c r="BF89" s="297">
        <f t="shared" si="821"/>
        <v>-1.7651052274270218E-2</v>
      </c>
      <c r="BG89" s="297">
        <f t="shared" si="821"/>
        <v>3.3700137551581744E-2</v>
      </c>
      <c r="BH89" s="297">
        <f t="shared" ref="BH89:BQ89" si="822">BH51/BD51-1</f>
        <v>6.8363636363636404E-2</v>
      </c>
      <c r="BI89" s="297">
        <f t="shared" si="822"/>
        <v>5.7295645530939687E-2</v>
      </c>
      <c r="BJ89" s="297">
        <f t="shared" si="822"/>
        <v>4.146510020732519E-3</v>
      </c>
      <c r="BK89" s="297">
        <f t="shared" si="822"/>
        <v>-6.6533599467730742E-3</v>
      </c>
      <c r="BL89" s="297">
        <f t="shared" si="822"/>
        <v>0.10823689584751528</v>
      </c>
      <c r="BM89" s="297">
        <f t="shared" si="822"/>
        <v>0.65462427745664731</v>
      </c>
      <c r="BN89" s="297">
        <f t="shared" si="822"/>
        <v>0.64349621472814866</v>
      </c>
      <c r="BO89" s="297">
        <f t="shared" si="822"/>
        <v>0.59745478901540516</v>
      </c>
      <c r="BP89" s="297">
        <f t="shared" si="822"/>
        <v>0.46498771498771507</v>
      </c>
      <c r="BQ89" s="297">
        <f t="shared" si="822"/>
        <v>-3.0567685589519833E-3</v>
      </c>
      <c r="BR89" s="297">
        <f t="shared" ref="BR89:BZ89" si="823">BR51/BN51-1</f>
        <v>2.8475711892797406E-2</v>
      </c>
      <c r="BS89" s="297">
        <f t="shared" si="823"/>
        <v>1.5094339622641506E-2</v>
      </c>
      <c r="BT89" s="297">
        <f t="shared" si="823"/>
        <v>3.5220125786163514E-2</v>
      </c>
      <c r="BU89" s="297">
        <f t="shared" si="823"/>
        <v>2.6719229084537943E-2</v>
      </c>
      <c r="BV89" s="297">
        <f t="shared" si="823"/>
        <v>-6.1074918566774716E-3</v>
      </c>
      <c r="BW89" s="297">
        <f t="shared" si="823"/>
        <v>-3.8413878562577497E-2</v>
      </c>
      <c r="BX89" s="297">
        <f t="shared" si="823"/>
        <v>-5.62980963953017E-2</v>
      </c>
      <c r="BY89" s="297">
        <f t="shared" si="823"/>
        <v>-6.9539249146757687E-2</v>
      </c>
      <c r="BZ89" s="297">
        <f t="shared" si="823"/>
        <v>-7.3740270380990847E-3</v>
      </c>
      <c r="CA89" s="297"/>
      <c r="CB89" s="297"/>
      <c r="CC89" s="297"/>
      <c r="CD89" s="297"/>
      <c r="CE89" s="297"/>
      <c r="CF89" s="297"/>
      <c r="CG89" s="297"/>
      <c r="CH89" s="297"/>
      <c r="CI89" s="297"/>
      <c r="CJ89" s="297"/>
      <c r="CK89" s="297"/>
      <c r="CL89" s="297"/>
      <c r="CM89" s="297">
        <f t="shared" ref="CM89:CT89" si="824">+CM51/CI51-1</f>
        <v>-2.0444444444444487E-2</v>
      </c>
      <c r="CN89" s="297">
        <f t="shared" si="824"/>
        <v>-1.6799292661361598E-2</v>
      </c>
      <c r="CO89" s="297">
        <f t="shared" si="824"/>
        <v>1.279014684983415E-2</v>
      </c>
      <c r="CP89" s="297">
        <f t="shared" si="824"/>
        <v>4.8629531388151293E-3</v>
      </c>
      <c r="CQ89" s="297">
        <f t="shared" si="824"/>
        <v>-7.5317604355716883E-2</v>
      </c>
      <c r="CR89" s="297">
        <f t="shared" si="824"/>
        <v>-0.34757194244604317</v>
      </c>
      <c r="CS89" s="297">
        <f t="shared" si="824"/>
        <v>-2.572497661365758E-2</v>
      </c>
      <c r="CT89" s="297">
        <f t="shared" si="824"/>
        <v>-3.6075670919489711E-2</v>
      </c>
      <c r="CU89" s="297">
        <f t="shared" ref="CU89:DG89" si="825">+CU51/CQ51-1</f>
        <v>3.6800785083415111E-2</v>
      </c>
      <c r="CV89" s="297">
        <f t="shared" si="825"/>
        <v>0.53480358373535486</v>
      </c>
      <c r="CW89" s="297">
        <f t="shared" si="825"/>
        <v>4.8007681228996457E-3</v>
      </c>
      <c r="CX89" s="297">
        <f t="shared" si="825"/>
        <v>-1.6430853491556374E-2</v>
      </c>
      <c r="CY89" s="297">
        <f t="shared" si="825"/>
        <v>3.5494557501183133E-2</v>
      </c>
      <c r="CZ89" s="297">
        <f t="shared" si="825"/>
        <v>-3.143242029636284E-2</v>
      </c>
      <c r="DA89" s="297">
        <f t="shared" si="825"/>
        <v>9.5556617295744495E-4</v>
      </c>
      <c r="DB89" s="297">
        <f t="shared" si="825"/>
        <v>-3.2482598607889157E-3</v>
      </c>
      <c r="DC89" s="297">
        <f t="shared" si="825"/>
        <v>2.6051188299817118E-2</v>
      </c>
      <c r="DD89" s="297">
        <f t="shared" si="825"/>
        <v>5.0069541029207132E-2</v>
      </c>
      <c r="DE89" s="297">
        <f t="shared" si="825"/>
        <v>3.2935560859188584E-2</v>
      </c>
      <c r="DF89" s="297">
        <f t="shared" si="825"/>
        <v>5.5865921787709549E-2</v>
      </c>
      <c r="DG89" s="297">
        <f t="shared" si="825"/>
        <v>4.231625835189301E-2</v>
      </c>
      <c r="DH89" s="297">
        <f t="shared" ref="DH89" si="826">+DH51/DD51-1</f>
        <v>5.0000000000000044E-2</v>
      </c>
      <c r="DI89" s="297">
        <f t="shared" ref="DI89" si="827">+DI51/DE51-1</f>
        <v>5.0000000000000044E-2</v>
      </c>
      <c r="DJ89" s="297">
        <f t="shared" ref="DJ89" si="828">+DJ51/DF51-1</f>
        <v>5.0000000000000044E-2</v>
      </c>
      <c r="DK89" s="297">
        <f t="shared" ref="DK89" si="829">+DK51/DG51-1</f>
        <v>5.0000000000000044E-2</v>
      </c>
      <c r="DL89" s="297">
        <f t="shared" ref="DL89" si="830">+DL51/DH51-1</f>
        <v>5.0000000000000044E-2</v>
      </c>
      <c r="DM89" s="297">
        <f t="shared" ref="DM89" si="831">+DM51/DI51-1</f>
        <v>5.0000000000000044E-2</v>
      </c>
      <c r="DN89" s="297">
        <f t="shared" ref="DN89" si="832">+DN51/DJ51-1</f>
        <v>5.0000000000000044E-2</v>
      </c>
      <c r="DO89" s="296"/>
      <c r="DP89" s="245"/>
      <c r="DQ89" s="245"/>
      <c r="DR89" s="245"/>
      <c r="DS89" s="245"/>
      <c r="DT89" s="245"/>
      <c r="DU89" s="245"/>
      <c r="DV89" s="245"/>
      <c r="DW89" s="245"/>
      <c r="DX89" s="245"/>
      <c r="DY89" s="245"/>
      <c r="DZ89" s="245"/>
      <c r="EA89" s="246">
        <f t="shared" ref="EA89:EJ89" si="833">EA51/DZ51-1</f>
        <v>3.7121644774414708E-2</v>
      </c>
      <c r="EB89" s="246">
        <f t="shared" si="833"/>
        <v>0.13105726872246692</v>
      </c>
      <c r="EC89" s="246">
        <f t="shared" si="833"/>
        <v>0.23515092502434265</v>
      </c>
      <c r="ED89" s="246">
        <f t="shared" si="833"/>
        <v>0.18525817895151753</v>
      </c>
      <c r="EE89" s="246">
        <f t="shared" si="833"/>
        <v>0.13734619221815758</v>
      </c>
      <c r="EF89" s="246">
        <f t="shared" si="833"/>
        <v>0.12485380116959055</v>
      </c>
      <c r="EG89" s="246">
        <f t="shared" si="833"/>
        <v>6.7065245645957949E-2</v>
      </c>
      <c r="EH89" s="246">
        <f t="shared" si="833"/>
        <v>0.1174177831912302</v>
      </c>
      <c r="EI89" s="246">
        <f t="shared" si="833"/>
        <v>8.7638979725310762E-2</v>
      </c>
      <c r="EJ89" s="246">
        <f t="shared" si="833"/>
        <v>7.6768891561435071E-2</v>
      </c>
      <c r="EK89" s="246"/>
      <c r="EL89" s="246"/>
      <c r="EM89" s="246"/>
      <c r="EN89" s="246"/>
      <c r="EO89" s="246"/>
      <c r="EP89" s="246"/>
      <c r="EQ89" s="246"/>
      <c r="ER89" s="246"/>
      <c r="ES89" s="246"/>
      <c r="ET89" s="246"/>
      <c r="EU89" s="246"/>
      <c r="FQ89" s="290"/>
      <c r="FR89" s="290"/>
      <c r="FS89" s="290"/>
      <c r="FT89"/>
      <c r="FU89" s="291"/>
      <c r="FV89" s="290"/>
      <c r="FW89" s="290"/>
    </row>
    <row r="90" spans="1:179" s="279" customFormat="1" ht="12.75" customHeight="1" x14ac:dyDescent="0.2">
      <c r="A90" s="1"/>
      <c r="B90" t="s">
        <v>123</v>
      </c>
      <c r="C90" s="293"/>
      <c r="D90" s="293"/>
      <c r="E90" s="293"/>
      <c r="F90" s="293"/>
      <c r="G90" s="297">
        <f t="shared" ref="G90:P91" si="834">G52/C52-1</f>
        <v>4.0000000000000036E-2</v>
      </c>
      <c r="H90" s="297">
        <f t="shared" si="834"/>
        <v>3.0000000000000027E-2</v>
      </c>
      <c r="I90" s="297">
        <f t="shared" si="834"/>
        <v>4.0000000000000036E-2</v>
      </c>
      <c r="J90" s="297">
        <f t="shared" si="834"/>
        <v>0.12698412698412698</v>
      </c>
      <c r="K90" s="297">
        <f t="shared" si="834"/>
        <v>0.20906801007556686</v>
      </c>
      <c r="L90" s="297">
        <f t="shared" si="834"/>
        <v>0.20253164556962022</v>
      </c>
      <c r="M90" s="297">
        <f t="shared" si="834"/>
        <v>0.2005141388174807</v>
      </c>
      <c r="N90" s="297">
        <f t="shared" si="834"/>
        <v>0.1619718309859155</v>
      </c>
      <c r="O90" s="297">
        <f t="shared" si="834"/>
        <v>4.1666666666666519E-3</v>
      </c>
      <c r="P90" s="297">
        <f t="shared" si="834"/>
        <v>7.1578947368420964E-2</v>
      </c>
      <c r="Q90" s="297">
        <f t="shared" ref="Q90:Z91" si="835">Q52/M52-1</f>
        <v>3.2119914346895095E-2</v>
      </c>
      <c r="R90" s="297">
        <f t="shared" si="835"/>
        <v>1.6161616161616266E-2</v>
      </c>
      <c r="S90" s="297">
        <f t="shared" si="835"/>
        <v>7.6763485477178373E-2</v>
      </c>
      <c r="T90" s="297">
        <f t="shared" si="835"/>
        <v>4.1257367387033339E-2</v>
      </c>
      <c r="U90" s="297">
        <f t="shared" si="835"/>
        <v>0.10373443983402497</v>
      </c>
      <c r="V90" s="297">
        <f t="shared" si="835"/>
        <v>0.22862823061630211</v>
      </c>
      <c r="W90" s="297">
        <f t="shared" si="835"/>
        <v>8.6705202312138629E-2</v>
      </c>
      <c r="X90" s="297">
        <f t="shared" si="835"/>
        <v>0.14339622641509431</v>
      </c>
      <c r="Y90" s="297">
        <f t="shared" si="835"/>
        <v>0.12030075187969924</v>
      </c>
      <c r="Z90" s="297">
        <f t="shared" si="835"/>
        <v>3.2362459546926292E-3</v>
      </c>
      <c r="AA90" s="297">
        <f t="shared" ref="AA90:AD91" si="836">AA52/W52-1</f>
        <v>0.11524822695035453</v>
      </c>
      <c r="AB90" s="297">
        <f t="shared" si="836"/>
        <v>0.11056105610561051</v>
      </c>
      <c r="AC90" s="297">
        <f t="shared" si="836"/>
        <v>7.3825503355704702E-2</v>
      </c>
      <c r="AD90" s="297">
        <f t="shared" si="836"/>
        <v>0.12419354838709684</v>
      </c>
      <c r="AE90" s="297">
        <f t="shared" si="819"/>
        <v>8.2670906200317917E-2</v>
      </c>
      <c r="AF90" s="297">
        <f t="shared" si="819"/>
        <v>6.3893016344725106E-2</v>
      </c>
      <c r="AG90" s="297">
        <f t="shared" si="819"/>
        <v>7.3437500000000044E-2</v>
      </c>
      <c r="AH90" s="297">
        <f t="shared" si="819"/>
        <v>8.0344332855093237E-2</v>
      </c>
      <c r="AI90" s="297">
        <f t="shared" si="819"/>
        <v>0.15565345080763593</v>
      </c>
      <c r="AJ90" s="297">
        <f t="shared" si="819"/>
        <v>0.11452513966480438</v>
      </c>
      <c r="AK90" s="297">
        <f t="shared" si="819"/>
        <v>8.4425036390101793E-2</v>
      </c>
      <c r="AL90" s="297">
        <f t="shared" si="819"/>
        <v>2.1248339973439556E-2</v>
      </c>
      <c r="AM90" s="297">
        <f t="shared" si="819"/>
        <v>-1.6518424396442133E-2</v>
      </c>
      <c r="AN90" s="297">
        <f t="shared" si="819"/>
        <v>2.2556390977443552E-2</v>
      </c>
      <c r="AO90" s="297">
        <f t="shared" si="820"/>
        <v>6.8456375838926276E-2</v>
      </c>
      <c r="AP90" s="297">
        <f t="shared" si="820"/>
        <v>7.5422626788036462E-2</v>
      </c>
      <c r="AQ90" s="297">
        <f t="shared" si="820"/>
        <v>0.12403100775193798</v>
      </c>
      <c r="AR90" s="297">
        <f t="shared" si="820"/>
        <v>0.10416666666666674</v>
      </c>
      <c r="AS90" s="297">
        <f t="shared" si="820"/>
        <v>0.10175879396984921</v>
      </c>
      <c r="AT90" s="297">
        <f t="shared" si="820"/>
        <v>0.14147521160822252</v>
      </c>
      <c r="AU90" s="297">
        <f t="shared" si="820"/>
        <v>8.6206896551724199E-2</v>
      </c>
      <c r="AV90" s="297">
        <f t="shared" si="820"/>
        <v>0.13207547169811318</v>
      </c>
      <c r="AW90" s="297">
        <f t="shared" si="820"/>
        <v>9.1220068415051259E-2</v>
      </c>
      <c r="AX90" s="297">
        <f t="shared" ref="AX90:BJ91" si="837">AX52/AT52-1</f>
        <v>-2.754237288135597E-2</v>
      </c>
      <c r="AY90" s="297">
        <f t="shared" si="837"/>
        <v>8.4656084656085095E-3</v>
      </c>
      <c r="AZ90" s="297">
        <f t="shared" si="837"/>
        <v>2.0588235294117574E-2</v>
      </c>
      <c r="BA90" s="297">
        <f t="shared" si="837"/>
        <v>6.478578892372E-2</v>
      </c>
      <c r="BB90" s="297">
        <f t="shared" si="837"/>
        <v>0.20806100217864931</v>
      </c>
      <c r="BC90" s="297">
        <f t="shared" si="837"/>
        <v>0.20356768100734524</v>
      </c>
      <c r="BD90" s="297">
        <f t="shared" si="837"/>
        <v>8.7415946205571471E-2</v>
      </c>
      <c r="BE90" s="297">
        <f t="shared" si="837"/>
        <v>5.201177625122666E-2</v>
      </c>
      <c r="BF90" s="297">
        <f t="shared" si="837"/>
        <v>3.8773669972948621E-2</v>
      </c>
      <c r="BG90" s="297">
        <f t="shared" si="837"/>
        <v>4.0104620749781938E-2</v>
      </c>
      <c r="BH90" s="297">
        <f t="shared" si="837"/>
        <v>0.11042402826855113</v>
      </c>
      <c r="BI90" s="297">
        <f t="shared" si="837"/>
        <v>0.10727611940298498</v>
      </c>
      <c r="BJ90" s="297">
        <f t="shared" si="837"/>
        <v>7.03125E-2</v>
      </c>
      <c r="BK90" s="297"/>
      <c r="BL90" s="297"/>
      <c r="BM90" s="297"/>
      <c r="BN90" s="297"/>
      <c r="BO90" s="297"/>
      <c r="BP90" s="297"/>
      <c r="BQ90" s="297"/>
      <c r="BR90" s="297"/>
      <c r="BS90" s="297"/>
      <c r="BT90" s="297"/>
      <c r="BU90" s="297"/>
      <c r="BV90" s="297"/>
      <c r="BW90" s="297"/>
      <c r="BX90" s="297"/>
      <c r="BY90" s="297"/>
      <c r="BZ90" s="297"/>
      <c r="CA90" s="297"/>
      <c r="CB90" s="297"/>
      <c r="CC90" s="297"/>
      <c r="CD90" s="297"/>
      <c r="CE90" s="297"/>
      <c r="CF90" s="297"/>
      <c r="CG90" s="297"/>
      <c r="CH90" s="297"/>
      <c r="CI90" s="297"/>
      <c r="CJ90" s="297"/>
      <c r="CK90" s="297"/>
      <c r="CL90" s="297"/>
      <c r="CM90" s="297">
        <f t="shared" ref="CM90:CT90" si="838">CM54/CI54-1</f>
        <v>6.9444444444444198E-3</v>
      </c>
      <c r="CN90" s="297">
        <f t="shared" si="838"/>
        <v>-8.2466567607726637E-2</v>
      </c>
      <c r="CO90" s="297">
        <f t="shared" si="838"/>
        <v>-6.6358024691357986E-2</v>
      </c>
      <c r="CP90" s="297">
        <f t="shared" si="838"/>
        <v>-9.6017069701280211E-2</v>
      </c>
      <c r="CQ90" s="297">
        <f t="shared" si="838"/>
        <v>-0.27356321839080455</v>
      </c>
      <c r="CR90" s="297">
        <f t="shared" si="838"/>
        <v>-0.37246963562753033</v>
      </c>
      <c r="CS90" s="297">
        <f t="shared" si="838"/>
        <v>-0.17355371900826444</v>
      </c>
      <c r="CT90" s="297">
        <f t="shared" si="838"/>
        <v>-0.12195121951219512</v>
      </c>
      <c r="CU90" s="297">
        <f t="shared" ref="CU90:DG91" si="839">CU54/CQ54-1</f>
        <v>0.17932489451476785</v>
      </c>
      <c r="CV90" s="297">
        <f t="shared" si="839"/>
        <v>0.50709677419354837</v>
      </c>
      <c r="CW90" s="297">
        <f t="shared" si="839"/>
        <v>0.14399999999999991</v>
      </c>
      <c r="CX90" s="297">
        <f t="shared" si="839"/>
        <v>6.8100358422939156E-2</v>
      </c>
      <c r="CY90" s="297">
        <f t="shared" si="839"/>
        <v>2.5044722719141266E-2</v>
      </c>
      <c r="CZ90" s="297">
        <f t="shared" si="839"/>
        <v>-1.0273972602739767E-2</v>
      </c>
      <c r="DA90" s="297">
        <f t="shared" si="839"/>
        <v>1.2237762237762295E-2</v>
      </c>
      <c r="DB90" s="297">
        <f t="shared" si="839"/>
        <v>-6.9630872483221529E-2</v>
      </c>
      <c r="DC90" s="297">
        <f t="shared" si="839"/>
        <v>-2.4432809773123898E-2</v>
      </c>
      <c r="DD90" s="297">
        <f t="shared" si="839"/>
        <v>5.709342560553643E-2</v>
      </c>
      <c r="DE90" s="297">
        <f t="shared" si="839"/>
        <v>5.1813471502590858E-3</v>
      </c>
      <c r="DF90" s="297">
        <f t="shared" si="839"/>
        <v>5.2299368800721391E-2</v>
      </c>
      <c r="DG90" s="297">
        <f t="shared" si="839"/>
        <v>-2.7728085867620766E-2</v>
      </c>
      <c r="DH90" s="297">
        <f t="shared" ref="DH90:DH91" si="840">DH54/DD54-1</f>
        <v>1.0000000000000009E-2</v>
      </c>
      <c r="DI90" s="297">
        <f t="shared" ref="DI90:DI91" si="841">DI54/DE54-1</f>
        <v>1.0000000000000009E-2</v>
      </c>
      <c r="DJ90" s="297">
        <f t="shared" ref="DJ90:DJ91" si="842">DJ54/DF54-1</f>
        <v>1.0000000000000009E-2</v>
      </c>
      <c r="DK90" s="297">
        <f t="shared" ref="DK90:DK91" si="843">DK54/DG54-1</f>
        <v>1.0000000000000009E-2</v>
      </c>
      <c r="DL90" s="297">
        <f t="shared" ref="DL90:DL91" si="844">DL54/DH54-1</f>
        <v>1.0000000000000009E-2</v>
      </c>
      <c r="DM90" s="297">
        <f t="shared" ref="DM90:DM91" si="845">DM54/DI54-1</f>
        <v>1.0000000000000009E-2</v>
      </c>
      <c r="DN90" s="297">
        <f t="shared" ref="DN90:DN91" si="846">DN54/DJ54-1</f>
        <v>1.0000000000000009E-2</v>
      </c>
      <c r="DO90" s="296"/>
      <c r="DP90" s="245"/>
      <c r="DQ90" s="245"/>
      <c r="DR90" s="245"/>
      <c r="DS90" s="245"/>
      <c r="DT90" s="245"/>
      <c r="DU90" s="245"/>
      <c r="DV90" s="245"/>
      <c r="DW90" s="245"/>
      <c r="DX90" s="246">
        <f t="shared" ref="DX90:DZ91" si="847">DX52/DW52-1</f>
        <v>0</v>
      </c>
      <c r="DY90" s="246">
        <f t="shared" si="847"/>
        <v>5.3770491803278642E-2</v>
      </c>
      <c r="DZ90" s="246">
        <f t="shared" si="847"/>
        <v>0.20472930927193533</v>
      </c>
      <c r="EA90" s="246">
        <f t="shared" ref="EA90:EJ90" si="848">EA52/DZ52-1</f>
        <v>2.0661157024793431E-2</v>
      </c>
      <c r="EB90" s="246">
        <f t="shared" si="848"/>
        <v>0.11285425101214575</v>
      </c>
      <c r="EC90" s="246">
        <f t="shared" si="848"/>
        <v>8.5038653933606101E-2</v>
      </c>
      <c r="ED90" s="246">
        <f t="shared" si="848"/>
        <v>0.10603520536462696</v>
      </c>
      <c r="EE90" s="246">
        <f t="shared" si="848"/>
        <v>7.5028419856006057E-2</v>
      </c>
      <c r="EF90" s="246">
        <f t="shared" si="848"/>
        <v>9.2351075079309064E-2</v>
      </c>
      <c r="EG90" s="246">
        <f t="shared" si="848"/>
        <v>3.6786060019361022E-2</v>
      </c>
      <c r="EH90" s="246">
        <f t="shared" si="848"/>
        <v>0.11795829442888262</v>
      </c>
      <c r="EI90" s="246">
        <f t="shared" si="848"/>
        <v>6.9042316258351999E-2</v>
      </c>
      <c r="EJ90" s="246">
        <f t="shared" si="848"/>
        <v>7.3437500000000044E-2</v>
      </c>
      <c r="EK90" s="246">
        <f t="shared" ref="EK90:EQ91" si="849">EK52/EJ52-1</f>
        <v>9.243085880640467E-2</v>
      </c>
      <c r="EL90" s="246">
        <f t="shared" si="849"/>
        <v>8.1501221407950242E-2</v>
      </c>
      <c r="EM90" s="246">
        <f t="shared" si="849"/>
        <v>-1</v>
      </c>
      <c r="EN90" s="246" t="e">
        <f t="shared" si="849"/>
        <v>#DIV/0!</v>
      </c>
      <c r="EO90" s="246" t="e">
        <f t="shared" si="849"/>
        <v>#DIV/0!</v>
      </c>
      <c r="EP90" s="246" t="e">
        <f t="shared" si="849"/>
        <v>#DIV/0!</v>
      </c>
      <c r="EQ90" s="246" t="e">
        <f t="shared" si="849"/>
        <v>#DIV/0!</v>
      </c>
      <c r="ER90" s="246"/>
      <c r="ES90" s="246"/>
      <c r="ET90" s="246"/>
      <c r="EU90" s="246"/>
      <c r="FQ90" s="290"/>
      <c r="FR90" s="290"/>
      <c r="FS90" s="290"/>
      <c r="FT90"/>
      <c r="FU90" s="290"/>
      <c r="FV90" s="290"/>
      <c r="FW90" s="290"/>
    </row>
    <row r="91" spans="1:179" s="279" customFormat="1" ht="12.75" customHeight="1" x14ac:dyDescent="0.2">
      <c r="A91" s="1"/>
      <c r="B91" t="s">
        <v>122</v>
      </c>
      <c r="C91" s="293"/>
      <c r="D91" s="293"/>
      <c r="E91" s="293"/>
      <c r="F91" s="293"/>
      <c r="G91" s="297">
        <f t="shared" si="834"/>
        <v>0.15999999999999992</v>
      </c>
      <c r="H91" s="297">
        <f t="shared" si="834"/>
        <v>0.16999999999999993</v>
      </c>
      <c r="I91" s="297">
        <f t="shared" si="834"/>
        <v>0.16999999999999993</v>
      </c>
      <c r="J91" s="297">
        <f t="shared" si="834"/>
        <v>0.2234848484848484</v>
      </c>
      <c r="K91" s="297">
        <f t="shared" si="834"/>
        <v>0.50352112676056349</v>
      </c>
      <c r="L91" s="297">
        <f t="shared" si="834"/>
        <v>0.48620689655172411</v>
      </c>
      <c r="M91" s="297">
        <f t="shared" si="834"/>
        <v>0.46101694915254243</v>
      </c>
      <c r="N91" s="297">
        <f t="shared" si="834"/>
        <v>0.39318885448916419</v>
      </c>
      <c r="O91" s="297">
        <f t="shared" si="834"/>
        <v>4.9180327868852514E-2</v>
      </c>
      <c r="P91" s="297">
        <f t="shared" si="834"/>
        <v>7.4245939675174011E-2</v>
      </c>
      <c r="Q91" s="297">
        <f t="shared" si="835"/>
        <v>3.7122969837587005E-2</v>
      </c>
      <c r="R91" s="297">
        <f t="shared" si="835"/>
        <v>7.1111111111111125E-2</v>
      </c>
      <c r="S91" s="297">
        <f t="shared" si="835"/>
        <v>6.0267857142857206E-2</v>
      </c>
      <c r="T91" s="297">
        <f t="shared" si="835"/>
        <v>7.7753779697624203E-2</v>
      </c>
      <c r="U91" s="297">
        <f t="shared" si="835"/>
        <v>0.12527964205816544</v>
      </c>
      <c r="V91" s="297">
        <f t="shared" si="835"/>
        <v>8.5062240663900335E-2</v>
      </c>
      <c r="W91" s="297">
        <f t="shared" si="835"/>
        <v>9.6842105263157841E-2</v>
      </c>
      <c r="X91" s="297">
        <f t="shared" si="835"/>
        <v>0.1523046092184368</v>
      </c>
      <c r="Y91" s="297">
        <f t="shared" si="835"/>
        <v>0.13518886679920472</v>
      </c>
      <c r="Z91" s="297">
        <f t="shared" si="835"/>
        <v>0.19502868068833656</v>
      </c>
      <c r="AA91" s="297">
        <f t="shared" si="836"/>
        <v>0.19577735124760087</v>
      </c>
      <c r="AB91" s="297">
        <f t="shared" si="836"/>
        <v>0.1286956521739131</v>
      </c>
      <c r="AC91" s="297">
        <f t="shared" si="836"/>
        <v>8.9316987740805542E-2</v>
      </c>
      <c r="AD91" s="297">
        <f t="shared" si="836"/>
        <v>0.10880000000000001</v>
      </c>
      <c r="AE91" s="297">
        <f t="shared" si="819"/>
        <v>6.7415730337078594E-2</v>
      </c>
      <c r="AF91" s="297">
        <f t="shared" si="819"/>
        <v>9.3990755007704152E-2</v>
      </c>
      <c r="AG91" s="297">
        <f t="shared" si="819"/>
        <v>8.0385852090032239E-2</v>
      </c>
      <c r="AH91" s="297">
        <f t="shared" si="819"/>
        <v>0.15728715728715725</v>
      </c>
      <c r="AI91" s="297">
        <f t="shared" si="819"/>
        <v>0.15338345864661651</v>
      </c>
      <c r="AJ91" s="297">
        <f t="shared" si="819"/>
        <v>0.10563380281690149</v>
      </c>
      <c r="AK91" s="297">
        <f t="shared" si="819"/>
        <v>7.5892857142857206E-2</v>
      </c>
      <c r="AL91" s="297">
        <f t="shared" si="819"/>
        <v>2.6184538653366562E-2</v>
      </c>
      <c r="AM91" s="297">
        <f t="shared" si="819"/>
        <v>3.5202086049543668E-2</v>
      </c>
      <c r="AN91" s="297">
        <f t="shared" si="819"/>
        <v>9.1719745222929916E-2</v>
      </c>
      <c r="AO91" s="297">
        <f t="shared" si="820"/>
        <v>0.14246196403872746</v>
      </c>
      <c r="AP91" s="297">
        <f t="shared" si="820"/>
        <v>9.3560145808019524E-2</v>
      </c>
      <c r="AQ91" s="297">
        <f t="shared" si="820"/>
        <v>0.12216624685138533</v>
      </c>
      <c r="AR91" s="297">
        <f t="shared" si="820"/>
        <v>0.11668611435239207</v>
      </c>
      <c r="AS91" s="297">
        <f t="shared" si="820"/>
        <v>0.116222760290557</v>
      </c>
      <c r="AT91" s="297">
        <f t="shared" si="820"/>
        <v>0.18222222222222229</v>
      </c>
      <c r="AU91" s="297">
        <f t="shared" si="820"/>
        <v>0.12570145903479246</v>
      </c>
      <c r="AV91" s="297">
        <f t="shared" si="820"/>
        <v>0.17450365726227801</v>
      </c>
      <c r="AW91" s="297">
        <f t="shared" si="820"/>
        <v>0.13015184381778733</v>
      </c>
      <c r="AX91" s="297">
        <f t="shared" si="837"/>
        <v>4.9812030075187863E-2</v>
      </c>
      <c r="AY91" s="297">
        <f t="shared" si="837"/>
        <v>1.1964107676968982E-2</v>
      </c>
      <c r="AZ91" s="297">
        <f t="shared" si="837"/>
        <v>-8.0071174377224219E-3</v>
      </c>
      <c r="BA91" s="297">
        <f t="shared" si="837"/>
        <v>6.1420345489443307E-2</v>
      </c>
      <c r="BB91" s="297">
        <f t="shared" si="837"/>
        <v>0.12444046553267674</v>
      </c>
      <c r="BC91" s="297">
        <f t="shared" si="837"/>
        <v>0.15073891625615765</v>
      </c>
      <c r="BD91" s="297">
        <f t="shared" si="837"/>
        <v>7.2645739910313978E-2</v>
      </c>
      <c r="BE91" s="297">
        <f t="shared" si="837"/>
        <v>2.8028933092224317E-2</v>
      </c>
      <c r="BF91" s="297">
        <f t="shared" si="837"/>
        <v>7.9617834394896114E-4</v>
      </c>
      <c r="BG91" s="297">
        <f t="shared" si="837"/>
        <v>4.5376712328767166E-2</v>
      </c>
      <c r="BH91" s="297">
        <f t="shared" si="837"/>
        <v>8.2775919732441361E-2</v>
      </c>
      <c r="BI91" s="297">
        <f t="shared" si="837"/>
        <v>8.267370272647323E-2</v>
      </c>
      <c r="BJ91" s="297">
        <f t="shared" si="837"/>
        <v>6.0461416070007878E-2</v>
      </c>
      <c r="BK91" s="297"/>
      <c r="BL91" s="297"/>
      <c r="BM91" s="297"/>
      <c r="BN91" s="297"/>
      <c r="BO91" s="297"/>
      <c r="BP91" s="297"/>
      <c r="BQ91" s="297"/>
      <c r="BR91" s="297"/>
      <c r="BS91" s="297"/>
      <c r="BT91" s="297"/>
      <c r="BU91" s="297"/>
      <c r="BV91" s="297"/>
      <c r="BW91" s="297"/>
      <c r="BX91" s="297"/>
      <c r="BY91" s="297"/>
      <c r="BZ91" s="297"/>
      <c r="CA91" s="297"/>
      <c r="CB91" s="297"/>
      <c r="CC91" s="297"/>
      <c r="CD91" s="297"/>
      <c r="CE91" s="297"/>
      <c r="CF91" s="297"/>
      <c r="CG91" s="297"/>
      <c r="CH91" s="297"/>
      <c r="CI91" s="297"/>
      <c r="CJ91" s="297"/>
      <c r="CK91" s="297"/>
      <c r="CL91" s="297"/>
      <c r="CM91" s="297">
        <f t="shared" ref="CM91:CT91" si="850">CM55/CI55-1</f>
        <v>-3.3717834960070969E-2</v>
      </c>
      <c r="CN91" s="297">
        <f t="shared" si="850"/>
        <v>-4.2771599657827175E-2</v>
      </c>
      <c r="CO91" s="297">
        <f t="shared" si="850"/>
        <v>1.9444444444444375E-2</v>
      </c>
      <c r="CP91" s="297">
        <f t="shared" si="850"/>
        <v>-8.4674005080440651E-3</v>
      </c>
      <c r="CQ91" s="297">
        <f t="shared" si="850"/>
        <v>5.8769513314967936E-2</v>
      </c>
      <c r="CR91" s="297">
        <f t="shared" si="850"/>
        <v>-0.30741733690795348</v>
      </c>
      <c r="CS91" s="297">
        <f t="shared" si="850"/>
        <v>4.632152588555849E-2</v>
      </c>
      <c r="CT91" s="297">
        <f t="shared" si="850"/>
        <v>0.12040990606319379</v>
      </c>
      <c r="CU91" s="297">
        <f t="shared" si="839"/>
        <v>8.759757155247172E-2</v>
      </c>
      <c r="CV91" s="297">
        <f t="shared" si="839"/>
        <v>0.74709677419354836</v>
      </c>
      <c r="CW91" s="297">
        <f t="shared" si="839"/>
        <v>9.461805555555558E-2</v>
      </c>
      <c r="CX91" s="297">
        <f t="shared" si="839"/>
        <v>6.8597560975609539E-3</v>
      </c>
      <c r="CY91" s="297">
        <f t="shared" si="839"/>
        <v>2.7113237639553533E-2</v>
      </c>
      <c r="CZ91" s="297">
        <f t="shared" si="839"/>
        <v>-4.4313146233382561E-2</v>
      </c>
      <c r="DA91" s="297">
        <f t="shared" si="839"/>
        <v>2.3790642347343294E-3</v>
      </c>
      <c r="DB91" s="297">
        <f t="shared" si="839"/>
        <v>-3.4822104466313397E-2</v>
      </c>
      <c r="DC91" s="297">
        <f t="shared" si="839"/>
        <v>2.1739130434782705E-2</v>
      </c>
      <c r="DD91" s="297">
        <f t="shared" si="839"/>
        <v>6.0278207109737192E-2</v>
      </c>
      <c r="DE91" s="297">
        <f t="shared" si="839"/>
        <v>3.9556962025316444E-2</v>
      </c>
      <c r="DF91" s="297">
        <f t="shared" si="839"/>
        <v>6.9803921568627469E-2</v>
      </c>
      <c r="DG91" s="297">
        <f t="shared" si="839"/>
        <v>1.0638297872340496E-2</v>
      </c>
      <c r="DH91" s="297">
        <f t="shared" si="840"/>
        <v>1.0000000000000009E-2</v>
      </c>
      <c r="DI91" s="297">
        <f t="shared" si="841"/>
        <v>1.0000000000000009E-2</v>
      </c>
      <c r="DJ91" s="297">
        <f t="shared" si="842"/>
        <v>1.0000000000000009E-2</v>
      </c>
      <c r="DK91" s="297">
        <f t="shared" si="843"/>
        <v>1.0000000000000009E-2</v>
      </c>
      <c r="DL91" s="297">
        <f t="shared" si="844"/>
        <v>1.0000000000000009E-2</v>
      </c>
      <c r="DM91" s="297">
        <f t="shared" si="845"/>
        <v>1.0000000000000009E-2</v>
      </c>
      <c r="DN91" s="297">
        <f t="shared" si="846"/>
        <v>1.0000000000000009E-2</v>
      </c>
      <c r="DO91" s="296"/>
      <c r="DP91" s="245"/>
      <c r="DQ91" s="245"/>
      <c r="DR91" s="245"/>
      <c r="DS91" s="245"/>
      <c r="DT91" s="245"/>
      <c r="DU91" s="245"/>
      <c r="DV91" s="245"/>
      <c r="DW91" s="245"/>
      <c r="DX91" s="246">
        <f t="shared" si="847"/>
        <v>0.15999999999999992</v>
      </c>
      <c r="DY91" s="246">
        <f t="shared" si="847"/>
        <v>0.18156959256220939</v>
      </c>
      <c r="DZ91" s="246">
        <f t="shared" si="847"/>
        <v>0.45889261744966436</v>
      </c>
      <c r="EA91" s="246">
        <f t="shared" ref="EA91:EJ91" si="851">EA53/DZ53-1</f>
        <v>5.8079355951696332E-2</v>
      </c>
      <c r="EB91" s="246">
        <f t="shared" si="851"/>
        <v>8.6956521739130377E-2</v>
      </c>
      <c r="EC91" s="246">
        <f t="shared" si="851"/>
        <v>0.14599999999999991</v>
      </c>
      <c r="ED91" s="246">
        <f t="shared" si="851"/>
        <v>0.12870855148342053</v>
      </c>
      <c r="EE91" s="246">
        <f t="shared" si="851"/>
        <v>0.10127560881329734</v>
      </c>
      <c r="EF91" s="246">
        <f t="shared" si="851"/>
        <v>8.7399087399087305E-2</v>
      </c>
      <c r="EG91" s="246">
        <f t="shared" si="851"/>
        <v>9.0058102001291163E-2</v>
      </c>
      <c r="EH91" s="246">
        <f t="shared" si="851"/>
        <v>0.13532721350310917</v>
      </c>
      <c r="EI91" s="246">
        <f t="shared" si="851"/>
        <v>0.11789254042775177</v>
      </c>
      <c r="EJ91" s="246">
        <f t="shared" si="851"/>
        <v>4.8063462435837589E-2</v>
      </c>
      <c r="EK91" s="246">
        <f t="shared" si="849"/>
        <v>5.9216384683882461E-2</v>
      </c>
      <c r="EL91" s="246">
        <f t="shared" si="849"/>
        <v>6.767549390500216E-2</v>
      </c>
      <c r="EM91" s="246">
        <f t="shared" si="849"/>
        <v>-1</v>
      </c>
      <c r="EN91" s="246" t="e">
        <f t="shared" si="849"/>
        <v>#DIV/0!</v>
      </c>
      <c r="EO91" s="246" t="e">
        <f t="shared" si="849"/>
        <v>#DIV/0!</v>
      </c>
      <c r="EP91" s="246" t="e">
        <f t="shared" si="849"/>
        <v>#DIV/0!</v>
      </c>
      <c r="EQ91" s="246" t="e">
        <f t="shared" si="849"/>
        <v>#DIV/0!</v>
      </c>
      <c r="ER91" s="246"/>
      <c r="ES91" s="246"/>
      <c r="ET91" s="246"/>
      <c r="EU91" s="246"/>
      <c r="FQ91" s="290"/>
      <c r="FR91" s="290"/>
      <c r="FS91" s="291"/>
      <c r="FT91"/>
      <c r="FU91" s="291"/>
      <c r="FV91" s="290"/>
      <c r="FW91" s="290"/>
    </row>
    <row r="92" spans="1:179" s="279" customFormat="1" ht="12.75" customHeight="1" x14ac:dyDescent="0.2">
      <c r="A92" s="1"/>
      <c r="B92" t="s">
        <v>124</v>
      </c>
      <c r="C92" s="293"/>
      <c r="D92" s="293"/>
      <c r="E92" s="293"/>
      <c r="F92" s="293"/>
      <c r="G92" s="297">
        <f t="shared" ref="G92:AL92" si="852">G58/C58-1</f>
        <v>3.0000000000000027E-2</v>
      </c>
      <c r="H92" s="297">
        <f t="shared" si="852"/>
        <v>0</v>
      </c>
      <c r="I92" s="297">
        <f t="shared" si="852"/>
        <v>-1.8333333333333313E-2</v>
      </c>
      <c r="J92" s="297">
        <f t="shared" si="852"/>
        <v>6.7961165048543659E-2</v>
      </c>
      <c r="K92" s="297">
        <f t="shared" si="852"/>
        <v>6.7632850241545972E-2</v>
      </c>
      <c r="L92" s="297">
        <f t="shared" si="852"/>
        <v>0.11428571428571432</v>
      </c>
      <c r="M92" s="297">
        <f t="shared" si="852"/>
        <v>0.14746543778801846</v>
      </c>
      <c r="N92" s="297">
        <f t="shared" si="852"/>
        <v>5.9090909090909083E-2</v>
      </c>
      <c r="O92" s="297">
        <f t="shared" si="852"/>
        <v>9.5022624434389247E-2</v>
      </c>
      <c r="P92" s="297">
        <f t="shared" si="852"/>
        <v>8.9743589743589647E-2</v>
      </c>
      <c r="Q92" s="297">
        <f t="shared" si="852"/>
        <v>0.10040160642570273</v>
      </c>
      <c r="R92" s="297">
        <f t="shared" si="852"/>
        <v>0.11587982832618016</v>
      </c>
      <c r="S92" s="297">
        <f t="shared" si="852"/>
        <v>9.0909090909090828E-2</v>
      </c>
      <c r="T92" s="297">
        <f t="shared" si="852"/>
        <v>3.9215686274509887E-2</v>
      </c>
      <c r="U92" s="297">
        <f t="shared" si="852"/>
        <v>2.9197080291970767E-2</v>
      </c>
      <c r="V92" s="297">
        <f t="shared" si="852"/>
        <v>-3.0769230769230771E-2</v>
      </c>
      <c r="W92" s="297">
        <f t="shared" si="852"/>
        <v>2.2727272727272707E-2</v>
      </c>
      <c r="X92" s="297">
        <f t="shared" si="852"/>
        <v>8.679245283018866E-2</v>
      </c>
      <c r="Y92" s="297">
        <f t="shared" si="852"/>
        <v>0.1063829787234043</v>
      </c>
      <c r="Z92" s="297">
        <f t="shared" si="852"/>
        <v>0.18253968253968256</v>
      </c>
      <c r="AA92" s="297">
        <f t="shared" si="852"/>
        <v>0.11111111111111116</v>
      </c>
      <c r="AB92" s="297">
        <f t="shared" si="852"/>
        <v>0.10069444444444442</v>
      </c>
      <c r="AC92" s="297">
        <f t="shared" si="852"/>
        <v>9.6153846153846256E-2</v>
      </c>
      <c r="AD92" s="297">
        <f t="shared" si="852"/>
        <v>0.13758389261744974</v>
      </c>
      <c r="AE92" s="297">
        <f t="shared" si="852"/>
        <v>0.17999999999999994</v>
      </c>
      <c r="AF92" s="297">
        <f t="shared" si="852"/>
        <v>0.18927444794952675</v>
      </c>
      <c r="AG92" s="297">
        <f t="shared" si="852"/>
        <v>0.14619883040935666</v>
      </c>
      <c r="AH92" s="297">
        <f t="shared" si="852"/>
        <v>0.20058997050147487</v>
      </c>
      <c r="AI92" s="297">
        <f t="shared" si="852"/>
        <v>0.14971751412429368</v>
      </c>
      <c r="AJ92" s="297">
        <f t="shared" si="852"/>
        <v>0.12997347480106103</v>
      </c>
      <c r="AK92" s="297">
        <f t="shared" si="852"/>
        <v>0.13010204081632648</v>
      </c>
      <c r="AL92" s="297">
        <f t="shared" si="852"/>
        <v>2.7027027027026973E-2</v>
      </c>
      <c r="AM92" s="297">
        <f t="shared" ref="AM92:BR92" si="853">AM58/AI58-1</f>
        <v>8.3538083538083452E-2</v>
      </c>
      <c r="AN92" s="297">
        <f t="shared" si="853"/>
        <v>0.11267605633802824</v>
      </c>
      <c r="AO92" s="297">
        <f t="shared" si="853"/>
        <v>0.1128668171557563</v>
      </c>
      <c r="AP92" s="297">
        <f t="shared" si="853"/>
        <v>0.12679425837320579</v>
      </c>
      <c r="AQ92" s="297">
        <f t="shared" si="853"/>
        <v>0.16326530612244894</v>
      </c>
      <c r="AR92" s="297">
        <f t="shared" si="853"/>
        <v>0.16666666666666674</v>
      </c>
      <c r="AS92" s="297">
        <f t="shared" si="853"/>
        <v>0.17038539553752541</v>
      </c>
      <c r="AT92" s="297">
        <f t="shared" si="853"/>
        <v>0.20169851380042458</v>
      </c>
      <c r="AU92" s="297">
        <f t="shared" si="853"/>
        <v>0.18323586744639386</v>
      </c>
      <c r="AV92" s="297">
        <f t="shared" si="853"/>
        <v>0.15551537070524413</v>
      </c>
      <c r="AW92" s="297">
        <f t="shared" si="853"/>
        <v>0.12998266897746968</v>
      </c>
      <c r="AX92" s="297">
        <f t="shared" si="853"/>
        <v>6.360424028268552E-2</v>
      </c>
      <c r="AY92" s="297">
        <f t="shared" si="853"/>
        <v>-1.3179571663920919E-2</v>
      </c>
      <c r="AZ92" s="297">
        <f t="shared" si="853"/>
        <v>-1.4084507042253502E-2</v>
      </c>
      <c r="BA92" s="297">
        <f t="shared" si="853"/>
        <v>1.0736196319018454E-2</v>
      </c>
      <c r="BB92" s="297">
        <f t="shared" si="853"/>
        <v>2.6578073089700949E-2</v>
      </c>
      <c r="BC92" s="297">
        <f t="shared" si="853"/>
        <v>0.10851419031719534</v>
      </c>
      <c r="BD92" s="297">
        <f t="shared" si="853"/>
        <v>5.0793650793650835E-2</v>
      </c>
      <c r="BE92" s="297">
        <f t="shared" si="853"/>
        <v>5.4628224582701002E-2</v>
      </c>
      <c r="BF92" s="297">
        <f t="shared" si="853"/>
        <v>6.6343042071197456E-2</v>
      </c>
      <c r="BG92" s="297">
        <f t="shared" si="853"/>
        <v>8.7349397590361422E-2</v>
      </c>
      <c r="BH92" s="297">
        <f t="shared" si="853"/>
        <v>0.10574018126888207</v>
      </c>
      <c r="BI92" s="297">
        <f t="shared" si="853"/>
        <v>8.2014388489208612E-2</v>
      </c>
      <c r="BJ92" s="297">
        <f t="shared" si="853"/>
        <v>7.7389984825493086E-2</v>
      </c>
      <c r="BK92" s="297">
        <f t="shared" si="853"/>
        <v>4.8476454293628901E-2</v>
      </c>
      <c r="BL92" s="297">
        <f t="shared" si="853"/>
        <v>-2.732240437158473E-3</v>
      </c>
      <c r="BM92" s="297">
        <f t="shared" si="853"/>
        <v>1.5957446808510634E-2</v>
      </c>
      <c r="BN92" s="297">
        <f t="shared" si="853"/>
        <v>4.9295774647887258E-2</v>
      </c>
      <c r="BO92" s="297">
        <f t="shared" si="853"/>
        <v>-2.2457067371202122E-2</v>
      </c>
      <c r="BP92" s="297">
        <f t="shared" si="853"/>
        <v>0</v>
      </c>
      <c r="BQ92" s="297">
        <f t="shared" si="853"/>
        <v>-2.0942408376963373E-2</v>
      </c>
      <c r="BR92" s="297">
        <f t="shared" si="853"/>
        <v>-3.4899328859060441E-2</v>
      </c>
      <c r="BS92" s="297">
        <f t="shared" ref="BS92:BZ92" si="854">BS58/BO58-1</f>
        <v>2.8378378378378422E-2</v>
      </c>
      <c r="BT92" s="297">
        <f t="shared" si="854"/>
        <v>-3.150684931506853E-2</v>
      </c>
      <c r="BU92" s="297">
        <f t="shared" si="854"/>
        <v>-5.8823529411764719E-2</v>
      </c>
      <c r="BV92" s="297">
        <f t="shared" si="854"/>
        <v>-0.10152990264255912</v>
      </c>
      <c r="BW92" s="297">
        <f t="shared" si="854"/>
        <v>-0.17082785808147172</v>
      </c>
      <c r="BX92" s="297">
        <f t="shared" si="854"/>
        <v>-8.6280056577086262E-2</v>
      </c>
      <c r="BY92" s="297">
        <f t="shared" si="854"/>
        <v>-2.9829545454545414E-2</v>
      </c>
      <c r="BZ92" s="297">
        <f t="shared" si="854"/>
        <v>3.0959752321981782E-3</v>
      </c>
      <c r="CA92" s="297"/>
      <c r="CB92" s="297"/>
      <c r="CC92" s="297"/>
      <c r="CD92" s="297"/>
      <c r="CE92" s="297"/>
      <c r="CF92" s="297"/>
      <c r="CG92" s="297"/>
      <c r="CH92" s="297"/>
      <c r="CI92" s="297"/>
      <c r="CJ92" s="297"/>
      <c r="CK92" s="297"/>
      <c r="CL92" s="297"/>
      <c r="CM92" s="297"/>
      <c r="CN92" s="297"/>
      <c r="CO92" s="297"/>
      <c r="CP92" s="297"/>
      <c r="CQ92" s="297"/>
      <c r="CR92" s="297"/>
      <c r="CS92" s="297"/>
      <c r="CT92" s="297"/>
      <c r="CU92" s="297"/>
      <c r="CV92" s="297"/>
      <c r="CW92" s="297"/>
      <c r="CX92" s="297"/>
      <c r="CY92" s="297"/>
      <c r="CZ92" s="297"/>
      <c r="DA92" s="297"/>
      <c r="DB92" s="297"/>
      <c r="DC92" s="297"/>
      <c r="DD92" s="297"/>
      <c r="DE92" s="297"/>
      <c r="DF92" s="297"/>
      <c r="DG92" s="297"/>
      <c r="DH92" s="297"/>
      <c r="DI92" s="297"/>
      <c r="DJ92" s="297"/>
      <c r="DK92" s="297"/>
      <c r="DL92" s="297"/>
      <c r="DM92" s="297"/>
      <c r="DN92" s="297"/>
      <c r="DO92" s="296"/>
      <c r="DP92" s="245"/>
      <c r="DQ92" s="245"/>
      <c r="DR92" s="245"/>
      <c r="DS92" s="245"/>
      <c r="DT92" s="245"/>
      <c r="DU92" s="245"/>
      <c r="DV92" s="245"/>
      <c r="DW92" s="245"/>
      <c r="DX92" s="246">
        <f t="shared" ref="DX92:EQ92" si="855">DX58/DW58-1</f>
        <v>0.16999999999999993</v>
      </c>
      <c r="DY92" s="246">
        <f t="shared" si="855"/>
        <v>9.4562647754137252E-3</v>
      </c>
      <c r="DZ92" s="246">
        <f t="shared" si="855"/>
        <v>0.11592505854800939</v>
      </c>
      <c r="EA92" s="246">
        <f t="shared" si="855"/>
        <v>8.1846799580272744E-2</v>
      </c>
      <c r="EB92" s="246">
        <f t="shared" si="855"/>
        <v>3.1037827352085268E-2</v>
      </c>
      <c r="EC92" s="246">
        <f t="shared" si="855"/>
        <v>9.8777046095954946E-2</v>
      </c>
      <c r="ED92" s="246">
        <f t="shared" si="855"/>
        <v>0.11130136986301364</v>
      </c>
      <c r="EE92" s="246">
        <f t="shared" si="855"/>
        <v>0.17873651771956856</v>
      </c>
      <c r="EF92" s="246">
        <f t="shared" si="855"/>
        <v>0.10718954248366019</v>
      </c>
      <c r="EG92" s="246">
        <f t="shared" si="855"/>
        <v>0.10920897284533648</v>
      </c>
      <c r="EH92" s="246">
        <f t="shared" si="855"/>
        <v>0.17562533262373603</v>
      </c>
      <c r="EI92" s="246">
        <f t="shared" si="855"/>
        <v>0.13173381620642832</v>
      </c>
      <c r="EJ92" s="246">
        <f t="shared" si="855"/>
        <v>2.3999999999999577E-3</v>
      </c>
      <c r="EK92" s="246">
        <f t="shared" si="855"/>
        <v>6.9433359936153183E-2</v>
      </c>
      <c r="EL92" s="246">
        <f t="shared" si="855"/>
        <v>8.8059701492537279E-2</v>
      </c>
      <c r="EM92" s="246">
        <f t="shared" si="855"/>
        <v>2.7434842249657088E-2</v>
      </c>
      <c r="EN92" s="246">
        <f t="shared" si="855"/>
        <v>-1.9692923898531389E-2</v>
      </c>
      <c r="EO92" s="246">
        <f t="shared" si="855"/>
        <v>-5.0000000000000044E-3</v>
      </c>
      <c r="EP92" s="246">
        <f t="shared" si="855"/>
        <v>-5.0000000000000044E-3</v>
      </c>
      <c r="EQ92" s="246">
        <f t="shared" si="855"/>
        <v>-5.0000000000000044E-3</v>
      </c>
      <c r="ER92" s="246"/>
      <c r="ES92" s="246"/>
      <c r="ET92" s="246"/>
      <c r="EU92" s="246"/>
      <c r="EW92" s="245">
        <f t="shared" ref="EW92:FE92" si="856">+EW58/EV58-1</f>
        <v>3.4343003412969253E-2</v>
      </c>
      <c r="EX92" s="245">
        <f t="shared" si="856"/>
        <v>-5.0000000000000044E-3</v>
      </c>
      <c r="EY92" s="245">
        <f t="shared" si="856"/>
        <v>-5.0000000000000044E-3</v>
      </c>
      <c r="EZ92" s="245">
        <f t="shared" si="856"/>
        <v>-5.0000000000000044E-3</v>
      </c>
      <c r="FA92" s="245">
        <f t="shared" si="856"/>
        <v>-4.9999999999998934E-3</v>
      </c>
      <c r="FB92" s="245">
        <f t="shared" si="856"/>
        <v>-5.0000000000000044E-3</v>
      </c>
      <c r="FC92" s="245">
        <f t="shared" si="856"/>
        <v>-5.0000000000000044E-3</v>
      </c>
      <c r="FD92" s="245">
        <f t="shared" si="856"/>
        <v>-5.0000000000001155E-3</v>
      </c>
      <c r="FE92" s="245">
        <f t="shared" si="856"/>
        <v>-5.0000000000000044E-3</v>
      </c>
      <c r="FF92" s="245"/>
      <c r="FG92" s="245"/>
      <c r="FH92" s="245"/>
      <c r="FI92" s="245"/>
      <c r="FJ92" s="245"/>
      <c r="FQ92" s="290"/>
      <c r="FR92" s="290"/>
      <c r="FS92" s="291"/>
      <c r="FT92"/>
      <c r="FU92" s="291"/>
      <c r="FV92" s="290"/>
      <c r="FW92" s="290"/>
    </row>
    <row r="93" spans="1:179" ht="12.75" customHeight="1" x14ac:dyDescent="0.2">
      <c r="AE93" s="243"/>
      <c r="AF93" s="243"/>
      <c r="AG93" s="243"/>
      <c r="AH93" s="243"/>
      <c r="AI93" s="243"/>
      <c r="AJ93" s="243"/>
      <c r="AK93" s="243"/>
      <c r="AL93" s="243"/>
      <c r="AM93" s="243"/>
      <c r="AN93" s="243"/>
      <c r="AO93" s="243"/>
      <c r="AP93" s="243"/>
      <c r="AQ93" s="243"/>
      <c r="AR93" s="243"/>
      <c r="AS93" s="243"/>
      <c r="AT93" s="243"/>
      <c r="AU93" s="243"/>
      <c r="AV93" s="243"/>
      <c r="AW93" s="243"/>
      <c r="AX93" s="243"/>
      <c r="DP93" s="276"/>
      <c r="DQ93" s="276"/>
      <c r="DR93" s="276"/>
      <c r="DS93" s="276"/>
      <c r="DT93" s="276"/>
      <c r="DU93" s="276"/>
      <c r="DV93" s="276"/>
      <c r="DW93" s="276"/>
      <c r="DX93" s="276"/>
      <c r="DY93" s="276"/>
      <c r="DZ93" s="276"/>
      <c r="EA93" s="298"/>
      <c r="EB93" s="298"/>
      <c r="EC93" s="298"/>
      <c r="ED93" s="235"/>
      <c r="EE93" s="235"/>
      <c r="EF93" s="235"/>
      <c r="EG93" s="283"/>
      <c r="EH93" s="283"/>
      <c r="EI93" s="283"/>
      <c r="EJ93" s="283"/>
      <c r="EK93" s="283"/>
      <c r="EL93" s="276"/>
      <c r="EM93" s="276"/>
      <c r="EN93" s="276"/>
      <c r="EO93" s="276"/>
      <c r="EP93" s="276"/>
      <c r="EQ93" s="276"/>
      <c r="ER93" s="276"/>
      <c r="ES93" s="276"/>
      <c r="ET93" s="276"/>
      <c r="EU93" s="276"/>
    </row>
    <row r="94" spans="1:179" ht="12.75" customHeight="1" x14ac:dyDescent="0.2">
      <c r="B94" t="s">
        <v>351</v>
      </c>
      <c r="C94" s="240">
        <f t="shared" ref="C94:AH94" si="857">C63/C61</f>
        <v>0.68993875765529311</v>
      </c>
      <c r="D94" s="240">
        <f t="shared" si="857"/>
        <v>0.693050193050193</v>
      </c>
      <c r="E94" s="240">
        <f t="shared" si="857"/>
        <v>0.68671679197994984</v>
      </c>
      <c r="F94" s="240">
        <f t="shared" si="857"/>
        <v>0.66589698046181167</v>
      </c>
      <c r="G94" s="240">
        <f t="shared" si="857"/>
        <v>0.69272004150095101</v>
      </c>
      <c r="H94" s="240">
        <f t="shared" si="857"/>
        <v>0.68822410513574273</v>
      </c>
      <c r="I94" s="240">
        <f t="shared" si="857"/>
        <v>0.69287211740041932</v>
      </c>
      <c r="J94" s="240">
        <f t="shared" si="857"/>
        <v>0.67048845610177477</v>
      </c>
      <c r="K94" s="240">
        <f t="shared" si="857"/>
        <v>0.69297981319674595</v>
      </c>
      <c r="L94" s="240">
        <f t="shared" si="857"/>
        <v>0.69565217391304346</v>
      </c>
      <c r="M94" s="240">
        <f t="shared" si="857"/>
        <v>0.69921469847384798</v>
      </c>
      <c r="N94" s="240">
        <f t="shared" si="857"/>
        <v>0.68285589646648248</v>
      </c>
      <c r="O94" s="240">
        <f t="shared" si="857"/>
        <v>0.69381062986746822</v>
      </c>
      <c r="P94" s="241">
        <f t="shared" si="857"/>
        <v>0.6995205114544486</v>
      </c>
      <c r="Q94" s="240">
        <f t="shared" si="857"/>
        <v>0.69752915047196007</v>
      </c>
      <c r="R94" s="240">
        <f t="shared" si="857"/>
        <v>0.69259988745075973</v>
      </c>
      <c r="S94" s="240">
        <f t="shared" si="857"/>
        <v>0.70748299319727892</v>
      </c>
      <c r="T94" s="241">
        <f t="shared" si="857"/>
        <v>0.71685447134979619</v>
      </c>
      <c r="U94" s="240">
        <f t="shared" si="857"/>
        <v>0.71048798252002909</v>
      </c>
      <c r="V94" s="240">
        <f t="shared" si="857"/>
        <v>0.70379626323931932</v>
      </c>
      <c r="W94" s="241">
        <f t="shared" si="857"/>
        <v>0.71897518014411532</v>
      </c>
      <c r="X94" s="240">
        <f t="shared" si="857"/>
        <v>0.715419376171057</v>
      </c>
      <c r="Y94" s="240">
        <f t="shared" si="857"/>
        <v>0.7124132613723978</v>
      </c>
      <c r="Z94" s="240">
        <f t="shared" si="857"/>
        <v>0.70254174199723496</v>
      </c>
      <c r="AA94" s="241">
        <f t="shared" si="857"/>
        <v>0.72286703319079615</v>
      </c>
      <c r="AB94" s="240">
        <f t="shared" si="857"/>
        <v>0.71293070073557874</v>
      </c>
      <c r="AC94" s="240">
        <f t="shared" si="857"/>
        <v>0.71494164912951985</v>
      </c>
      <c r="AD94" s="240">
        <f t="shared" si="857"/>
        <v>0.6919834928439722</v>
      </c>
      <c r="AE94" s="288">
        <f t="shared" si="857"/>
        <v>0.71904205607476634</v>
      </c>
      <c r="AF94" s="289">
        <f t="shared" si="857"/>
        <v>0.73410696266397579</v>
      </c>
      <c r="AG94" s="289">
        <f t="shared" si="857"/>
        <v>0.72414091577945128</v>
      </c>
      <c r="AH94" s="288">
        <f t="shared" si="857"/>
        <v>0.70937892095357591</v>
      </c>
      <c r="AI94" s="289">
        <f t="shared" ref="AI94:BN94" si="858">AI63/AI61</f>
        <v>0.72755610972568574</v>
      </c>
      <c r="AJ94" s="289">
        <f t="shared" si="858"/>
        <v>0.7240244475787494</v>
      </c>
      <c r="AK94" s="289">
        <f t="shared" si="858"/>
        <v>0.72753858651502845</v>
      </c>
      <c r="AL94" s="288">
        <f t="shared" si="858"/>
        <v>0.71149881046788266</v>
      </c>
      <c r="AM94" s="288">
        <f t="shared" si="858"/>
        <v>0.72198275862068961</v>
      </c>
      <c r="AN94" s="288">
        <f t="shared" si="858"/>
        <v>0.71653071914989153</v>
      </c>
      <c r="AO94" s="289">
        <f t="shared" si="858"/>
        <v>0.72529540152028293</v>
      </c>
      <c r="AP94" s="288">
        <f t="shared" si="858"/>
        <v>0.70713346002046484</v>
      </c>
      <c r="AQ94" s="288">
        <f t="shared" si="858"/>
        <v>0.7093524226154968</v>
      </c>
      <c r="AR94" s="288">
        <f t="shared" si="858"/>
        <v>0.71219125610883638</v>
      </c>
      <c r="AS94" s="288">
        <f t="shared" si="858"/>
        <v>0.71519957353235153</v>
      </c>
      <c r="AT94" s="288">
        <f t="shared" si="858"/>
        <v>0.70332769317540889</v>
      </c>
      <c r="AU94" s="288">
        <f t="shared" si="858"/>
        <v>0.71507965913301219</v>
      </c>
      <c r="AV94" s="288">
        <f t="shared" si="858"/>
        <v>0.71118541033434646</v>
      </c>
      <c r="AW94" s="288">
        <f t="shared" si="858"/>
        <v>0.70014446328748192</v>
      </c>
      <c r="AX94" s="288">
        <f t="shared" si="858"/>
        <v>0.71202740086945071</v>
      </c>
      <c r="AY94" s="288">
        <f t="shared" si="858"/>
        <v>0.71709037668042064</v>
      </c>
      <c r="AZ94" s="288">
        <f t="shared" si="858"/>
        <v>0.70798608832600562</v>
      </c>
      <c r="BA94" s="288">
        <f t="shared" si="858"/>
        <v>0.70598766660035805</v>
      </c>
      <c r="BB94" s="288">
        <f t="shared" si="858"/>
        <v>0.68588000725031717</v>
      </c>
      <c r="BC94" s="288">
        <f t="shared" si="858"/>
        <v>0.71031923741283343</v>
      </c>
      <c r="BD94" s="288">
        <f t="shared" si="858"/>
        <v>0.69913574631230102</v>
      </c>
      <c r="BE94" s="288">
        <f t="shared" si="858"/>
        <v>0.69336537177946866</v>
      </c>
      <c r="BF94" s="288">
        <f t="shared" si="858"/>
        <v>0.67783175658399386</v>
      </c>
      <c r="BG94" s="288">
        <f t="shared" si="858"/>
        <v>0.71837793233525871</v>
      </c>
      <c r="BH94" s="288">
        <f t="shared" si="858"/>
        <v>0.68837741760559135</v>
      </c>
      <c r="BI94" s="288">
        <f t="shared" si="858"/>
        <v>0.68309903155263985</v>
      </c>
      <c r="BJ94" s="288">
        <f t="shared" si="858"/>
        <v>0.71638063864831836</v>
      </c>
      <c r="BK94" s="288">
        <f t="shared" si="858"/>
        <v>0.69545820682818016</v>
      </c>
      <c r="BL94" s="288">
        <f t="shared" si="858"/>
        <v>0.69066522314447254</v>
      </c>
      <c r="BM94" s="288">
        <f t="shared" si="858"/>
        <v>0.67442266302134835</v>
      </c>
      <c r="BN94" s="288">
        <f t="shared" si="858"/>
        <v>0.66258220448541394</v>
      </c>
      <c r="BO94" s="288">
        <f t="shared" ref="BO94:BT94" si="859">BO63/BO61</f>
        <v>0.68349669478003194</v>
      </c>
      <c r="BP94" s="288">
        <f t="shared" si="859"/>
        <v>0.69391624379635308</v>
      </c>
      <c r="BQ94" s="288">
        <f t="shared" si="859"/>
        <v>0.69703497930721692</v>
      </c>
      <c r="BR94" s="288">
        <f t="shared" si="859"/>
        <v>0.6772532654056691</v>
      </c>
      <c r="BS94" s="288">
        <f t="shared" si="859"/>
        <v>0.70058729897359895</v>
      </c>
      <c r="BT94" s="288">
        <f t="shared" si="859"/>
        <v>0.69022826365734802</v>
      </c>
      <c r="BU94" s="288">
        <v>0.69</v>
      </c>
      <c r="BV94" s="288">
        <v>0.69</v>
      </c>
      <c r="BW94" s="288">
        <v>0.69</v>
      </c>
      <c r="BX94" s="288">
        <v>0.69</v>
      </c>
      <c r="BY94" s="288">
        <v>0.69</v>
      </c>
      <c r="BZ94" s="288">
        <v>0.69</v>
      </c>
      <c r="CA94" s="288"/>
      <c r="CB94" s="288"/>
      <c r="CC94" s="288"/>
      <c r="CD94" s="288"/>
      <c r="CE94" s="288"/>
      <c r="CF94" s="288"/>
      <c r="CG94" s="288"/>
      <c r="CH94" s="288"/>
      <c r="CI94" s="288"/>
      <c r="CJ94" s="288"/>
      <c r="CK94" s="288"/>
      <c r="CL94" s="288"/>
      <c r="CM94" s="288"/>
      <c r="CN94" s="288"/>
      <c r="CO94" s="288"/>
      <c r="CP94" s="288"/>
      <c r="CQ94" s="288">
        <f t="shared" ref="CQ94:DF94" si="860">+CQ63/CQ61</f>
        <v>0.658675688738521</v>
      </c>
      <c r="CR94" s="288">
        <f t="shared" si="860"/>
        <v>0.64123677609335805</v>
      </c>
      <c r="CS94" s="288">
        <f t="shared" si="860"/>
        <v>0.6692913385826772</v>
      </c>
      <c r="CT94" s="288">
        <f t="shared" si="860"/>
        <v>0.65234027407011919</v>
      </c>
      <c r="CU94" s="288">
        <f t="shared" si="860"/>
        <v>0.68357152457327186</v>
      </c>
      <c r="CV94" s="288">
        <f t="shared" si="860"/>
        <v>0.72932042148372511</v>
      </c>
      <c r="CW94" s="288">
        <f t="shared" si="860"/>
        <v>0.68930790657810159</v>
      </c>
      <c r="CX94" s="288">
        <f t="shared" si="860"/>
        <v>0.6802395690971943</v>
      </c>
      <c r="CY94" s="288">
        <f t="shared" si="860"/>
        <v>0.67701071246386668</v>
      </c>
      <c r="CZ94" s="288">
        <f t="shared" si="860"/>
        <v>0.72647022255377347</v>
      </c>
      <c r="DA94" s="288">
        <f t="shared" si="860"/>
        <v>0.6739883910301917</v>
      </c>
      <c r="DB94" s="288">
        <f t="shared" si="860"/>
        <v>0.72896687465974286</v>
      </c>
      <c r="DC94" s="288">
        <f t="shared" si="860"/>
        <v>0.67995596822054183</v>
      </c>
      <c r="DD94" s="288">
        <f t="shared" si="860"/>
        <v>0.6795192007492975</v>
      </c>
      <c r="DE94" s="288">
        <f t="shared" si="860"/>
        <v>0.69218582545081775</v>
      </c>
      <c r="DF94" s="288">
        <f t="shared" si="860"/>
        <v>0.7415404748551131</v>
      </c>
      <c r="DG94" s="288">
        <f t="shared" ref="DG94:DN94" si="861">+DG63/DG61</f>
        <v>0.74726405387709283</v>
      </c>
      <c r="DH94" s="288">
        <f t="shared" si="861"/>
        <v>0.75</v>
      </c>
      <c r="DI94" s="288">
        <f t="shared" si="861"/>
        <v>0.75</v>
      </c>
      <c r="DJ94" s="288">
        <f t="shared" si="861"/>
        <v>0.74999999999999989</v>
      </c>
      <c r="DK94" s="288">
        <f t="shared" si="861"/>
        <v>0.75000000000000011</v>
      </c>
      <c r="DL94" s="288">
        <f t="shared" si="861"/>
        <v>0.74999999999999989</v>
      </c>
      <c r="DM94" s="288">
        <f t="shared" si="861"/>
        <v>0.75</v>
      </c>
      <c r="DN94" s="288">
        <f t="shared" si="861"/>
        <v>0.75000000000000011</v>
      </c>
      <c r="DP94" s="240">
        <f t="shared" ref="DP94:FC94" si="862">+DP63/DP61</f>
        <v>0.64333299169826796</v>
      </c>
      <c r="DQ94" s="240">
        <f t="shared" si="862"/>
        <v>0.64948361823361822</v>
      </c>
      <c r="DR94" s="240">
        <f t="shared" si="862"/>
        <v>0.66224793122840842</v>
      </c>
      <c r="DS94" s="240">
        <f t="shared" si="862"/>
        <v>0.65985603141132843</v>
      </c>
      <c r="DT94" s="240">
        <f t="shared" si="862"/>
        <v>0.66112604328759372</v>
      </c>
      <c r="DU94" s="240">
        <f t="shared" si="862"/>
        <v>0.66321342316003562</v>
      </c>
      <c r="DV94" s="240">
        <f t="shared" si="862"/>
        <v>0.6690903301135761</v>
      </c>
      <c r="DW94" s="240">
        <f t="shared" si="862"/>
        <v>0.67539315448658654</v>
      </c>
      <c r="DX94" s="240">
        <f t="shared" si="862"/>
        <v>0.68394537982235182</v>
      </c>
      <c r="DY94" s="240">
        <f t="shared" si="862"/>
        <v>0.68567443040114973</v>
      </c>
      <c r="DZ94" s="240">
        <f t="shared" si="862"/>
        <v>0.69269411379272683</v>
      </c>
      <c r="EA94" s="240">
        <f t="shared" si="862"/>
        <v>0.69590583067366762</v>
      </c>
      <c r="EB94" s="240">
        <f t="shared" si="862"/>
        <v>0.71106532541510115</v>
      </c>
      <c r="EC94" s="240">
        <f t="shared" si="862"/>
        <v>0.71697474256269655</v>
      </c>
      <c r="ED94" s="240">
        <f t="shared" si="862"/>
        <v>0.71259565588900375</v>
      </c>
      <c r="EE94" s="240">
        <f t="shared" si="862"/>
        <v>0.72105492861150944</v>
      </c>
      <c r="EF94" s="240">
        <f t="shared" si="862"/>
        <v>0.71808961978261743</v>
      </c>
      <c r="EG94" s="240">
        <f t="shared" si="862"/>
        <v>0.71763183557122501</v>
      </c>
      <c r="EH94" s="240">
        <f t="shared" si="862"/>
        <v>0.70945249202062366</v>
      </c>
      <c r="EI94" s="240">
        <f t="shared" si="862"/>
        <v>0.70961770749996078</v>
      </c>
      <c r="EJ94" s="240">
        <f t="shared" si="862"/>
        <v>0.70379824547231695</v>
      </c>
      <c r="EK94" s="240">
        <f t="shared" si="862"/>
        <v>0.69421527947278494</v>
      </c>
      <c r="EL94" s="240">
        <f t="shared" si="862"/>
        <v>0.73856681531600799</v>
      </c>
      <c r="EM94" s="240">
        <f t="shared" si="862"/>
        <v>0.68031056725759076</v>
      </c>
      <c r="EN94" s="240">
        <f t="shared" si="862"/>
        <v>0.68670069553511326</v>
      </c>
      <c r="EO94" s="240">
        <f t="shared" si="862"/>
        <v>0.69</v>
      </c>
      <c r="EP94" s="240">
        <f t="shared" si="862"/>
        <v>0.69</v>
      </c>
      <c r="EQ94" s="240">
        <f t="shared" si="862"/>
        <v>0.69</v>
      </c>
      <c r="ER94" s="240">
        <f t="shared" si="862"/>
        <v>0.68999999999999984</v>
      </c>
      <c r="ES94" s="240">
        <f t="shared" si="862"/>
        <v>0.66792520411577161</v>
      </c>
      <c r="ET94" s="240">
        <f t="shared" si="862"/>
        <v>0.66418465962126416</v>
      </c>
      <c r="EU94" s="240">
        <f t="shared" si="862"/>
        <v>0.65578911679945751</v>
      </c>
      <c r="EV94" s="240">
        <f t="shared" si="862"/>
        <v>0.69624942939946288</v>
      </c>
      <c r="EW94" s="240">
        <f t="shared" si="862"/>
        <v>0.70141444643662254</v>
      </c>
      <c r="EX94" s="240">
        <f t="shared" si="862"/>
        <v>0.69</v>
      </c>
      <c r="EY94" s="240">
        <f t="shared" si="862"/>
        <v>0.69</v>
      </c>
      <c r="EZ94" s="240">
        <f t="shared" si="862"/>
        <v>0.69</v>
      </c>
      <c r="FA94" s="240">
        <f t="shared" si="862"/>
        <v>0.69</v>
      </c>
      <c r="FB94" s="240">
        <f t="shared" si="862"/>
        <v>0.69</v>
      </c>
      <c r="FC94" s="240">
        <f t="shared" si="862"/>
        <v>0.69</v>
      </c>
    </row>
    <row r="95" spans="1:179" ht="12.75" customHeight="1" x14ac:dyDescent="0.2">
      <c r="B95" t="s">
        <v>339</v>
      </c>
      <c r="C95" s="240">
        <f t="shared" ref="C95:AD95" si="863">+C64/C61</f>
        <v>0.37410323709536308</v>
      </c>
      <c r="D95" s="240">
        <f t="shared" si="863"/>
        <v>0.37592137592137592</v>
      </c>
      <c r="E95" s="240">
        <f t="shared" si="863"/>
        <v>0.38471177944862156</v>
      </c>
      <c r="F95" s="240">
        <f t="shared" si="863"/>
        <v>0.40603907637655418</v>
      </c>
      <c r="G95" s="240">
        <f t="shared" si="863"/>
        <v>0.3631333218052914</v>
      </c>
      <c r="H95" s="240">
        <f t="shared" si="863"/>
        <v>0.36555421061732662</v>
      </c>
      <c r="I95" s="240">
        <f t="shared" si="863"/>
        <v>0.37578616352201261</v>
      </c>
      <c r="J95" s="240">
        <f t="shared" si="863"/>
        <v>0.39924611276896499</v>
      </c>
      <c r="K95" s="240">
        <f t="shared" si="863"/>
        <v>0.36200662850256099</v>
      </c>
      <c r="L95" s="240">
        <f t="shared" si="863"/>
        <v>0.37189962065946891</v>
      </c>
      <c r="M95" s="240">
        <f t="shared" si="863"/>
        <v>0.37990813453845013</v>
      </c>
      <c r="N95" s="240">
        <f t="shared" si="863"/>
        <v>0.41602442925694344</v>
      </c>
      <c r="O95" s="240">
        <f t="shared" si="863"/>
        <v>0.35646946304139909</v>
      </c>
      <c r="P95" s="240">
        <f t="shared" si="863"/>
        <v>0.36561001598295151</v>
      </c>
      <c r="Q95" s="240">
        <f t="shared" si="863"/>
        <v>0.37132148806218768</v>
      </c>
      <c r="R95" s="240">
        <f t="shared" si="863"/>
        <v>0.40039392234102422</v>
      </c>
      <c r="S95" s="240">
        <f t="shared" si="863"/>
        <v>0.34924913361571042</v>
      </c>
      <c r="T95" s="240">
        <f t="shared" si="863"/>
        <v>0.35662910573004075</v>
      </c>
      <c r="U95" s="240">
        <f t="shared" si="863"/>
        <v>0.35129885894634622</v>
      </c>
      <c r="V95" s="240">
        <f t="shared" si="863"/>
        <v>0.3903367844817327</v>
      </c>
      <c r="W95" s="240">
        <f t="shared" si="863"/>
        <v>0.32517442525448931</v>
      </c>
      <c r="X95" s="240">
        <f t="shared" si="863"/>
        <v>0.3325250743965612</v>
      </c>
      <c r="Y95" s="240">
        <f t="shared" si="863"/>
        <v>0.33109373278995485</v>
      </c>
      <c r="Z95" s="240">
        <f t="shared" si="863"/>
        <v>0.35626927576305434</v>
      </c>
      <c r="AA95" s="240">
        <f t="shared" si="863"/>
        <v>0.33119527591121972</v>
      </c>
      <c r="AB95" s="240">
        <f t="shared" si="863"/>
        <v>0.32868757259001163</v>
      </c>
      <c r="AC95" s="240">
        <f t="shared" si="863"/>
        <v>0.32791276066577385</v>
      </c>
      <c r="AD95" s="240">
        <f t="shared" si="863"/>
        <v>0.3559575028536307</v>
      </c>
      <c r="AE95" s="288">
        <f t="shared" ref="AE95:BV95" si="864">AE64/AE61</f>
        <v>0.30373831775700932</v>
      </c>
      <c r="AF95" s="288">
        <f t="shared" si="864"/>
        <v>0.31205852674066598</v>
      </c>
      <c r="AG95" s="288">
        <f t="shared" si="864"/>
        <v>0.3335930061455899</v>
      </c>
      <c r="AH95" s="288">
        <f t="shared" si="864"/>
        <v>0.36504077791718947</v>
      </c>
      <c r="AI95" s="288">
        <f t="shared" si="864"/>
        <v>0.32161783042394015</v>
      </c>
      <c r="AJ95" s="288">
        <f t="shared" si="864"/>
        <v>0.32863187588152326</v>
      </c>
      <c r="AK95" s="288">
        <f t="shared" si="864"/>
        <v>0.33801787164906583</v>
      </c>
      <c r="AL95" s="288">
        <f t="shared" si="864"/>
        <v>0.36835844567803333</v>
      </c>
      <c r="AM95" s="288">
        <f t="shared" si="864"/>
        <v>0.31519396551724138</v>
      </c>
      <c r="AN95" s="288">
        <f t="shared" si="864"/>
        <v>0.32560053880116741</v>
      </c>
      <c r="AO95" s="288">
        <f t="shared" si="864"/>
        <v>0.32294724166478511</v>
      </c>
      <c r="AP95" s="288">
        <f t="shared" si="864"/>
        <v>0.34322467475515278</v>
      </c>
      <c r="AQ95" s="288">
        <f t="shared" si="864"/>
        <v>0.31828726718366807</v>
      </c>
      <c r="AR95" s="288">
        <f t="shared" si="864"/>
        <v>0.33212257297582881</v>
      </c>
      <c r="AS95" s="288">
        <f t="shared" si="864"/>
        <v>0.32644765775971213</v>
      </c>
      <c r="AT95" s="288">
        <f t="shared" si="864"/>
        <v>0.3585260387290844</v>
      </c>
      <c r="AU95" s="288">
        <f t="shared" si="864"/>
        <v>0.31635173521057181</v>
      </c>
      <c r="AV95" s="288">
        <f t="shared" si="864"/>
        <v>0.33477203647416415</v>
      </c>
      <c r="AW95" s="288">
        <f t="shared" si="864"/>
        <v>0.32629859933421268</v>
      </c>
      <c r="AX95" s="288">
        <f t="shared" si="864"/>
        <v>0.37313924384139113</v>
      </c>
      <c r="AY95" s="288">
        <f t="shared" si="864"/>
        <v>0.30666844136829496</v>
      </c>
      <c r="AZ95" s="288">
        <f t="shared" si="864"/>
        <v>0.3147844346741912</v>
      </c>
      <c r="BA95" s="288">
        <f t="shared" si="864"/>
        <v>0.31609309727471652</v>
      </c>
      <c r="BB95" s="288">
        <f t="shared" si="864"/>
        <v>0.34010029605461906</v>
      </c>
      <c r="BC95" s="288">
        <f t="shared" si="864"/>
        <v>0.30573859637899048</v>
      </c>
      <c r="BD95" s="288">
        <f t="shared" si="864"/>
        <v>0.30905192020274219</v>
      </c>
      <c r="BE95" s="288">
        <f t="shared" si="864"/>
        <v>0.31431050594046189</v>
      </c>
      <c r="BF95" s="288">
        <f t="shared" si="864"/>
        <v>0.33111736128867297</v>
      </c>
      <c r="BG95" s="288">
        <f t="shared" si="864"/>
        <v>0.29800778026641517</v>
      </c>
      <c r="BH95" s="288">
        <f t="shared" si="864"/>
        <v>0.31421341206242093</v>
      </c>
      <c r="BI95" s="288">
        <f t="shared" si="864"/>
        <v>0.32739768822243048</v>
      </c>
      <c r="BJ95" s="288">
        <f t="shared" si="864"/>
        <v>0.28999521810743317</v>
      </c>
      <c r="BK95" s="288">
        <f t="shared" si="864"/>
        <v>0.31073796393828612</v>
      </c>
      <c r="BL95" s="288">
        <f t="shared" si="864"/>
        <v>0.29862865391555393</v>
      </c>
      <c r="BM95" s="288">
        <f t="shared" si="864"/>
        <v>0.30411261706706999</v>
      </c>
      <c r="BN95" s="288">
        <f t="shared" si="864"/>
        <v>0.31819459277162609</v>
      </c>
      <c r="BO95" s="288">
        <f t="shared" si="864"/>
        <v>0.29764075678139956</v>
      </c>
      <c r="BP95" s="288">
        <f t="shared" si="864"/>
        <v>0.27887135448614286</v>
      </c>
      <c r="BQ95" s="288">
        <f t="shared" si="864"/>
        <v>0.30126424400476215</v>
      </c>
      <c r="BR95" s="288">
        <f t="shared" si="864"/>
        <v>0.32068722562462737</v>
      </c>
      <c r="BS95" s="288">
        <f t="shared" si="864"/>
        <v>0.28448323179098745</v>
      </c>
      <c r="BT95" s="288">
        <f t="shared" si="864"/>
        <v>0.28114901256732494</v>
      </c>
      <c r="BU95" s="288">
        <f t="shared" si="864"/>
        <v>0.29609573834407321</v>
      </c>
      <c r="BV95" s="288">
        <f t="shared" si="864"/>
        <v>0.31894379314122934</v>
      </c>
      <c r="BW95" s="288"/>
      <c r="BX95" s="288"/>
      <c r="BY95" s="288"/>
      <c r="BZ95" s="288"/>
      <c r="CA95" s="288"/>
      <c r="CB95" s="288"/>
      <c r="CC95" s="288"/>
      <c r="CD95" s="288"/>
      <c r="CE95" s="288"/>
      <c r="CF95" s="288"/>
      <c r="CG95" s="288"/>
      <c r="CH95" s="288"/>
      <c r="CI95" s="288"/>
      <c r="CJ95" s="288"/>
      <c r="CK95" s="288"/>
      <c r="CL95" s="288"/>
      <c r="CM95" s="288"/>
      <c r="CN95" s="288"/>
      <c r="CO95" s="288"/>
      <c r="CP95" s="288"/>
      <c r="CQ95" s="288">
        <f t="shared" ref="CQ95:DF95" si="865">+CQ64/CQ61</f>
        <v>0.25147414209763169</v>
      </c>
      <c r="CR95" s="288">
        <f t="shared" si="865"/>
        <v>0.27227614788962812</v>
      </c>
      <c r="CS95" s="288">
        <f t="shared" si="865"/>
        <v>0.25761312968409067</v>
      </c>
      <c r="CT95" s="288">
        <f t="shared" si="865"/>
        <v>0.28728421427300233</v>
      </c>
      <c r="CU95" s="288">
        <f t="shared" si="865"/>
        <v>0.2433582724788316</v>
      </c>
      <c r="CV95" s="288">
        <f t="shared" si="865"/>
        <v>0.2588200162109125</v>
      </c>
      <c r="CW95" s="288">
        <f t="shared" si="865"/>
        <v>0.25712449110777802</v>
      </c>
      <c r="CX95" s="288">
        <f t="shared" si="865"/>
        <v>0.28756330894766463</v>
      </c>
      <c r="CY95" s="288">
        <f t="shared" si="865"/>
        <v>0.25242305730317971</v>
      </c>
      <c r="CZ95" s="288">
        <f t="shared" si="865"/>
        <v>0.25778109329023169</v>
      </c>
      <c r="DA95" s="288">
        <f t="shared" si="865"/>
        <v>0</v>
      </c>
      <c r="DB95" s="288">
        <f t="shared" si="865"/>
        <v>0.27053059173332217</v>
      </c>
      <c r="DC95" s="288">
        <f t="shared" si="865"/>
        <v>0.23480425002393032</v>
      </c>
      <c r="DD95" s="288">
        <f t="shared" si="865"/>
        <v>0.26010771152044959</v>
      </c>
      <c r="DE95" s="288">
        <f t="shared" si="865"/>
        <v>0.25161921625273753</v>
      </c>
      <c r="DF95" s="288">
        <f t="shared" si="865"/>
        <v>0.27117218171620866</v>
      </c>
      <c r="DG95" s="288">
        <f t="shared" ref="DG95:DN95" si="866">+DG64/DG61</f>
        <v>0.24567393134412122</v>
      </c>
      <c r="DH95" s="288">
        <f t="shared" si="866"/>
        <v>0</v>
      </c>
      <c r="DI95" s="288">
        <f t="shared" si="866"/>
        <v>0</v>
      </c>
      <c r="DJ95" s="288">
        <f t="shared" si="866"/>
        <v>0</v>
      </c>
      <c r="DK95" s="288">
        <f t="shared" si="866"/>
        <v>0</v>
      </c>
      <c r="DL95" s="288">
        <f t="shared" si="866"/>
        <v>0</v>
      </c>
      <c r="DM95" s="288">
        <f t="shared" si="866"/>
        <v>0</v>
      </c>
      <c r="DN95" s="288">
        <f t="shared" si="866"/>
        <v>0</v>
      </c>
      <c r="DP95" s="240">
        <f t="shared" ref="DP95:EJ95" si="867">+DP64/DP61</f>
        <v>0.39940555498616376</v>
      </c>
      <c r="DQ95" s="240">
        <f t="shared" si="867"/>
        <v>0.39788105413105412</v>
      </c>
      <c r="DR95" s="240">
        <f t="shared" si="867"/>
        <v>0.40965694544870251</v>
      </c>
      <c r="DS95" s="240">
        <f t="shared" si="867"/>
        <v>0.41234639714971277</v>
      </c>
      <c r="DT95" s="240">
        <f t="shared" si="867"/>
        <v>0.40819069175272316</v>
      </c>
      <c r="DU95" s="240">
        <f t="shared" si="867"/>
        <v>0.403584593873141</v>
      </c>
      <c r="DV95" s="240">
        <f t="shared" si="867"/>
        <v>0.3960301454198068</v>
      </c>
      <c r="DW95" s="240">
        <f t="shared" si="867"/>
        <v>0.38825161887141535</v>
      </c>
      <c r="DX95" s="240">
        <f t="shared" si="867"/>
        <v>0.3851252817181493</v>
      </c>
      <c r="DY95" s="240">
        <f t="shared" si="867"/>
        <v>0.376505896774739</v>
      </c>
      <c r="DZ95" s="240">
        <f t="shared" si="867"/>
        <v>0.38233045757344108</v>
      </c>
      <c r="EA95" s="240">
        <f t="shared" si="867"/>
        <v>0.37321116030062801</v>
      </c>
      <c r="EB95" s="240">
        <f t="shared" si="867"/>
        <v>0.36334989698218395</v>
      </c>
      <c r="EC95" s="240">
        <f t="shared" si="867"/>
        <v>0.33095018137782123</v>
      </c>
      <c r="ED95" s="240">
        <f t="shared" si="867"/>
        <v>0.3335504916748101</v>
      </c>
      <c r="EE95" s="240">
        <f t="shared" si="867"/>
        <v>0.32961323440779766</v>
      </c>
      <c r="EF95" s="240">
        <f t="shared" si="867"/>
        <v>0.34096327124328257</v>
      </c>
      <c r="EG95" s="240">
        <f t="shared" si="867"/>
        <v>0.32692596204335761</v>
      </c>
      <c r="EH95" s="240">
        <f t="shared" si="867"/>
        <v>0.33474097716670759</v>
      </c>
      <c r="EI95" s="240">
        <f t="shared" si="867"/>
        <v>0.33711390339937564</v>
      </c>
      <c r="EJ95" s="240">
        <f t="shared" si="867"/>
        <v>0.31990241853401619</v>
      </c>
      <c r="EK95" s="240">
        <f>EJ95-0.1%</f>
        <v>0.31890241853401619</v>
      </c>
      <c r="EL95" s="240">
        <v>0.32</v>
      </c>
      <c r="EM95" s="240">
        <v>0.32500000000000001</v>
      </c>
      <c r="EN95" s="240">
        <v>0.32500000000000001</v>
      </c>
      <c r="EO95" s="240">
        <v>0.33</v>
      </c>
      <c r="EP95" s="240">
        <f t="shared" ref="EP95:FC95" si="868">+EP64/EP61</f>
        <v>0</v>
      </c>
      <c r="EQ95" s="240">
        <f t="shared" si="868"/>
        <v>0</v>
      </c>
      <c r="ER95" s="240">
        <f t="shared" si="868"/>
        <v>0</v>
      </c>
      <c r="ES95" s="240">
        <f t="shared" si="868"/>
        <v>0.24983752868894996</v>
      </c>
      <c r="ET95" s="240">
        <f t="shared" si="868"/>
        <v>0.24248997107185682</v>
      </c>
      <c r="EU95" s="240">
        <f t="shared" si="868"/>
        <v>0.26740609788584019</v>
      </c>
      <c r="EV95" s="240">
        <f t="shared" si="868"/>
        <v>0.26171190776972153</v>
      </c>
      <c r="EW95" s="240">
        <f t="shared" si="868"/>
        <v>0.19521248151992701</v>
      </c>
      <c r="EX95" s="240">
        <f t="shared" si="868"/>
        <v>0.26</v>
      </c>
      <c r="EY95" s="240">
        <f t="shared" si="868"/>
        <v>0.26</v>
      </c>
      <c r="EZ95" s="240">
        <f t="shared" si="868"/>
        <v>0.26</v>
      </c>
      <c r="FA95" s="240">
        <f t="shared" si="868"/>
        <v>0.26</v>
      </c>
      <c r="FB95" s="240">
        <f t="shared" si="868"/>
        <v>0.26</v>
      </c>
      <c r="FC95" s="240">
        <f t="shared" si="868"/>
        <v>0.26</v>
      </c>
    </row>
    <row r="96" spans="1:179" ht="12.75" customHeight="1" x14ac:dyDescent="0.2">
      <c r="B96" t="s">
        <v>340</v>
      </c>
      <c r="C96" s="240">
        <f t="shared" ref="C96:AD96" si="869">+C65/C$61</f>
        <v>8.3639545056867895E-2</v>
      </c>
      <c r="D96" s="240">
        <f t="shared" si="869"/>
        <v>9.1260091260091256E-2</v>
      </c>
      <c r="E96" s="240">
        <f t="shared" si="869"/>
        <v>9.2373791621911922E-2</v>
      </c>
      <c r="F96" s="240">
        <f t="shared" si="869"/>
        <v>0.11119005328596802</v>
      </c>
      <c r="G96" s="240">
        <f t="shared" si="869"/>
        <v>8.542279093895902E-2</v>
      </c>
      <c r="H96" s="240">
        <f t="shared" si="869"/>
        <v>9.1993774857340477E-2</v>
      </c>
      <c r="I96" s="240">
        <f t="shared" si="869"/>
        <v>8.9273235499650591E-2</v>
      </c>
      <c r="J96" s="240">
        <f t="shared" si="869"/>
        <v>0.11496780273284121</v>
      </c>
      <c r="K96" s="240">
        <f t="shared" si="869"/>
        <v>8.0747213015968669E-2</v>
      </c>
      <c r="L96" s="240">
        <f t="shared" si="869"/>
        <v>8.374671724540414E-2</v>
      </c>
      <c r="M96" s="240">
        <f t="shared" si="869"/>
        <v>9.0828270854941467E-2</v>
      </c>
      <c r="N96" s="240">
        <f t="shared" si="869"/>
        <v>0.11807474189326742</v>
      </c>
      <c r="O96" s="240">
        <f t="shared" si="869"/>
        <v>8.7033747779751328E-2</v>
      </c>
      <c r="P96" s="240">
        <f t="shared" si="869"/>
        <v>8.8838572189664358E-2</v>
      </c>
      <c r="Q96" s="240">
        <f t="shared" si="869"/>
        <v>9.605774569683509E-2</v>
      </c>
      <c r="R96" s="240">
        <f t="shared" si="869"/>
        <v>0.13083849184018007</v>
      </c>
      <c r="S96" s="240">
        <f t="shared" si="869"/>
        <v>8.99756128866641E-2</v>
      </c>
      <c r="T96" s="240">
        <f t="shared" si="869"/>
        <v>9.9376648285782784E-2</v>
      </c>
      <c r="U96" s="240">
        <f t="shared" si="869"/>
        <v>0.10912842923039573</v>
      </c>
      <c r="V96" s="240">
        <f t="shared" si="869"/>
        <v>0.13138164941092467</v>
      </c>
      <c r="W96" s="240">
        <f t="shared" si="869"/>
        <v>9.5047466544664297E-2</v>
      </c>
      <c r="X96" s="240">
        <f t="shared" si="869"/>
        <v>0.10272236305521878</v>
      </c>
      <c r="Y96" s="240">
        <f t="shared" si="869"/>
        <v>0.10485736314572089</v>
      </c>
      <c r="Z96" s="240">
        <f t="shared" si="869"/>
        <v>0.13208550462618313</v>
      </c>
      <c r="AA96" s="240">
        <f t="shared" si="869"/>
        <v>9.5296273671350032E-2</v>
      </c>
      <c r="AB96" s="240">
        <f t="shared" si="869"/>
        <v>0.10472319008904375</v>
      </c>
      <c r="AC96" s="240">
        <f t="shared" si="869"/>
        <v>0.11258848287736752</v>
      </c>
      <c r="AD96" s="240">
        <f t="shared" si="869"/>
        <v>0.13074018790060585</v>
      </c>
      <c r="AE96" s="288">
        <f t="shared" ref="AE96:BV96" si="870">AE65/AE61</f>
        <v>9.1371829105473965E-2</v>
      </c>
      <c r="AF96" s="288">
        <f t="shared" si="870"/>
        <v>9.9394550958627648E-2</v>
      </c>
      <c r="AG96" s="288">
        <f t="shared" si="870"/>
        <v>0.10369600969445165</v>
      </c>
      <c r="AH96" s="288">
        <f t="shared" si="870"/>
        <v>0.1354297365119197</v>
      </c>
      <c r="AI96" s="288">
        <f t="shared" si="870"/>
        <v>0.10785536159600997</v>
      </c>
      <c r="AJ96" s="288">
        <f t="shared" si="870"/>
        <v>0.11651778718069268</v>
      </c>
      <c r="AK96" s="288">
        <f t="shared" si="870"/>
        <v>0.12502030869212022</v>
      </c>
      <c r="AL96" s="288">
        <f t="shared" si="870"/>
        <v>0.15971451229183187</v>
      </c>
      <c r="AM96" s="288">
        <f t="shared" si="870"/>
        <v>0.11791871921182266</v>
      </c>
      <c r="AN96" s="288">
        <f t="shared" si="870"/>
        <v>0.12444810297088978</v>
      </c>
      <c r="AO96" s="288">
        <f t="shared" si="870"/>
        <v>0.1293745766538722</v>
      </c>
      <c r="AP96" s="288">
        <f t="shared" si="870"/>
        <v>0.14953954100277736</v>
      </c>
      <c r="AQ96" s="288">
        <f t="shared" si="870"/>
        <v>0.10949824352091204</v>
      </c>
      <c r="AR96" s="288">
        <f t="shared" si="870"/>
        <v>0.12323339056927751</v>
      </c>
      <c r="AS96" s="288">
        <f t="shared" si="870"/>
        <v>0.12220963550343174</v>
      </c>
      <c r="AT96" s="288">
        <f t="shared" si="870"/>
        <v>0.14589208497837938</v>
      </c>
      <c r="AU96" s="288">
        <f t="shared" si="870"/>
        <v>0.10571816722242806</v>
      </c>
      <c r="AV96" s="288">
        <f t="shared" si="870"/>
        <v>0.11525835866261398</v>
      </c>
      <c r="AW96" s="288">
        <f t="shared" si="870"/>
        <v>0.1168896426103888</v>
      </c>
      <c r="AX96" s="288">
        <f t="shared" si="870"/>
        <v>0.13884863654327492</v>
      </c>
      <c r="AY96" s="288">
        <f t="shared" si="870"/>
        <v>0.10102489019033675</v>
      </c>
      <c r="AZ96" s="288">
        <f t="shared" si="870"/>
        <v>0.10748736793752871</v>
      </c>
      <c r="BA96" s="288">
        <f t="shared" si="870"/>
        <v>0.10722100656455143</v>
      </c>
      <c r="BB96" s="288">
        <f t="shared" si="870"/>
        <v>0.13370793305540452</v>
      </c>
      <c r="BC96" s="288">
        <f t="shared" si="870"/>
        <v>9.960974985605528E-2</v>
      </c>
      <c r="BD96" s="288">
        <f t="shared" si="870"/>
        <v>0.10708947949834297</v>
      </c>
      <c r="BE96" s="288">
        <f t="shared" si="870"/>
        <v>0.11059938592978241</v>
      </c>
      <c r="BF96" s="288">
        <f t="shared" si="870"/>
        <v>0.12669394016875479</v>
      </c>
      <c r="BG96" s="288">
        <f t="shared" si="870"/>
        <v>0.10244017446658021</v>
      </c>
      <c r="BH96" s="288">
        <f t="shared" si="870"/>
        <v>0.11339398686509611</v>
      </c>
      <c r="BI96" s="288">
        <f t="shared" si="870"/>
        <v>0.11077788191190253</v>
      </c>
      <c r="BJ96" s="288">
        <f t="shared" si="870"/>
        <v>0.11449976090537166</v>
      </c>
      <c r="BK96" s="288">
        <f t="shared" si="870"/>
        <v>0.10192700910837103</v>
      </c>
      <c r="BL96" s="288">
        <f t="shared" si="870"/>
        <v>0.10621917478647901</v>
      </c>
      <c r="BM96" s="288">
        <f t="shared" si="870"/>
        <v>0.111860857425397</v>
      </c>
      <c r="BN96" s="288">
        <f t="shared" si="870"/>
        <v>0.1310213029059637</v>
      </c>
      <c r="BO96" s="288">
        <f t="shared" si="870"/>
        <v>0.10166400729427855</v>
      </c>
      <c r="BP96" s="288">
        <f t="shared" si="870"/>
        <v>0.10851502816037473</v>
      </c>
      <c r="BQ96" s="288">
        <f t="shared" si="870"/>
        <v>0.11576619989795339</v>
      </c>
      <c r="BR96" s="288">
        <f t="shared" si="870"/>
        <v>0.13067042436724297</v>
      </c>
      <c r="BS96" s="288">
        <f t="shared" si="870"/>
        <v>0.10049947856633185</v>
      </c>
      <c r="BT96" s="288">
        <f t="shared" si="870"/>
        <v>0.10284688381636317</v>
      </c>
      <c r="BU96" s="288">
        <f t="shared" si="870"/>
        <v>0.10954675908377105</v>
      </c>
      <c r="BV96" s="288">
        <f t="shared" si="870"/>
        <v>0.14435192286622109</v>
      </c>
      <c r="BW96" s="288"/>
      <c r="BX96" s="288"/>
      <c r="BY96" s="288"/>
      <c r="BZ96" s="288"/>
      <c r="CA96" s="288"/>
      <c r="CB96" s="288"/>
      <c r="CC96" s="288"/>
      <c r="CD96" s="288"/>
      <c r="CE96" s="288"/>
      <c r="CF96" s="288"/>
      <c r="CG96" s="288"/>
      <c r="CH96" s="288"/>
      <c r="CI96" s="288"/>
      <c r="CJ96" s="288"/>
      <c r="CK96" s="288"/>
      <c r="CL96" s="288"/>
      <c r="CM96" s="288"/>
      <c r="CN96" s="288"/>
      <c r="CO96" s="288"/>
      <c r="CP96" s="288"/>
      <c r="CQ96" s="288">
        <f t="shared" ref="CQ96:DF96" si="871">+CQ65/CQ61</f>
        <v>0.12469792170130498</v>
      </c>
      <c r="CR96" s="288">
        <f t="shared" si="871"/>
        <v>0.1476169702257607</v>
      </c>
      <c r="CS96" s="288">
        <f t="shared" si="871"/>
        <v>0.13471207665306897</v>
      </c>
      <c r="CT96" s="288">
        <f t="shared" si="871"/>
        <v>0.1793913507741591</v>
      </c>
      <c r="CU96" s="288">
        <f t="shared" si="871"/>
        <v>0.14237713364096591</v>
      </c>
      <c r="CV96" s="288">
        <f t="shared" si="871"/>
        <v>0.14350923595409751</v>
      </c>
      <c r="CW96" s="288">
        <f t="shared" si="871"/>
        <v>0.14664666809513607</v>
      </c>
      <c r="CX96" s="288">
        <f t="shared" si="871"/>
        <v>0.18972586220757295</v>
      </c>
      <c r="CY96" s="288">
        <f t="shared" si="871"/>
        <v>0.1471688488352321</v>
      </c>
      <c r="CZ96" s="288">
        <f t="shared" si="871"/>
        <v>0.14729164076422563</v>
      </c>
      <c r="DA96" s="288">
        <f t="shared" si="871"/>
        <v>0.15020670647680295</v>
      </c>
      <c r="DB96" s="288">
        <f t="shared" si="871"/>
        <v>0.15415218392730015</v>
      </c>
      <c r="DC96" s="288">
        <f t="shared" si="871"/>
        <v>0.1653584761175457</v>
      </c>
      <c r="DD96" s="288">
        <f t="shared" si="871"/>
        <v>0.149430221667187</v>
      </c>
      <c r="DE96" s="288">
        <f t="shared" si="871"/>
        <v>0.16061693304133079</v>
      </c>
      <c r="DF96" s="288">
        <f t="shared" si="871"/>
        <v>0.20681435782389232</v>
      </c>
      <c r="DG96" s="288">
        <f t="shared" ref="DG96:DN96" si="872">+DG65/DG61</f>
        <v>0.1632214011785614</v>
      </c>
      <c r="DH96" s="288">
        <f t="shared" si="872"/>
        <v>0</v>
      </c>
      <c r="DI96" s="288">
        <f t="shared" si="872"/>
        <v>0</v>
      </c>
      <c r="DJ96" s="288">
        <f t="shared" si="872"/>
        <v>0</v>
      </c>
      <c r="DK96" s="288">
        <f t="shared" si="872"/>
        <v>0</v>
      </c>
      <c r="DL96" s="288">
        <f t="shared" si="872"/>
        <v>0</v>
      </c>
      <c r="DM96" s="288">
        <f t="shared" si="872"/>
        <v>0</v>
      </c>
      <c r="DN96" s="288">
        <f t="shared" si="872"/>
        <v>0</v>
      </c>
      <c r="DP96" s="240">
        <f t="shared" ref="DP96:EJ96" si="873">+DP65/DP$61</f>
        <v>7.3690683611765909E-2</v>
      </c>
      <c r="DQ96" s="240">
        <f t="shared" si="873"/>
        <v>7.4252136752136752E-2</v>
      </c>
      <c r="DR96" s="240">
        <f t="shared" si="873"/>
        <v>7.8733831445328195E-2</v>
      </c>
      <c r="DS96" s="240">
        <f t="shared" si="873"/>
        <v>8.1945757289318688E-2</v>
      </c>
      <c r="DT96" s="240">
        <f t="shared" si="873"/>
        <v>8.360447022209648E-2</v>
      </c>
      <c r="DU96" s="240">
        <f t="shared" si="873"/>
        <v>8.1225371806279395E-2</v>
      </c>
      <c r="DV96" s="240">
        <f t="shared" si="873"/>
        <v>8.672115486678697E-2</v>
      </c>
      <c r="DW96" s="240">
        <f t="shared" si="873"/>
        <v>8.8112858464384824E-2</v>
      </c>
      <c r="DX96" s="240">
        <f t="shared" si="873"/>
        <v>9.4568915992752661E-2</v>
      </c>
      <c r="DY96" s="240">
        <f t="shared" si="873"/>
        <v>9.591241493004185E-2</v>
      </c>
      <c r="DZ96" s="240">
        <f t="shared" si="873"/>
        <v>9.4645262276582584E-2</v>
      </c>
      <c r="EA96" s="240">
        <f t="shared" si="873"/>
        <v>0.1004152510381276</v>
      </c>
      <c r="EB96" s="240">
        <f t="shared" si="873"/>
        <v>0.10880499333414131</v>
      </c>
      <c r="EC96" s="240">
        <f t="shared" si="873"/>
        <v>0.10720120069679426</v>
      </c>
      <c r="ED96" s="240">
        <f t="shared" si="873"/>
        <v>0.11056192081273869</v>
      </c>
      <c r="EE96" s="240">
        <f t="shared" si="873"/>
        <v>0.10813226094727435</v>
      </c>
      <c r="EF96" s="240">
        <f t="shared" si="873"/>
        <v>0.12752030385066063</v>
      </c>
      <c r="EG96" s="240">
        <f t="shared" si="873"/>
        <v>0.13052284149726201</v>
      </c>
      <c r="EH96" s="240">
        <f t="shared" si="873"/>
        <v>0.12570586791063099</v>
      </c>
      <c r="EI96" s="240">
        <f t="shared" si="873"/>
        <v>0.11886049539586177</v>
      </c>
      <c r="EJ96" s="240">
        <f t="shared" si="873"/>
        <v>0.11286492075544857</v>
      </c>
      <c r="EK96" s="240">
        <v>0.11</v>
      </c>
      <c r="EL96" s="240">
        <v>0.104</v>
      </c>
      <c r="EM96" s="240">
        <v>0.104</v>
      </c>
      <c r="EN96" s="240">
        <v>0.104</v>
      </c>
      <c r="EO96" s="240">
        <v>0.104</v>
      </c>
      <c r="EP96" s="240">
        <f t="shared" ref="EP96:FC96" si="874">+EP65/EP61</f>
        <v>3.9436373626081066E-2</v>
      </c>
      <c r="EQ96" s="240">
        <f t="shared" si="874"/>
        <v>4.2580405295819683E-2</v>
      </c>
      <c r="ER96" s="240">
        <f t="shared" si="874"/>
        <v>0</v>
      </c>
      <c r="ES96" s="240">
        <f t="shared" si="874"/>
        <v>0.13207729229827475</v>
      </c>
      <c r="ET96" s="240">
        <f t="shared" si="874"/>
        <v>0.13837941609814725</v>
      </c>
      <c r="EU96" s="240">
        <f t="shared" si="874"/>
        <v>0.14722834378708255</v>
      </c>
      <c r="EV96" s="240">
        <f t="shared" si="874"/>
        <v>0.1558827588403274</v>
      </c>
      <c r="EW96" s="240">
        <f t="shared" si="874"/>
        <v>0.1498747024839315</v>
      </c>
      <c r="EX96" s="240">
        <f t="shared" si="874"/>
        <v>3.0731642031072655E-2</v>
      </c>
      <c r="EY96" s="240">
        <f t="shared" si="874"/>
        <v>3.0507793800023345E-2</v>
      </c>
      <c r="EZ96" s="240">
        <f t="shared" si="874"/>
        <v>3.2441184351711158E-2</v>
      </c>
      <c r="FA96" s="240">
        <f t="shared" si="874"/>
        <v>3.3029622155540075E-2</v>
      </c>
      <c r="FB96" s="240">
        <f t="shared" si="874"/>
        <v>3.3314256760963792E-2</v>
      </c>
      <c r="FC96" s="240">
        <f t="shared" si="874"/>
        <v>3.3422520789679208E-2</v>
      </c>
    </row>
    <row r="97" spans="2:166" ht="12.75" customHeight="1" x14ac:dyDescent="0.2">
      <c r="B97" t="s">
        <v>352</v>
      </c>
      <c r="C97" s="240">
        <f t="shared" ref="C97:AD97" si="875">+C67/C61</f>
        <v>0.23219597550306212</v>
      </c>
      <c r="D97" s="240">
        <f t="shared" si="875"/>
        <v>0.22586872586872586</v>
      </c>
      <c r="E97" s="240">
        <f t="shared" si="875"/>
        <v>0.20963122090941641</v>
      </c>
      <c r="F97" s="240">
        <f t="shared" si="875"/>
        <v>0.14866785079928951</v>
      </c>
      <c r="G97" s="240">
        <f t="shared" si="875"/>
        <v>0.24416392875670068</v>
      </c>
      <c r="H97" s="240">
        <f t="shared" si="875"/>
        <v>0.23067611966107557</v>
      </c>
      <c r="I97" s="240">
        <f t="shared" si="875"/>
        <v>0.22781271837875611</v>
      </c>
      <c r="J97" s="240">
        <f t="shared" si="875"/>
        <v>0.15627454059996859</v>
      </c>
      <c r="K97" s="240">
        <f t="shared" si="875"/>
        <v>0.25022597167821631</v>
      </c>
      <c r="L97" s="240">
        <f t="shared" si="875"/>
        <v>0.24000583600817041</v>
      </c>
      <c r="M97" s="240">
        <f t="shared" si="875"/>
        <v>0.22847829308045636</v>
      </c>
      <c r="N97" s="240">
        <f t="shared" si="875"/>
        <v>0.14875672531627163</v>
      </c>
      <c r="O97" s="240">
        <f t="shared" si="875"/>
        <v>0.25030741904631781</v>
      </c>
      <c r="P97" s="240">
        <f t="shared" si="875"/>
        <v>0.24507192328183272</v>
      </c>
      <c r="Q97" s="240">
        <f t="shared" si="875"/>
        <v>0.23014991671293725</v>
      </c>
      <c r="R97" s="240">
        <f t="shared" si="875"/>
        <v>0.16136747326955542</v>
      </c>
      <c r="S97" s="240">
        <f t="shared" si="875"/>
        <v>0.26825824669490439</v>
      </c>
      <c r="T97" s="240">
        <f t="shared" si="875"/>
        <v>0.26084871733397269</v>
      </c>
      <c r="U97" s="240">
        <f t="shared" si="875"/>
        <v>0.2500606943432872</v>
      </c>
      <c r="V97" s="240">
        <f t="shared" si="875"/>
        <v>0.18207782934666192</v>
      </c>
      <c r="W97" s="240">
        <f t="shared" si="875"/>
        <v>0.29875328834496168</v>
      </c>
      <c r="X97" s="240">
        <f t="shared" si="875"/>
        <v>0.28017193871927698</v>
      </c>
      <c r="Y97" s="240">
        <f t="shared" si="875"/>
        <v>0.27646216543672208</v>
      </c>
      <c r="Z97" s="240">
        <f t="shared" si="875"/>
        <v>0.21418696160799744</v>
      </c>
      <c r="AA97" s="240">
        <f t="shared" si="875"/>
        <v>0.29637548360822641</v>
      </c>
      <c r="AB97" s="240">
        <f t="shared" si="875"/>
        <v>0.27951993805652342</v>
      </c>
      <c r="AC97" s="240">
        <f t="shared" si="875"/>
        <v>0.27444040558637844</v>
      </c>
      <c r="AD97" s="240">
        <f t="shared" si="875"/>
        <v>0.20528580208973571</v>
      </c>
      <c r="AE97" s="288">
        <f t="shared" ref="AE97:BV97" si="876">AE67/AE61</f>
        <v>0.32393190921228304</v>
      </c>
      <c r="AF97" s="288">
        <f t="shared" si="876"/>
        <v>0.32265388496468211</v>
      </c>
      <c r="AG97" s="288">
        <f t="shared" si="876"/>
        <v>0.28685189993940968</v>
      </c>
      <c r="AH97" s="288">
        <f t="shared" si="876"/>
        <v>0.20890840652446674</v>
      </c>
      <c r="AI97" s="288">
        <f t="shared" si="876"/>
        <v>0.29808291770573564</v>
      </c>
      <c r="AJ97" s="288">
        <f t="shared" si="876"/>
        <v>0.27887478451653347</v>
      </c>
      <c r="AK97" s="288">
        <f t="shared" si="876"/>
        <v>0.26450040617384241</v>
      </c>
      <c r="AL97" s="288">
        <f t="shared" si="876"/>
        <v>0.18342585249801743</v>
      </c>
      <c r="AM97" s="288">
        <f t="shared" si="876"/>
        <v>0.28887007389162561</v>
      </c>
      <c r="AN97" s="288">
        <f t="shared" si="876"/>
        <v>0.2664820773778343</v>
      </c>
      <c r="AO97" s="288">
        <f t="shared" si="876"/>
        <v>0.27297358320162562</v>
      </c>
      <c r="AP97" s="288">
        <f t="shared" si="876"/>
        <v>0.21436924426253473</v>
      </c>
      <c r="AQ97" s="288">
        <f t="shared" si="876"/>
        <v>0.28156691191091671</v>
      </c>
      <c r="AR97" s="288">
        <f t="shared" si="876"/>
        <v>0.25683529256373</v>
      </c>
      <c r="AS97" s="288">
        <f t="shared" si="876"/>
        <v>0.26654228026920768</v>
      </c>
      <c r="AT97" s="288">
        <f t="shared" si="876"/>
        <v>0.19890956946794511</v>
      </c>
      <c r="AU97" s="288">
        <f t="shared" si="876"/>
        <v>0.29300975670001234</v>
      </c>
      <c r="AV97" s="288">
        <f t="shared" si="876"/>
        <v>0.2611550151975684</v>
      </c>
      <c r="AW97" s="288">
        <f t="shared" si="876"/>
        <v>0.25695622134288049</v>
      </c>
      <c r="AX97" s="288">
        <f t="shared" si="876"/>
        <v>0.2000395204847846</v>
      </c>
      <c r="AY97" s="288">
        <f t="shared" si="876"/>
        <v>0.30939704512178889</v>
      </c>
      <c r="AZ97" s="288">
        <f t="shared" si="876"/>
        <v>0.2857142857142857</v>
      </c>
      <c r="BA97" s="288">
        <f t="shared" si="876"/>
        <v>0.28267356276109012</v>
      </c>
      <c r="BB97" s="288">
        <f t="shared" si="876"/>
        <v>0.21207177814029363</v>
      </c>
      <c r="BC97" s="288">
        <f t="shared" si="876"/>
        <v>0.30497089117778775</v>
      </c>
      <c r="BD97" s="288">
        <f t="shared" si="876"/>
        <v>0.28299434661121581</v>
      </c>
      <c r="BE97" s="288">
        <f t="shared" si="876"/>
        <v>0.26845547990922441</v>
      </c>
      <c r="BF97" s="288">
        <f t="shared" si="876"/>
        <v>0.22002045512656609</v>
      </c>
      <c r="BG97" s="288">
        <f t="shared" si="876"/>
        <v>0.31792997760226333</v>
      </c>
      <c r="BH97" s="288">
        <f t="shared" si="876"/>
        <v>0.26077001867807437</v>
      </c>
      <c r="BI97" s="288">
        <f t="shared" si="876"/>
        <v>0.24492346141830679</v>
      </c>
      <c r="BJ97" s="288">
        <f t="shared" si="876"/>
        <v>0.31188565963551351</v>
      </c>
      <c r="BK97" s="288">
        <f t="shared" si="876"/>
        <v>0.28279323378152305</v>
      </c>
      <c r="BL97" s="288">
        <f t="shared" si="876"/>
        <v>0.28581739444243953</v>
      </c>
      <c r="BM97" s="288">
        <f t="shared" si="876"/>
        <v>0.25844918852888138</v>
      </c>
      <c r="BN97" s="288">
        <f t="shared" si="876"/>
        <v>0.21336630880782417</v>
      </c>
      <c r="BO97" s="288">
        <f t="shared" si="876"/>
        <v>0.28419193070435378</v>
      </c>
      <c r="BP97" s="288">
        <f t="shared" si="876"/>
        <v>0.30652986114983549</v>
      </c>
      <c r="BQ97" s="288">
        <f t="shared" si="876"/>
        <v>0.28000453540450138</v>
      </c>
      <c r="BR97" s="288">
        <f t="shared" si="876"/>
        <v>0.22589561541379871</v>
      </c>
      <c r="BS97" s="288">
        <f t="shared" si="876"/>
        <v>0.31560458861627971</v>
      </c>
      <c r="BT97" s="288">
        <f t="shared" si="876"/>
        <v>0.30623236727365993</v>
      </c>
      <c r="BU97" s="288">
        <f t="shared" si="876"/>
        <v>0.30199815887799858</v>
      </c>
      <c r="BV97" s="288">
        <f t="shared" si="876"/>
        <v>0.21606223293524707</v>
      </c>
      <c r="BW97" s="288"/>
      <c r="BX97" s="288"/>
      <c r="BY97" s="288"/>
      <c r="BZ97" s="288"/>
      <c r="CA97" s="288"/>
      <c r="CB97" s="288"/>
      <c r="CC97" s="288"/>
      <c r="CD97" s="288"/>
      <c r="CE97" s="288"/>
      <c r="CF97" s="288"/>
      <c r="CG97" s="288"/>
      <c r="CH97" s="288"/>
      <c r="CI97" s="288"/>
      <c r="CJ97" s="288"/>
      <c r="CK97" s="288"/>
      <c r="CL97" s="288"/>
      <c r="CM97" s="288"/>
      <c r="CN97" s="288"/>
      <c r="CO97" s="288"/>
      <c r="CP97" s="288"/>
      <c r="CQ97" s="288">
        <f t="shared" ref="CQ97:DF97" si="877">+CQ67/CQ61</f>
        <v>0.28250362493958436</v>
      </c>
      <c r="CR97" s="288">
        <f t="shared" si="877"/>
        <v>0.22134365797796923</v>
      </c>
      <c r="CS97" s="288">
        <f t="shared" si="877"/>
        <v>0.27696613224551753</v>
      </c>
      <c r="CT97" s="288">
        <f t="shared" si="877"/>
        <v>0.18566470902295781</v>
      </c>
      <c r="CU97" s="288">
        <f t="shared" si="877"/>
        <v>0.2978361184534743</v>
      </c>
      <c r="CV97" s="288">
        <f t="shared" si="877"/>
        <v>0.32699116931871508</v>
      </c>
      <c r="CW97" s="288">
        <f t="shared" si="877"/>
        <v>0.28553674737518747</v>
      </c>
      <c r="CX97" s="288">
        <f t="shared" si="877"/>
        <v>0.20295039794195674</v>
      </c>
      <c r="CY97" s="288">
        <f t="shared" si="877"/>
        <v>0.27741880632545485</v>
      </c>
      <c r="CZ97" s="288">
        <f t="shared" si="877"/>
        <v>0.32139748849931615</v>
      </c>
      <c r="DA97" s="288">
        <f t="shared" si="877"/>
        <v>0.52378168455338869</v>
      </c>
      <c r="DB97" s="288">
        <f t="shared" si="877"/>
        <v>0.30428409899912057</v>
      </c>
      <c r="DC97" s="288">
        <f t="shared" si="877"/>
        <v>0.27979324207906575</v>
      </c>
      <c r="DD97" s="288">
        <f t="shared" si="877"/>
        <v>0.26998126756166096</v>
      </c>
      <c r="DE97" s="288">
        <f t="shared" si="877"/>
        <v>0.27994967615674943</v>
      </c>
      <c r="DF97" s="288">
        <f t="shared" si="877"/>
        <v>0.26355393531501214</v>
      </c>
      <c r="DG97" s="288">
        <f t="shared" ref="DG97:DN97" si="878">+DG67/DG61</f>
        <v>0.33836872135441026</v>
      </c>
      <c r="DH97" s="288">
        <f t="shared" si="878"/>
        <v>0.75</v>
      </c>
      <c r="DI97" s="288">
        <f t="shared" si="878"/>
        <v>0.75</v>
      </c>
      <c r="DJ97" s="288">
        <f t="shared" si="878"/>
        <v>0.74999999999999989</v>
      </c>
      <c r="DK97" s="288">
        <f t="shared" si="878"/>
        <v>0.75000000000000011</v>
      </c>
      <c r="DL97" s="288">
        <f t="shared" si="878"/>
        <v>0.74999999999999989</v>
      </c>
      <c r="DM97" s="288">
        <f t="shared" si="878"/>
        <v>0.75</v>
      </c>
      <c r="DN97" s="288">
        <f t="shared" si="878"/>
        <v>0.75000000000000011</v>
      </c>
      <c r="DP97" s="240">
        <f t="shared" ref="DP97:FC97" si="879">+DP67/DP61</f>
        <v>0.17023675310033823</v>
      </c>
      <c r="DQ97" s="240">
        <f t="shared" si="879"/>
        <v>0.17735042735042736</v>
      </c>
      <c r="DR97" s="240">
        <f t="shared" si="879"/>
        <v>0.17385715433437776</v>
      </c>
      <c r="DS97" s="240">
        <f t="shared" si="879"/>
        <v>0.16556387697229696</v>
      </c>
      <c r="DT97" s="240">
        <f t="shared" si="879"/>
        <v>0.16933088131277407</v>
      </c>
      <c r="DU97" s="240">
        <f t="shared" si="879"/>
        <v>0.17840345748061523</v>
      </c>
      <c r="DV97" s="240">
        <f t="shared" si="879"/>
        <v>0.18633902982698228</v>
      </c>
      <c r="DW97" s="240">
        <f t="shared" si="879"/>
        <v>0.19902867715078632</v>
      </c>
      <c r="DX97" s="240">
        <f t="shared" si="879"/>
        <v>0.20425118211144991</v>
      </c>
      <c r="DY97" s="240">
        <f t="shared" si="879"/>
        <v>0.21325611869636893</v>
      </c>
      <c r="DZ97" s="240">
        <f t="shared" si="879"/>
        <v>0.2157183939427032</v>
      </c>
      <c r="EA97" s="240">
        <f t="shared" si="879"/>
        <v>0.22227941933491197</v>
      </c>
      <c r="EB97" s="240">
        <f t="shared" si="879"/>
        <v>0.23891043509877591</v>
      </c>
      <c r="EC97" s="240">
        <f t="shared" si="879"/>
        <v>0.2788233604880811</v>
      </c>
      <c r="ED97" s="240">
        <f t="shared" si="879"/>
        <v>0.26848324340145496</v>
      </c>
      <c r="EE97" s="240">
        <f t="shared" si="879"/>
        <v>0.28330943325643743</v>
      </c>
      <c r="EF97" s="240">
        <f t="shared" si="879"/>
        <v>0.24960604468867428</v>
      </c>
      <c r="EG97" s="240">
        <f t="shared" si="879"/>
        <v>0.26018303203060533</v>
      </c>
      <c r="EH97" s="240">
        <f t="shared" si="879"/>
        <v>0.24900564694328506</v>
      </c>
      <c r="EI97" s="240">
        <f t="shared" si="879"/>
        <v>0.25364330870472335</v>
      </c>
      <c r="EJ97" s="240">
        <f t="shared" si="879"/>
        <v>0.27103090618285214</v>
      </c>
      <c r="EK97" s="240">
        <f t="shared" si="879"/>
        <v>0.26678057114962167</v>
      </c>
      <c r="EL97" s="240">
        <f t="shared" si="879"/>
        <v>0.30004613255420576</v>
      </c>
      <c r="EM97" s="240">
        <f t="shared" si="879"/>
        <v>0.2591258653519713</v>
      </c>
      <c r="EN97" s="240">
        <f t="shared" si="879"/>
        <v>0.27109041956472962</v>
      </c>
      <c r="EO97" s="240">
        <f t="shared" si="879"/>
        <v>0.32013152609541112</v>
      </c>
      <c r="EP97" s="240">
        <f t="shared" si="879"/>
        <v>0.65056362637391885</v>
      </c>
      <c r="EQ97" s="240">
        <f t="shared" si="879"/>
        <v>0.6474195947041802</v>
      </c>
      <c r="ER97" s="240">
        <f t="shared" si="879"/>
        <v>0.68999999999999984</v>
      </c>
      <c r="ES97" s="240">
        <f t="shared" si="879"/>
        <v>0.28601038312854693</v>
      </c>
      <c r="ET97" s="240">
        <f t="shared" si="879"/>
        <v>0.28331527245126004</v>
      </c>
      <c r="EU97" s="240">
        <f t="shared" si="879"/>
        <v>0.24115467512653477</v>
      </c>
      <c r="EV97" s="240">
        <f t="shared" si="879"/>
        <v>0.27865476278941392</v>
      </c>
      <c r="EW97" s="240">
        <f t="shared" si="879"/>
        <v>0.35632726243276397</v>
      </c>
      <c r="EX97" s="240">
        <f t="shared" si="879"/>
        <v>0.39926835796892723</v>
      </c>
      <c r="EY97" s="240">
        <f t="shared" si="879"/>
        <v>0.39949220619997666</v>
      </c>
      <c r="EZ97" s="240">
        <f t="shared" si="879"/>
        <v>0.39755881564828877</v>
      </c>
      <c r="FA97" s="240">
        <f t="shared" si="879"/>
        <v>0.39697037784445988</v>
      </c>
      <c r="FB97" s="240">
        <f t="shared" si="879"/>
        <v>0.39668574323903616</v>
      </c>
      <c r="FC97" s="240">
        <f t="shared" si="879"/>
        <v>0.39657747921032077</v>
      </c>
    </row>
    <row r="98" spans="2:166" ht="12.75" customHeight="1" x14ac:dyDescent="0.2">
      <c r="B98" t="s">
        <v>353</v>
      </c>
      <c r="C98" s="240">
        <f t="shared" ref="C98:AD98" si="880">+(C70)/C$61</f>
        <v>0.22782152230971128</v>
      </c>
      <c r="D98" s="240">
        <f t="shared" si="880"/>
        <v>0.2270972270972271</v>
      </c>
      <c r="E98" s="240">
        <f t="shared" si="880"/>
        <v>0.21428571428571427</v>
      </c>
      <c r="F98" s="240">
        <f t="shared" si="880"/>
        <v>0.13907637655417407</v>
      </c>
      <c r="G98" s="240">
        <f t="shared" si="880"/>
        <v>0.24796818260418468</v>
      </c>
      <c r="H98" s="240">
        <f t="shared" si="880"/>
        <v>0.23707418295002594</v>
      </c>
      <c r="I98" s="240">
        <f t="shared" si="880"/>
        <v>0.23008385744234802</v>
      </c>
      <c r="J98" s="240">
        <f t="shared" si="880"/>
        <v>0.14512329197424217</v>
      </c>
      <c r="K98" s="240">
        <f t="shared" si="880"/>
        <v>0.24178969569147332</v>
      </c>
      <c r="L98" s="240">
        <f t="shared" si="880"/>
        <v>0.23548292967610154</v>
      </c>
      <c r="M98" s="240">
        <f t="shared" si="880"/>
        <v>0.2238850200029634</v>
      </c>
      <c r="N98" s="240">
        <f t="shared" si="880"/>
        <v>0.14119528864330377</v>
      </c>
      <c r="O98" s="240">
        <f t="shared" si="880"/>
        <v>0.2585052602814592</v>
      </c>
      <c r="P98" s="240">
        <f t="shared" si="880"/>
        <v>0.24853489611081514</v>
      </c>
      <c r="Q98" s="240">
        <f t="shared" si="880"/>
        <v>0.24236535258189895</v>
      </c>
      <c r="R98" s="240">
        <f t="shared" si="880"/>
        <v>0.16488463702870004</v>
      </c>
      <c r="S98" s="240">
        <f t="shared" si="880"/>
        <v>0.27467590809908871</v>
      </c>
      <c r="T98" s="240">
        <f t="shared" si="880"/>
        <v>0.2552145768400863</v>
      </c>
      <c r="U98" s="240">
        <f t="shared" si="880"/>
        <v>0.25588735129885892</v>
      </c>
      <c r="V98" s="240">
        <f t="shared" si="880"/>
        <v>0.18433892657384268</v>
      </c>
      <c r="W98" s="240">
        <f t="shared" si="880"/>
        <v>0.29978268328948876</v>
      </c>
      <c r="X98" s="240">
        <f t="shared" si="880"/>
        <v>0.30111319299019068</v>
      </c>
      <c r="Y98" s="240">
        <f t="shared" si="880"/>
        <v>0.2635752836215442</v>
      </c>
      <c r="Z98" s="240">
        <f t="shared" si="880"/>
        <v>0.19663937041369775</v>
      </c>
      <c r="AA98" s="240">
        <f t="shared" si="880"/>
        <v>0.30014253716147427</v>
      </c>
      <c r="AB98" s="240">
        <f t="shared" si="880"/>
        <v>0.28610143244289588</v>
      </c>
      <c r="AC98" s="240">
        <f t="shared" si="880"/>
        <v>0.28199732159938778</v>
      </c>
      <c r="AD98" s="240">
        <f t="shared" si="880"/>
        <v>0.22030028975327071</v>
      </c>
      <c r="AE98" s="288">
        <f t="shared" ref="AE98:BV98" si="881">AE70/AE61</f>
        <v>0.32785380507343126</v>
      </c>
      <c r="AF98" s="288">
        <f t="shared" si="881"/>
        <v>0.32315842583249244</v>
      </c>
      <c r="AG98" s="288">
        <f t="shared" si="881"/>
        <v>0.28494763264952827</v>
      </c>
      <c r="AH98" s="288">
        <f t="shared" si="881"/>
        <v>0.20585006273525722</v>
      </c>
      <c r="AI98" s="288">
        <f t="shared" si="881"/>
        <v>0.30603179551122195</v>
      </c>
      <c r="AJ98" s="288">
        <f t="shared" si="881"/>
        <v>0.2931358721203573</v>
      </c>
      <c r="AK98" s="288">
        <f t="shared" si="881"/>
        <v>0.27782290820471162</v>
      </c>
      <c r="AL98" s="288">
        <f t="shared" si="881"/>
        <v>0.19920697858842187</v>
      </c>
      <c r="AM98" s="288">
        <f t="shared" si="881"/>
        <v>0.35806650246305421</v>
      </c>
      <c r="AN98" s="288">
        <f t="shared" si="881"/>
        <v>0.28848312504677093</v>
      </c>
      <c r="AO98" s="288">
        <f t="shared" si="881"/>
        <v>0.28418755174230453</v>
      </c>
      <c r="AP98" s="288">
        <f t="shared" si="881"/>
        <v>0.22131267358573309</v>
      </c>
      <c r="AQ98" s="288">
        <f t="shared" si="881"/>
        <v>0.29886657387154503</v>
      </c>
      <c r="AR98" s="288">
        <f t="shared" si="881"/>
        <v>0.26693963809272225</v>
      </c>
      <c r="AS98" s="288">
        <f t="shared" si="881"/>
        <v>0.27014060105284199</v>
      </c>
      <c r="AT98" s="288">
        <f t="shared" si="881"/>
        <v>0.20110296421633139</v>
      </c>
      <c r="AU98" s="288">
        <f t="shared" si="881"/>
        <v>0.29313325923181427</v>
      </c>
      <c r="AV98" s="288">
        <f t="shared" si="881"/>
        <v>0.26838905775075989</v>
      </c>
      <c r="AW98" s="288">
        <f t="shared" si="881"/>
        <v>0.26945543621631807</v>
      </c>
      <c r="AX98" s="288">
        <f t="shared" si="881"/>
        <v>0.21597944934791199</v>
      </c>
      <c r="AY98" s="288">
        <f t="shared" si="881"/>
        <v>0.30899773725542395</v>
      </c>
      <c r="AZ98" s="288">
        <f t="shared" si="881"/>
        <v>0.27974276527331188</v>
      </c>
      <c r="BA98" s="288">
        <f t="shared" si="881"/>
        <v>0.28148000795703204</v>
      </c>
      <c r="BB98" s="288">
        <f t="shared" si="881"/>
        <v>0.22898918494350795</v>
      </c>
      <c r="BC98" s="288">
        <f t="shared" si="881"/>
        <v>0.30599449811272472</v>
      </c>
      <c r="BD98" s="288">
        <f t="shared" si="881"/>
        <v>0.2780557541100786</v>
      </c>
      <c r="BE98" s="288">
        <f t="shared" si="881"/>
        <v>0.2816045921772794</v>
      </c>
      <c r="BF98" s="288">
        <f t="shared" si="881"/>
        <v>0.22059575556123753</v>
      </c>
      <c r="BG98" s="288">
        <f t="shared" si="881"/>
        <v>0.31256630908876576</v>
      </c>
      <c r="BH98" s="288">
        <f t="shared" si="881"/>
        <v>0.24167018135807677</v>
      </c>
      <c r="BI98" s="288">
        <f t="shared" si="881"/>
        <v>0.25685723211496408</v>
      </c>
      <c r="BJ98" s="288">
        <f t="shared" si="881"/>
        <v>0.33064130492534932</v>
      </c>
      <c r="BK98" s="288">
        <f t="shared" si="881"/>
        <v>0.31259681516822602</v>
      </c>
      <c r="BL98" s="288">
        <f t="shared" si="881"/>
        <v>0.27805846264886325</v>
      </c>
      <c r="BM98" s="288">
        <f t="shared" si="881"/>
        <v>0.25670408934907801</v>
      </c>
      <c r="BN98" s="288">
        <f t="shared" si="881"/>
        <v>0.19043336518464393</v>
      </c>
      <c r="BO98" s="288">
        <f t="shared" si="881"/>
        <v>0.24891725552769547</v>
      </c>
      <c r="BP98" s="288">
        <f t="shared" si="881"/>
        <v>0.3026822059889589</v>
      </c>
      <c r="BQ98" s="288">
        <f t="shared" si="881"/>
        <v>0.27751006292873748</v>
      </c>
      <c r="BR98" s="288">
        <f t="shared" si="881"/>
        <v>0.21706140588585984</v>
      </c>
      <c r="BS98" s="288">
        <f t="shared" si="881"/>
        <v>0.31384818047093693</v>
      </c>
      <c r="BT98" s="288">
        <f t="shared" si="881"/>
        <v>0.3021287509617851</v>
      </c>
      <c r="BU98" s="288">
        <f t="shared" si="881"/>
        <v>0.2959332864027725</v>
      </c>
      <c r="BV98" s="288">
        <f t="shared" si="881"/>
        <v>0.20937876629779775</v>
      </c>
      <c r="BW98" s="288"/>
      <c r="BX98" s="288"/>
      <c r="BY98" s="288"/>
      <c r="BZ98" s="288"/>
      <c r="CA98" s="288"/>
      <c r="CB98" s="288"/>
      <c r="CC98" s="288"/>
      <c r="CD98" s="288"/>
      <c r="CE98" s="288"/>
      <c r="CF98" s="288"/>
      <c r="CG98" s="288"/>
      <c r="CH98" s="288"/>
      <c r="CI98" s="288"/>
      <c r="CJ98" s="288"/>
      <c r="CK98" s="288"/>
      <c r="CL98" s="288"/>
      <c r="CM98" s="288"/>
      <c r="CN98" s="288"/>
      <c r="CO98" s="288"/>
      <c r="CP98" s="288"/>
      <c r="CQ98" s="288"/>
      <c r="CR98" s="288"/>
      <c r="CS98" s="288"/>
      <c r="CT98" s="288"/>
      <c r="CU98" s="288"/>
      <c r="CV98" s="288"/>
      <c r="CW98" s="288"/>
      <c r="CX98" s="288"/>
      <c r="CY98" s="288"/>
      <c r="CZ98" s="288"/>
      <c r="DA98" s="288"/>
      <c r="DB98" s="288"/>
      <c r="DC98" s="288"/>
      <c r="DD98" s="288"/>
      <c r="DE98" s="288"/>
      <c r="DF98" s="288"/>
      <c r="DG98" s="288"/>
      <c r="DH98" s="288"/>
      <c r="DI98" s="288"/>
      <c r="DJ98" s="288"/>
      <c r="DK98" s="288"/>
      <c r="DL98" s="288"/>
      <c r="DM98" s="288"/>
      <c r="DN98" s="288"/>
      <c r="DP98" s="240">
        <f t="shared" ref="DP98:FC98" si="882">+(DP70)/DP$61</f>
        <v>0.15517064671517886</v>
      </c>
      <c r="DQ98" s="240">
        <f t="shared" si="882"/>
        <v>0.15375712250712251</v>
      </c>
      <c r="DR98" s="240">
        <f t="shared" si="882"/>
        <v>0.16373423314854985</v>
      </c>
      <c r="DS98" s="240">
        <f t="shared" si="882"/>
        <v>0.16047407838289829</v>
      </c>
      <c r="DT98" s="240">
        <f t="shared" si="882"/>
        <v>0.16494553685103974</v>
      </c>
      <c r="DU98" s="240">
        <f t="shared" si="882"/>
        <v>0.17039532223210882</v>
      </c>
      <c r="DV98" s="240">
        <f t="shared" si="882"/>
        <v>0.17604288292113363</v>
      </c>
      <c r="DW98" s="240">
        <f t="shared" si="882"/>
        <v>0.18654024051803886</v>
      </c>
      <c r="DX98" s="240">
        <f t="shared" si="882"/>
        <v>0.20221839232842811</v>
      </c>
      <c r="DY98" s="240">
        <f t="shared" si="882"/>
        <v>0.21329838948302829</v>
      </c>
      <c r="DZ98" s="240">
        <f t="shared" si="882"/>
        <v>0.20942084379891521</v>
      </c>
      <c r="EA98" s="240">
        <f t="shared" si="882"/>
        <v>0.22797625175881123</v>
      </c>
      <c r="EB98" s="240">
        <f t="shared" si="882"/>
        <v>0.2424857593019028</v>
      </c>
      <c r="EC98" s="240">
        <f t="shared" si="882"/>
        <v>0.27345923672311639</v>
      </c>
      <c r="ED98" s="240">
        <f t="shared" si="882"/>
        <v>0.27686272288235214</v>
      </c>
      <c r="EE98" s="240">
        <f t="shared" si="882"/>
        <v>0.28316395452750587</v>
      </c>
      <c r="EF98" s="240">
        <f t="shared" si="882"/>
        <v>0.26267727989009659</v>
      </c>
      <c r="EG98" s="240">
        <f t="shared" si="882"/>
        <v>0.28713149801215215</v>
      </c>
      <c r="EH98" s="240">
        <f t="shared" si="882"/>
        <v>0.25723872657336933</v>
      </c>
      <c r="EI98" s="240">
        <f t="shared" si="882"/>
        <v>0.26245940985458138</v>
      </c>
      <c r="EJ98" s="240">
        <f t="shared" si="882"/>
        <v>0.27107129586248124</v>
      </c>
      <c r="EK98" s="240">
        <f t="shared" si="882"/>
        <v>0.26915629322268325</v>
      </c>
      <c r="EL98" s="240">
        <f t="shared" si="882"/>
        <v>0.30213747501153315</v>
      </c>
      <c r="EM98" s="240">
        <f t="shared" si="882"/>
        <v>0.25310345845572496</v>
      </c>
      <c r="EN98" s="240">
        <f t="shared" si="882"/>
        <v>0.25853993717747364</v>
      </c>
      <c r="EO98" s="240">
        <f t="shared" si="882"/>
        <v>0.32013152609541112</v>
      </c>
      <c r="EP98" s="240">
        <f t="shared" si="882"/>
        <v>0.65056362637391885</v>
      </c>
      <c r="EQ98" s="240">
        <f t="shared" si="882"/>
        <v>0.6474195947041802</v>
      </c>
      <c r="ER98" s="240">
        <f t="shared" si="882"/>
        <v>0.68999999999999984</v>
      </c>
      <c r="ES98" s="240">
        <f t="shared" si="882"/>
        <v>0.28195306677117066</v>
      </c>
      <c r="ET98" s="240">
        <f t="shared" si="882"/>
        <v>0.28125572852166192</v>
      </c>
      <c r="EU98" s="240">
        <f t="shared" si="882"/>
        <v>0.23875717433947644</v>
      </c>
      <c r="EV98" s="240">
        <f t="shared" si="882"/>
        <v>0.28938736080000849</v>
      </c>
      <c r="EW98" s="240">
        <f t="shared" si="882"/>
        <v>0.3664349449005484</v>
      </c>
      <c r="EX98" s="240">
        <f t="shared" si="882"/>
        <v>0.39926835796892723</v>
      </c>
      <c r="EY98" s="240">
        <f t="shared" si="882"/>
        <v>0.39949220619997666</v>
      </c>
      <c r="EZ98" s="240">
        <f t="shared" si="882"/>
        <v>0.39755881564828877</v>
      </c>
      <c r="FA98" s="240">
        <f t="shared" si="882"/>
        <v>0.39697037784445988</v>
      </c>
      <c r="FB98" s="240">
        <f t="shared" si="882"/>
        <v>0.39668574323903616</v>
      </c>
      <c r="FC98" s="240">
        <f t="shared" si="882"/>
        <v>0.39657747921032077</v>
      </c>
    </row>
    <row r="99" spans="2:166" ht="12.75" customHeight="1" x14ac:dyDescent="0.2">
      <c r="B99" t="s">
        <v>354</v>
      </c>
      <c r="C99" s="240">
        <f t="shared" ref="C99:AD99" si="883">+C71/C70</f>
        <v>0.30184331797235026</v>
      </c>
      <c r="D99" s="240">
        <f t="shared" si="883"/>
        <v>0.2975270479134467</v>
      </c>
      <c r="E99" s="240">
        <f t="shared" si="883"/>
        <v>0.2857142857142857</v>
      </c>
      <c r="F99" s="240">
        <f t="shared" si="883"/>
        <v>0.19540229885057472</v>
      </c>
      <c r="G99" s="240">
        <f t="shared" si="883"/>
        <v>0.29567642956764295</v>
      </c>
      <c r="H99" s="240">
        <f t="shared" si="883"/>
        <v>0.26695842450765866</v>
      </c>
      <c r="I99" s="240">
        <f t="shared" si="883"/>
        <v>0.27031131359149585</v>
      </c>
      <c r="J99" s="240">
        <f t="shared" si="883"/>
        <v>0.25</v>
      </c>
      <c r="K99" s="240">
        <f t="shared" si="883"/>
        <v>0.297196261682243</v>
      </c>
      <c r="L99" s="240">
        <f t="shared" si="883"/>
        <v>0.28438661710037177</v>
      </c>
      <c r="M99" s="240">
        <f t="shared" si="883"/>
        <v>0.27266710787557907</v>
      </c>
      <c r="N99" s="240">
        <f t="shared" si="883"/>
        <v>0.22348094747682801</v>
      </c>
      <c r="O99" s="240">
        <f t="shared" si="883"/>
        <v>0.30549682875264272</v>
      </c>
      <c r="P99" s="240">
        <f t="shared" si="883"/>
        <v>0.28670953912111469</v>
      </c>
      <c r="Q99" s="240">
        <f t="shared" si="883"/>
        <v>0.27605956471935855</v>
      </c>
      <c r="R99" s="240">
        <f t="shared" si="883"/>
        <v>0.19368600682593856</v>
      </c>
      <c r="S99" s="240">
        <f t="shared" si="883"/>
        <v>0.29906542056074764</v>
      </c>
      <c r="T99" s="240">
        <f t="shared" si="883"/>
        <v>0.30389854391733206</v>
      </c>
      <c r="U99" s="240">
        <f t="shared" si="883"/>
        <v>0.27466793168880455</v>
      </c>
      <c r="V99" s="240">
        <f t="shared" si="883"/>
        <v>0.21885087153001936</v>
      </c>
      <c r="W99" s="240">
        <f t="shared" si="883"/>
        <v>0.30026707363601679</v>
      </c>
      <c r="X99" s="240">
        <f t="shared" si="883"/>
        <v>0.28330893118594436</v>
      </c>
      <c r="Y99" s="240">
        <f t="shared" si="883"/>
        <v>0.27914751358127871</v>
      </c>
      <c r="Z99" s="240">
        <f t="shared" si="883"/>
        <v>0.25148729042725798</v>
      </c>
      <c r="AA99" s="240">
        <f t="shared" si="883"/>
        <v>0.29138398914518315</v>
      </c>
      <c r="AB99" s="240">
        <f t="shared" si="883"/>
        <v>0.2861975642760487</v>
      </c>
      <c r="AC99" s="240">
        <f t="shared" si="883"/>
        <v>0.2974898236092266</v>
      </c>
      <c r="AD99" s="240">
        <f t="shared" si="883"/>
        <v>0.21084097249900358</v>
      </c>
      <c r="AE99" s="288">
        <f t="shared" ref="AE99:BV99" si="884">AE71/AE70</f>
        <v>0.25731738355815731</v>
      </c>
      <c r="AF99" s="288">
        <f t="shared" si="884"/>
        <v>0.25422846734322146</v>
      </c>
      <c r="AG99" s="288">
        <f t="shared" si="884"/>
        <v>0.28341433778857839</v>
      </c>
      <c r="AH99" s="288">
        <f t="shared" si="884"/>
        <v>0.2358095238095238</v>
      </c>
      <c r="AI99" s="288">
        <f t="shared" si="884"/>
        <v>0.27705627705627706</v>
      </c>
      <c r="AJ99" s="288">
        <f t="shared" si="884"/>
        <v>0.19406575781876503</v>
      </c>
      <c r="AK99" s="288">
        <f t="shared" si="884"/>
        <v>0.25789473684210529</v>
      </c>
      <c r="AL99" s="288">
        <f t="shared" si="884"/>
        <v>0.16361464968152867</v>
      </c>
      <c r="AM99" s="288">
        <f t="shared" si="884"/>
        <v>0.28159931212381772</v>
      </c>
      <c r="AN99" s="288">
        <f t="shared" si="884"/>
        <v>0.20311284046692607</v>
      </c>
      <c r="AO99" s="288">
        <f t="shared" si="884"/>
        <v>0.23861228813559321</v>
      </c>
      <c r="AP99" s="288">
        <f t="shared" si="884"/>
        <v>0.21235138705416115</v>
      </c>
      <c r="AQ99" s="288">
        <f t="shared" si="884"/>
        <v>0.23929917941893991</v>
      </c>
      <c r="AR99" s="288">
        <f t="shared" si="884"/>
        <v>0.23503216229589313</v>
      </c>
      <c r="AS99" s="288">
        <f t="shared" si="884"/>
        <v>0.23300000000000001</v>
      </c>
      <c r="AT99" s="288">
        <f t="shared" si="884"/>
        <v>0.153</v>
      </c>
      <c r="AU99" s="288">
        <f t="shared" si="884"/>
        <v>0.24204760901622077</v>
      </c>
      <c r="AV99" s="288">
        <f t="shared" si="884"/>
        <v>0.23737259343148359</v>
      </c>
      <c r="AW99" s="288">
        <f t="shared" si="884"/>
        <v>0.22843822843822845</v>
      </c>
      <c r="AX99" s="288">
        <f t="shared" si="884"/>
        <v>0.19914608112229337</v>
      </c>
      <c r="AY99" s="288">
        <f t="shared" si="884"/>
        <v>0.24466939478785268</v>
      </c>
      <c r="AZ99" s="288">
        <f t="shared" si="884"/>
        <v>0.24747830166549378</v>
      </c>
      <c r="BA99" s="288">
        <f t="shared" si="884"/>
        <v>0.21201413427561838</v>
      </c>
      <c r="BB99" s="288">
        <f t="shared" si="884"/>
        <v>0.23905013192612137</v>
      </c>
      <c r="BC99" s="288">
        <f t="shared" si="884"/>
        <v>0.24398912816224128</v>
      </c>
      <c r="BD99" s="288">
        <f t="shared" si="884"/>
        <v>0.195840149567656</v>
      </c>
      <c r="BE99" s="288">
        <f t="shared" si="884"/>
        <v>0.19009243896657976</v>
      </c>
      <c r="BF99" s="288">
        <f t="shared" si="884"/>
        <v>0.17009562445667922</v>
      </c>
      <c r="BG99" s="288">
        <f t="shared" si="884"/>
        <v>0.19498397133697906</v>
      </c>
      <c r="BH99" s="288">
        <f t="shared" si="884"/>
        <v>0.16105709299426577</v>
      </c>
      <c r="BI99" s="288">
        <f t="shared" si="884"/>
        <v>0.22111408416443687</v>
      </c>
      <c r="BJ99" s="288">
        <f t="shared" si="884"/>
        <v>8.4846537040012854E-2</v>
      </c>
      <c r="BK99" s="288">
        <f t="shared" si="884"/>
        <v>0.22497522299306244</v>
      </c>
      <c r="BL99" s="288">
        <f t="shared" si="884"/>
        <v>0.21674237508111616</v>
      </c>
      <c r="BM99" s="288">
        <f t="shared" si="884"/>
        <v>0.21889870836165873</v>
      </c>
      <c r="BN99" s="288">
        <f t="shared" si="884"/>
        <v>0.15731995277449823</v>
      </c>
      <c r="BO99" s="288">
        <f t="shared" si="884"/>
        <v>0.1749084249084249</v>
      </c>
      <c r="BP99" s="288">
        <f t="shared" si="884"/>
        <v>0.19952100221075902</v>
      </c>
      <c r="BQ99" s="288">
        <f t="shared" si="884"/>
        <v>0.18631256384065373</v>
      </c>
      <c r="BR99" s="288">
        <f t="shared" si="884"/>
        <v>8.8999999999999996E-2</v>
      </c>
      <c r="BS99" s="288">
        <f t="shared" si="884"/>
        <v>0.12189576775096188</v>
      </c>
      <c r="BT99" s="288">
        <f t="shared" si="884"/>
        <v>0.22071307300509338</v>
      </c>
      <c r="BU99" s="288">
        <f t="shared" si="884"/>
        <v>0.37712717291857273</v>
      </c>
      <c r="BV99" s="288">
        <f t="shared" si="884"/>
        <v>4.7619047619047616E-2</v>
      </c>
      <c r="BW99" s="288"/>
      <c r="BX99" s="288"/>
      <c r="BY99" s="288"/>
      <c r="BZ99" s="288"/>
      <c r="CA99" s="288"/>
      <c r="CB99" s="288"/>
      <c r="CC99" s="288"/>
      <c r="CD99" s="288"/>
      <c r="CE99" s="288"/>
      <c r="CF99" s="288"/>
      <c r="CG99" s="288"/>
      <c r="CH99" s="288"/>
      <c r="CI99" s="288"/>
      <c r="CJ99" s="288"/>
      <c r="CK99" s="288"/>
      <c r="CL99" s="288"/>
      <c r="CM99" s="288"/>
      <c r="CN99" s="288"/>
      <c r="CO99" s="288"/>
      <c r="CP99" s="288"/>
      <c r="CQ99" s="288"/>
      <c r="CR99" s="288"/>
      <c r="CS99" s="288"/>
      <c r="CT99" s="288"/>
      <c r="CU99" s="288"/>
      <c r="CV99" s="288"/>
      <c r="CW99" s="288"/>
      <c r="CX99" s="288"/>
      <c r="CY99" s="288"/>
      <c r="CZ99" s="288"/>
      <c r="DA99" s="288"/>
      <c r="DB99" s="288"/>
      <c r="DC99" s="288"/>
      <c r="DD99" s="288"/>
      <c r="DE99" s="288"/>
      <c r="DF99" s="288"/>
      <c r="DG99" s="288"/>
      <c r="DH99" s="288"/>
      <c r="DI99" s="288"/>
      <c r="DJ99" s="288"/>
      <c r="DK99" s="288"/>
      <c r="DL99" s="288"/>
      <c r="DM99" s="288"/>
      <c r="DN99" s="288"/>
      <c r="DP99" s="240">
        <f t="shared" ref="DP99:EF99" si="885">+DP71/DP70</f>
        <v>0.28533685601056802</v>
      </c>
      <c r="DQ99" s="240">
        <f t="shared" si="885"/>
        <v>0.27793862188766649</v>
      </c>
      <c r="DR99" s="240">
        <f t="shared" si="885"/>
        <v>0.2831207065750736</v>
      </c>
      <c r="DS99" s="240">
        <f t="shared" si="885"/>
        <v>0.26370638876302671</v>
      </c>
      <c r="DT99" s="240">
        <f t="shared" si="885"/>
        <v>0.233704974271012</v>
      </c>
      <c r="DU99" s="240">
        <f t="shared" si="885"/>
        <v>0.2517717269675494</v>
      </c>
      <c r="DV99" s="240">
        <f t="shared" si="885"/>
        <v>0.27555019596020502</v>
      </c>
      <c r="DW99" s="240">
        <f t="shared" si="885"/>
        <v>0.28415571534837591</v>
      </c>
      <c r="DX99" s="240">
        <f t="shared" si="885"/>
        <v>0.27819055944055943</v>
      </c>
      <c r="DY99" s="240">
        <f t="shared" si="885"/>
        <v>0.23979389615537058</v>
      </c>
      <c r="DZ99" s="240">
        <f t="shared" si="885"/>
        <v>0.27568225273770208</v>
      </c>
      <c r="EA99" s="240">
        <f t="shared" si="885"/>
        <v>0.2742736715339455</v>
      </c>
      <c r="EB99" s="240">
        <f t="shared" si="885"/>
        <v>0.27864550793452453</v>
      </c>
      <c r="EC99" s="240">
        <f t="shared" si="885"/>
        <v>0.25</v>
      </c>
      <c r="ED99" s="240">
        <f t="shared" si="885"/>
        <v>0.26523095810527392</v>
      </c>
      <c r="EE99" s="240">
        <f t="shared" si="885"/>
        <v>0.31772477064220184</v>
      </c>
      <c r="EF99" s="240">
        <f t="shared" si="885"/>
        <v>0.24957698815566837</v>
      </c>
      <c r="EG99" s="240">
        <f t="shared" ref="EG99:EL99" si="886">EG71/EG70</f>
        <v>0.27287571027365948</v>
      </c>
      <c r="EH99" s="240">
        <f t="shared" si="886"/>
        <v>0.22044788750318148</v>
      </c>
      <c r="EI99" s="240">
        <f t="shared" si="886"/>
        <v>0.22891638276253662</v>
      </c>
      <c r="EJ99" s="240">
        <f t="shared" si="886"/>
        <v>0</v>
      </c>
      <c r="EK99" s="240">
        <f t="shared" si="886"/>
        <v>0.20518711081554925</v>
      </c>
      <c r="EL99" s="240">
        <f t="shared" si="886"/>
        <v>0.15864210097719869</v>
      </c>
      <c r="EM99" s="240">
        <f t="shared" ref="EM99:EO99" si="887">EL99+1%</f>
        <v>0.1686421009771987</v>
      </c>
      <c r="EN99" s="240">
        <f t="shared" si="887"/>
        <v>0.17864210097719871</v>
      </c>
      <c r="EO99" s="240">
        <f t="shared" si="887"/>
        <v>0.18864210097719872</v>
      </c>
      <c r="EP99" s="240">
        <f t="shared" ref="EP99:FC99" si="888">+EP71/EP70</f>
        <v>0</v>
      </c>
      <c r="EQ99" s="240">
        <f t="shared" si="888"/>
        <v>0</v>
      </c>
      <c r="ER99" s="240">
        <f t="shared" si="888"/>
        <v>0</v>
      </c>
      <c r="ES99" s="240">
        <f t="shared" si="888"/>
        <v>0.13420561446992677</v>
      </c>
      <c r="ET99" s="240">
        <f t="shared" si="888"/>
        <v>0.1608388450827555</v>
      </c>
      <c r="EU99" s="240">
        <f t="shared" si="888"/>
        <v>9.5040064915305811E-2</v>
      </c>
      <c r="EV99" s="240">
        <f t="shared" si="888"/>
        <v>9.7762289068231839E-2</v>
      </c>
      <c r="EW99" s="240">
        <f t="shared" si="888"/>
        <v>0.12979283506924574</v>
      </c>
      <c r="EX99" s="240">
        <f t="shared" si="888"/>
        <v>0.25</v>
      </c>
      <c r="EY99" s="240">
        <f t="shared" si="888"/>
        <v>0.25</v>
      </c>
      <c r="EZ99" s="240">
        <f t="shared" si="888"/>
        <v>0.25</v>
      </c>
      <c r="FA99" s="240">
        <f t="shared" si="888"/>
        <v>0.25</v>
      </c>
      <c r="FB99" s="240">
        <f t="shared" si="888"/>
        <v>0.25</v>
      </c>
      <c r="FC99" s="240">
        <f t="shared" si="888"/>
        <v>0.25</v>
      </c>
    </row>
    <row r="100" spans="2:166" ht="12.75" customHeight="1" x14ac:dyDescent="0.2">
      <c r="B100" s="299" t="s">
        <v>355</v>
      </c>
      <c r="C100" s="242">
        <f t="shared" ref="C100:AH100" si="889">C72/C61</f>
        <v>0.15905511811023623</v>
      </c>
      <c r="D100" s="242">
        <f t="shared" si="889"/>
        <v>0.15952965952965953</v>
      </c>
      <c r="E100" s="242">
        <f t="shared" si="889"/>
        <v>0.15306122448979592</v>
      </c>
      <c r="F100" s="242">
        <f t="shared" si="889"/>
        <v>0.11190053285968028</v>
      </c>
      <c r="G100" s="242">
        <f t="shared" si="889"/>
        <v>0.17464983572540205</v>
      </c>
      <c r="H100" s="242">
        <f t="shared" si="889"/>
        <v>0.17378523257824657</v>
      </c>
      <c r="I100" s="242">
        <f t="shared" si="889"/>
        <v>0.16788958770090845</v>
      </c>
      <c r="J100" s="242">
        <f t="shared" si="889"/>
        <v>0.10884246898068164</v>
      </c>
      <c r="K100" s="242">
        <f t="shared" si="889"/>
        <v>0.16993070201868032</v>
      </c>
      <c r="L100" s="242">
        <f t="shared" si="889"/>
        <v>0.16851473592063029</v>
      </c>
      <c r="M100" s="242">
        <f t="shared" si="889"/>
        <v>0.16283893910208919</v>
      </c>
      <c r="N100" s="242">
        <f t="shared" si="889"/>
        <v>0.10964083175803403</v>
      </c>
      <c r="O100" s="242">
        <f t="shared" si="889"/>
        <v>0.17953272304959694</v>
      </c>
      <c r="P100" s="242">
        <f t="shared" si="889"/>
        <v>0.1772775705913692</v>
      </c>
      <c r="Q100" s="242">
        <f t="shared" si="889"/>
        <v>0.17545807884508607</v>
      </c>
      <c r="R100" s="242">
        <f t="shared" si="889"/>
        <v>0.13294879009566685</v>
      </c>
      <c r="S100" s="242">
        <f t="shared" si="889"/>
        <v>0.19252984212552945</v>
      </c>
      <c r="T100" s="242">
        <f t="shared" si="889"/>
        <v>0.17765523855190601</v>
      </c>
      <c r="U100" s="242">
        <f t="shared" si="889"/>
        <v>0.18560330177227483</v>
      </c>
      <c r="V100" s="242">
        <f t="shared" si="889"/>
        <v>0.14399619183624895</v>
      </c>
      <c r="W100" s="242">
        <f t="shared" si="889"/>
        <v>0.20976781425140112</v>
      </c>
      <c r="X100" s="242">
        <f t="shared" si="889"/>
        <v>0.21580513611815277</v>
      </c>
      <c r="Y100" s="242">
        <f t="shared" si="889"/>
        <v>0.1899988985571098</v>
      </c>
      <c r="Z100" s="242">
        <f t="shared" si="889"/>
        <v>0.14718706795703498</v>
      </c>
      <c r="AA100" s="242">
        <f t="shared" si="889"/>
        <v>0.21268580737120749</v>
      </c>
      <c r="AB100" s="242">
        <f t="shared" si="889"/>
        <v>0.20421989934185056</v>
      </c>
      <c r="AC100" s="242">
        <f t="shared" si="889"/>
        <v>0.19810598813851157</v>
      </c>
      <c r="AD100" s="242">
        <f t="shared" si="889"/>
        <v>0.17385196241987882</v>
      </c>
      <c r="AE100" s="242">
        <f t="shared" si="889"/>
        <v>0.2434913217623498</v>
      </c>
      <c r="AF100" s="242">
        <f t="shared" si="889"/>
        <v>0.24100235452404978</v>
      </c>
      <c r="AG100" s="242">
        <f t="shared" si="889"/>
        <v>0.20418938803773912</v>
      </c>
      <c r="AH100" s="242">
        <f t="shared" si="889"/>
        <v>0.1573086574654956</v>
      </c>
      <c r="AI100" s="242">
        <f t="shared" ref="AI100:BN100" si="890">AI72/AI61</f>
        <v>0.22124376558603492</v>
      </c>
      <c r="AJ100" s="242">
        <f t="shared" si="890"/>
        <v>0.23624823695345556</v>
      </c>
      <c r="AK100" s="242">
        <f t="shared" si="890"/>
        <v>0.20617384240454914</v>
      </c>
      <c r="AL100" s="242">
        <f t="shared" si="890"/>
        <v>0.16661379857256145</v>
      </c>
      <c r="AM100" s="242">
        <f t="shared" si="890"/>
        <v>0.25723522167487683</v>
      </c>
      <c r="AN100" s="242">
        <f t="shared" si="890"/>
        <v>0.22988849809174586</v>
      </c>
      <c r="AO100" s="242">
        <f t="shared" si="890"/>
        <v>0.21637690976142093</v>
      </c>
      <c r="AP100" s="242">
        <f t="shared" si="890"/>
        <v>0.17431662037713785</v>
      </c>
      <c r="AQ100" s="242">
        <f t="shared" si="890"/>
        <v>0.22734804798833433</v>
      </c>
      <c r="AR100" s="242">
        <f t="shared" si="890"/>
        <v>0.20420023774930657</v>
      </c>
      <c r="AS100" s="242">
        <f t="shared" si="890"/>
        <v>0.2071978410075298</v>
      </c>
      <c r="AT100" s="242">
        <f t="shared" si="890"/>
        <v>0.18123851601178168</v>
      </c>
      <c r="AU100" s="242">
        <f t="shared" si="890"/>
        <v>0.22218105471162158</v>
      </c>
      <c r="AV100" s="242">
        <f t="shared" si="890"/>
        <v>0.2046808510638298</v>
      </c>
      <c r="AW100" s="242">
        <f t="shared" si="890"/>
        <v>0.2079015137240123</v>
      </c>
      <c r="AX100" s="242">
        <f t="shared" si="890"/>
        <v>0.17296798840732447</v>
      </c>
      <c r="AY100" s="242">
        <f t="shared" si="890"/>
        <v>0.23339544789032343</v>
      </c>
      <c r="AZ100" s="242">
        <f t="shared" si="890"/>
        <v>0.21051250082026379</v>
      </c>
      <c r="BA100" s="242">
        <f t="shared" si="890"/>
        <v>0.2218022677541277</v>
      </c>
      <c r="BB100" s="242">
        <f t="shared" si="890"/>
        <v>0.17424929007310735</v>
      </c>
      <c r="BC100" s="242">
        <f t="shared" si="890"/>
        <v>0.23133516729575843</v>
      </c>
      <c r="BD100" s="242">
        <f t="shared" si="890"/>
        <v>0.22360127363701346</v>
      </c>
      <c r="BE100" s="242">
        <f t="shared" si="890"/>
        <v>0.22807368842611134</v>
      </c>
      <c r="BF100" s="242">
        <f t="shared" si="890"/>
        <v>0.18307338276655588</v>
      </c>
      <c r="BG100" s="242">
        <f t="shared" si="890"/>
        <v>0.25162088883649653</v>
      </c>
      <c r="BH100" s="242">
        <f t="shared" si="890"/>
        <v>0.20274748448514793</v>
      </c>
      <c r="BI100" s="242">
        <f t="shared" si="890"/>
        <v>0.20006248047485162</v>
      </c>
      <c r="BJ100" s="242">
        <f t="shared" si="890"/>
        <v>0.3025875352000425</v>
      </c>
      <c r="BK100" s="242">
        <f t="shared" si="890"/>
        <v>0.24227027696883327</v>
      </c>
      <c r="BL100" s="242">
        <f t="shared" si="890"/>
        <v>0.21779141104294478</v>
      </c>
      <c r="BM100" s="242">
        <f t="shared" si="890"/>
        <v>0.200511895759409</v>
      </c>
      <c r="BN100" s="242">
        <f t="shared" si="890"/>
        <v>0.16047439716710696</v>
      </c>
      <c r="BO100" s="242">
        <f t="shared" ref="BO100:BV100" si="891">BO72/BO61</f>
        <v>0.20537953043081833</v>
      </c>
      <c r="BP100" s="242">
        <f t="shared" si="891"/>
        <v>0.24229074889867841</v>
      </c>
      <c r="BQ100" s="242">
        <f t="shared" si="891"/>
        <v>0.22580645161290322</v>
      </c>
      <c r="BR100" s="242">
        <f t="shared" si="891"/>
        <v>0.19774294076201832</v>
      </c>
      <c r="BS100" s="242">
        <f t="shared" si="891"/>
        <v>0.27559141555518962</v>
      </c>
      <c r="BT100" s="242">
        <f t="shared" si="891"/>
        <v>0.23544498589381893</v>
      </c>
      <c r="BU100" s="242">
        <f t="shared" si="891"/>
        <v>0.18432880272919261</v>
      </c>
      <c r="BV100" s="242">
        <f t="shared" si="891"/>
        <v>0.19940834885504546</v>
      </c>
      <c r="BW100" s="240"/>
      <c r="BX100" s="240"/>
      <c r="BY100" s="240"/>
      <c r="BZ100" s="240"/>
      <c r="CA100" s="240"/>
      <c r="CB100" s="240"/>
      <c r="CC100" s="240"/>
      <c r="CD100" s="240"/>
      <c r="CE100" s="240"/>
      <c r="CF100" s="240"/>
      <c r="CG100" s="240"/>
      <c r="CH100" s="240"/>
      <c r="CI100" s="240"/>
      <c r="CJ100" s="240"/>
      <c r="CK100" s="240"/>
      <c r="CL100" s="240"/>
      <c r="CM100" s="240"/>
      <c r="CN100" s="240"/>
      <c r="CO100" s="240"/>
      <c r="CP100" s="240"/>
      <c r="CQ100" s="240"/>
      <c r="CR100" s="240"/>
      <c r="CS100" s="240"/>
      <c r="CT100" s="240"/>
      <c r="CU100" s="240"/>
      <c r="CV100" s="240"/>
      <c r="CW100" s="240"/>
      <c r="CX100" s="240"/>
      <c r="CY100" s="240"/>
      <c r="CZ100" s="240"/>
      <c r="DA100" s="240"/>
      <c r="DB100" s="240"/>
      <c r="DC100" s="240"/>
      <c r="DD100" s="240"/>
      <c r="DE100" s="240"/>
      <c r="DF100" s="240"/>
      <c r="DG100" s="240"/>
      <c r="DH100" s="240"/>
      <c r="DI100" s="240"/>
      <c r="DJ100" s="240"/>
      <c r="DK100" s="240"/>
      <c r="DL100" s="240"/>
      <c r="DM100" s="240"/>
      <c r="DN100" s="240"/>
      <c r="DP100" s="242">
        <f t="shared" ref="DP100:FC100" si="892">DP72/DP61</f>
        <v>0.11089474223634314</v>
      </c>
      <c r="DQ100" s="242">
        <f t="shared" si="892"/>
        <v>0.11102207977207977</v>
      </c>
      <c r="DR100" s="242">
        <f t="shared" si="892"/>
        <v>0.11737768136900457</v>
      </c>
      <c r="DS100" s="242">
        <f t="shared" si="892"/>
        <v>0.11815603868246928</v>
      </c>
      <c r="DT100" s="242">
        <f t="shared" si="892"/>
        <v>0.12639694440514923</v>
      </c>
      <c r="DU100" s="242">
        <f t="shared" si="892"/>
        <v>0.1274945976865387</v>
      </c>
      <c r="DV100" s="242">
        <f t="shared" si="892"/>
        <v>0.12753423203481584</v>
      </c>
      <c r="DW100" s="242">
        <f t="shared" si="892"/>
        <v>0.13353376503237743</v>
      </c>
      <c r="DX100" s="242">
        <f t="shared" si="892"/>
        <v>0.14596314463741217</v>
      </c>
      <c r="DY100" s="242">
        <f t="shared" si="892"/>
        <v>0.16215073762522719</v>
      </c>
      <c r="DZ100" s="242">
        <f t="shared" si="892"/>
        <v>0.15168723381019986</v>
      </c>
      <c r="EA100" s="242">
        <f t="shared" si="892"/>
        <v>0.16544836816637495</v>
      </c>
      <c r="EB100" s="242">
        <f t="shared" si="892"/>
        <v>0.17491819173433523</v>
      </c>
      <c r="EC100" s="242">
        <f t="shared" si="892"/>
        <v>0.20509442754233731</v>
      </c>
      <c r="ED100" s="242">
        <f t="shared" si="892"/>
        <v>0.20343015762863093</v>
      </c>
      <c r="EE100" s="242">
        <f t="shared" si="892"/>
        <v>0.19319575202111519</v>
      </c>
      <c r="EF100" s="242">
        <f t="shared" si="892"/>
        <v>0.19711907551820276</v>
      </c>
      <c r="EG100" s="242">
        <f t="shared" si="892"/>
        <v>0.20878028655014627</v>
      </c>
      <c r="EH100" s="242">
        <f t="shared" si="892"/>
        <v>0.20053099271626154</v>
      </c>
      <c r="EI100" s="242">
        <f t="shared" si="892"/>
        <v>0.20237815112868057</v>
      </c>
      <c r="EJ100" s="242">
        <f t="shared" si="892"/>
        <v>0.27107129586248124</v>
      </c>
      <c r="EK100" s="242">
        <f t="shared" si="892"/>
        <v>0.21392889105849808</v>
      </c>
      <c r="EL100" s="242">
        <f t="shared" si="892"/>
        <v>0.25420575119175765</v>
      </c>
      <c r="EM100" s="242">
        <f t="shared" si="892"/>
        <v>0.19943318523329445</v>
      </c>
      <c r="EN100" s="242">
        <f t="shared" si="892"/>
        <v>0.21485240913170295</v>
      </c>
      <c r="EO100" s="242">
        <f t="shared" si="892"/>
        <v>0.25974124242373586</v>
      </c>
      <c r="EP100" s="242">
        <f t="shared" si="892"/>
        <v>0.65056362637391885</v>
      </c>
      <c r="EQ100" s="242">
        <f t="shared" si="892"/>
        <v>0.6474195947041802</v>
      </c>
      <c r="ER100" s="242">
        <f t="shared" si="892"/>
        <v>0.68999999999999984</v>
      </c>
      <c r="ES100" s="242">
        <f t="shared" si="892"/>
        <v>0.24411338219346543</v>
      </c>
      <c r="ET100" s="242">
        <f t="shared" si="892"/>
        <v>0.23601888197332879</v>
      </c>
      <c r="EU100" s="242">
        <f t="shared" si="892"/>
        <v>0.21606567699125759</v>
      </c>
      <c r="EV100" s="242">
        <f t="shared" si="892"/>
        <v>0.26109618998078538</v>
      </c>
      <c r="EW100" s="242">
        <f t="shared" si="892"/>
        <v>0.31887431453346338</v>
      </c>
      <c r="EX100" s="242">
        <f t="shared" si="892"/>
        <v>0.2994512684766954</v>
      </c>
      <c r="EY100" s="242">
        <f t="shared" si="892"/>
        <v>0.29961915464998251</v>
      </c>
      <c r="EZ100" s="242">
        <f t="shared" si="892"/>
        <v>0.29816911173621657</v>
      </c>
      <c r="FA100" s="242">
        <f t="shared" si="892"/>
        <v>0.29772778338334493</v>
      </c>
      <c r="FB100" s="242">
        <f t="shared" si="892"/>
        <v>0.29751430742927715</v>
      </c>
      <c r="FC100" s="242">
        <f t="shared" si="892"/>
        <v>0.29743310940774059</v>
      </c>
    </row>
    <row r="102" spans="2:166" ht="12.75" customHeight="1" x14ac:dyDescent="0.2">
      <c r="B102" t="s">
        <v>356</v>
      </c>
      <c r="K102" s="247">
        <v>2697</v>
      </c>
      <c r="L102" s="247">
        <v>2957</v>
      </c>
      <c r="M102" s="247">
        <v>2936.4</v>
      </c>
      <c r="N102" s="247">
        <v>2639.4</v>
      </c>
      <c r="O102" s="247">
        <v>3163</v>
      </c>
      <c r="P102" s="247">
        <v>3383</v>
      </c>
      <c r="Q102" s="247">
        <v>3168</v>
      </c>
      <c r="R102" s="247">
        <v>2947</v>
      </c>
      <c r="S102" s="247">
        <v>3489</v>
      </c>
      <c r="T102" s="247">
        <v>3864.4</v>
      </c>
      <c r="U102" s="247">
        <v>3677.4</v>
      </c>
      <c r="V102" s="247">
        <v>3820</v>
      </c>
      <c r="W102" s="247">
        <v>4181</v>
      </c>
      <c r="X102" s="247">
        <v>4258</v>
      </c>
      <c r="Y102" s="247">
        <v>4277</v>
      </c>
      <c r="Z102" s="247">
        <v>4435</v>
      </c>
      <c r="AA102" s="243">
        <v>4666</v>
      </c>
      <c r="AB102" s="243">
        <v>4884</v>
      </c>
      <c r="AC102" s="243">
        <v>4835</v>
      </c>
      <c r="AD102" s="243">
        <v>5134</v>
      </c>
      <c r="AE102" s="243">
        <v>5376</v>
      </c>
      <c r="AF102" s="243">
        <f t="shared" ref="AF102:AL102" si="893">SUM(AF8:AF47)</f>
        <v>5296</v>
      </c>
      <c r="AG102" s="243">
        <f t="shared" si="893"/>
        <v>4940</v>
      </c>
      <c r="AH102" s="243">
        <f t="shared" si="893"/>
        <v>5242</v>
      </c>
      <c r="AI102" s="243">
        <f t="shared" si="893"/>
        <v>5178</v>
      </c>
      <c r="AJ102" s="243">
        <f t="shared" si="893"/>
        <v>4986</v>
      </c>
      <c r="AK102" s="243">
        <f t="shared" si="893"/>
        <v>4833</v>
      </c>
      <c r="AL102" s="243">
        <f t="shared" si="893"/>
        <v>4790</v>
      </c>
      <c r="AM102" s="243">
        <f>SUM(AM3:AM47)</f>
        <v>5626</v>
      </c>
      <c r="AN102" s="243">
        <f>SUM(AN3:AN47)</f>
        <v>5810</v>
      </c>
      <c r="AO102" s="243">
        <f>SUM(AO3:AO47)</f>
        <v>5881</v>
      </c>
      <c r="AP102" s="243">
        <f>SUM(AP3:AP47)</f>
        <v>5950</v>
      </c>
      <c r="AQ102" s="243">
        <f>SUM(AQ3:AQ47)-AQ8</f>
        <v>5093</v>
      </c>
      <c r="AR102" s="243">
        <f>SUM(AR3:AR47)-AR8</f>
        <v>5023</v>
      </c>
      <c r="AS102" s="243">
        <f>SUM(AS3:AS47)-AS8</f>
        <v>4974</v>
      </c>
      <c r="AT102" s="243">
        <f>SUM(AT3:AT47)-AT8</f>
        <v>5177</v>
      </c>
      <c r="AU102" s="243">
        <f>SUM(AU3:AU47)-AU11</f>
        <v>6363</v>
      </c>
      <c r="AV102" s="243">
        <f t="shared" ref="AV102:BV102" si="894">SUM(AV3:AV47)</f>
        <v>6340</v>
      </c>
      <c r="AW102" s="243">
        <f t="shared" si="894"/>
        <v>6113</v>
      </c>
      <c r="AX102" s="243">
        <f t="shared" si="894"/>
        <v>5685</v>
      </c>
      <c r="AY102" s="243">
        <f t="shared" si="894"/>
        <v>5780</v>
      </c>
      <c r="AZ102" s="243">
        <f t="shared" si="894"/>
        <v>5498</v>
      </c>
      <c r="BA102" s="243">
        <f t="shared" si="894"/>
        <v>5249</v>
      </c>
      <c r="BB102" s="243">
        <f t="shared" si="894"/>
        <v>5993</v>
      </c>
      <c r="BC102" s="243">
        <f t="shared" si="894"/>
        <v>5638</v>
      </c>
      <c r="BD102" s="243">
        <f t="shared" si="894"/>
        <v>5612</v>
      </c>
      <c r="BE102" s="243">
        <f t="shared" si="894"/>
        <v>5495</v>
      </c>
      <c r="BF102" s="243">
        <f t="shared" si="894"/>
        <v>5710</v>
      </c>
      <c r="BG102" s="243">
        <f t="shared" si="894"/>
        <v>6059</v>
      </c>
      <c r="BH102" s="243">
        <f t="shared" si="894"/>
        <v>6233</v>
      </c>
      <c r="BI102" s="243">
        <f t="shared" si="894"/>
        <v>5982</v>
      </c>
      <c r="BJ102" s="243">
        <f t="shared" si="894"/>
        <v>6094</v>
      </c>
      <c r="BK102" s="243">
        <f t="shared" si="894"/>
        <v>6133</v>
      </c>
      <c r="BL102" s="243">
        <f t="shared" si="894"/>
        <v>6442</v>
      </c>
      <c r="BM102" s="243">
        <f t="shared" si="894"/>
        <v>6541</v>
      </c>
      <c r="BN102" s="243">
        <f t="shared" si="894"/>
        <v>6758</v>
      </c>
      <c r="BO102" s="243">
        <f t="shared" si="894"/>
        <v>6811</v>
      </c>
      <c r="BP102" s="243">
        <f t="shared" si="894"/>
        <v>7081</v>
      </c>
      <c r="BQ102" s="243">
        <f t="shared" si="894"/>
        <v>7100</v>
      </c>
      <c r="BR102" s="243">
        <f t="shared" si="894"/>
        <v>7392</v>
      </c>
      <c r="BS102" s="243">
        <f t="shared" si="894"/>
        <v>7602</v>
      </c>
      <c r="BT102" s="243">
        <f t="shared" si="894"/>
        <v>8509</v>
      </c>
      <c r="BU102" s="243">
        <f t="shared" si="894"/>
        <v>8307</v>
      </c>
      <c r="BV102" s="243">
        <f t="shared" si="894"/>
        <v>7999</v>
      </c>
      <c r="BW102" s="243"/>
      <c r="BX102" s="243"/>
      <c r="BY102" s="243"/>
      <c r="BZ102" s="243"/>
      <c r="CA102" s="243"/>
      <c r="CB102" s="243"/>
      <c r="CC102" s="243"/>
      <c r="CD102" s="243"/>
      <c r="CE102" s="243"/>
      <c r="CF102" s="243"/>
      <c r="CG102" s="243"/>
      <c r="CH102" s="243"/>
      <c r="CI102" s="243"/>
      <c r="CJ102" s="243"/>
      <c r="CK102" s="243"/>
      <c r="CL102" s="243"/>
      <c r="CM102" s="243"/>
      <c r="CN102" s="243"/>
      <c r="CO102" s="243"/>
      <c r="CP102" s="243"/>
      <c r="CQ102" s="243"/>
      <c r="CR102" s="243"/>
      <c r="CS102" s="243"/>
      <c r="CT102" s="243"/>
      <c r="CU102" s="243"/>
      <c r="CV102" s="243"/>
      <c r="CW102" s="243"/>
      <c r="CX102" s="243"/>
      <c r="CY102" s="243"/>
      <c r="CZ102" s="243"/>
      <c r="DA102" s="243"/>
      <c r="DB102" s="243"/>
      <c r="DC102" s="243"/>
      <c r="DD102" s="243"/>
      <c r="DE102" s="243"/>
      <c r="DF102" s="243"/>
      <c r="DG102" s="243"/>
      <c r="DH102" s="243"/>
      <c r="DI102" s="243"/>
      <c r="DJ102" s="243"/>
      <c r="DK102" s="243"/>
      <c r="DL102" s="243"/>
      <c r="DM102" s="243"/>
      <c r="DN102" s="243"/>
      <c r="DS102" s="243">
        <v>4340</v>
      </c>
      <c r="DT102" s="243">
        <v>4490</v>
      </c>
      <c r="DU102" s="243">
        <v>5158</v>
      </c>
      <c r="DV102" s="243">
        <v>6274</v>
      </c>
      <c r="DW102" s="243">
        <v>7188</v>
      </c>
      <c r="DX102" s="243">
        <v>7696</v>
      </c>
      <c r="DY102" s="243">
        <v>8562</v>
      </c>
      <c r="DZ102" s="243">
        <v>10694</v>
      </c>
      <c r="EA102" s="243">
        <v>11954</v>
      </c>
      <c r="EB102" s="243">
        <v>14851</v>
      </c>
      <c r="EC102" s="243">
        <v>17151</v>
      </c>
      <c r="ED102" s="243">
        <v>19517</v>
      </c>
      <c r="EE102" s="243">
        <v>22128</v>
      </c>
      <c r="EF102" s="243">
        <v>22322</v>
      </c>
      <c r="EG102" s="243">
        <f t="shared" ref="EG102:EQ102" si="895">SUM(EG3:EG47)</f>
        <v>23267</v>
      </c>
      <c r="EH102" s="243">
        <f t="shared" si="895"/>
        <v>24866</v>
      </c>
      <c r="EI102" s="243">
        <f t="shared" si="895"/>
        <v>24567</v>
      </c>
      <c r="EJ102" s="243">
        <f t="shared" si="895"/>
        <v>22520</v>
      </c>
      <c r="EK102" s="243">
        <f t="shared" si="895"/>
        <v>22264</v>
      </c>
      <c r="EL102" s="243">
        <f t="shared" si="895"/>
        <v>24368</v>
      </c>
      <c r="EM102" s="243">
        <f t="shared" si="895"/>
        <v>25874</v>
      </c>
      <c r="EN102" s="243">
        <f t="shared" si="895"/>
        <v>28125</v>
      </c>
      <c r="EO102" s="243">
        <f t="shared" si="895"/>
        <v>31377.599999999999</v>
      </c>
      <c r="EP102" s="243">
        <f t="shared" si="895"/>
        <v>31502.829999999998</v>
      </c>
      <c r="EQ102" s="243">
        <f t="shared" si="895"/>
        <v>25169.797699999999</v>
      </c>
      <c r="ER102" s="243"/>
      <c r="ES102" s="243"/>
      <c r="ET102" s="243"/>
      <c r="EU102" s="243"/>
    </row>
    <row r="103" spans="2:166" ht="12.75" customHeight="1" x14ac:dyDescent="0.2">
      <c r="B103" t="s">
        <v>357</v>
      </c>
      <c r="W103" s="243">
        <v>1664</v>
      </c>
      <c r="X103" s="243">
        <v>1577</v>
      </c>
      <c r="Y103" s="243">
        <v>1455</v>
      </c>
      <c r="Z103" s="243">
        <v>1091</v>
      </c>
      <c r="AA103" s="243">
        <v>1859</v>
      </c>
      <c r="AB103" s="243">
        <v>1091</v>
      </c>
      <c r="AC103" s="243">
        <v>1751</v>
      </c>
      <c r="AD103" s="243">
        <v>1195</v>
      </c>
      <c r="AE103" s="243">
        <v>2085</v>
      </c>
      <c r="AF103" s="243">
        <v>2108</v>
      </c>
      <c r="AG103" s="243">
        <v>1922</v>
      </c>
      <c r="AH103" s="243">
        <v>1493</v>
      </c>
      <c r="AI103" s="243">
        <v>2076</v>
      </c>
      <c r="AJ103" s="243">
        <v>1585</v>
      </c>
      <c r="AK103" s="243">
        <v>1795</v>
      </c>
      <c r="AL103" s="243">
        <v>1093</v>
      </c>
      <c r="AM103" s="243">
        <v>1927</v>
      </c>
      <c r="AN103" s="243">
        <v>1743</v>
      </c>
      <c r="AO103" s="243"/>
      <c r="AP103" s="243"/>
      <c r="AQ103" s="243"/>
      <c r="AR103" s="243"/>
      <c r="AS103" s="243"/>
      <c r="AT103" s="243"/>
      <c r="AU103" s="243"/>
      <c r="AV103" s="243"/>
      <c r="AW103" s="243"/>
      <c r="AX103" s="243"/>
      <c r="BC103" s="243">
        <v>1970</v>
      </c>
      <c r="DS103" s="243">
        <v>1364</v>
      </c>
      <c r="DT103" s="243">
        <v>1406</v>
      </c>
      <c r="DU103" s="243">
        <v>1669</v>
      </c>
      <c r="DV103" s="243">
        <v>2073</v>
      </c>
      <c r="DW103" s="243">
        <v>2477</v>
      </c>
      <c r="DX103" s="243">
        <v>2669</v>
      </c>
      <c r="DY103" s="243">
        <v>3081</v>
      </c>
      <c r="DZ103" s="243">
        <v>3595</v>
      </c>
      <c r="EA103" s="243">
        <v>4175</v>
      </c>
      <c r="EB103" s="243">
        <v>4928</v>
      </c>
      <c r="EC103" s="243">
        <v>5787</v>
      </c>
      <c r="ED103" s="243">
        <v>5896</v>
      </c>
      <c r="EE103" s="243">
        <v>7608</v>
      </c>
      <c r="EF103" s="243">
        <f>6610+302</f>
        <v>6912</v>
      </c>
      <c r="EG103" s="243"/>
      <c r="EH103" s="243"/>
      <c r="EI103" s="243"/>
      <c r="EJ103" s="243"/>
      <c r="EK103" s="243"/>
      <c r="EL103" s="243"/>
      <c r="EM103" s="243"/>
      <c r="EN103" s="243"/>
      <c r="EO103" s="243"/>
      <c r="EP103" s="243"/>
      <c r="EQ103" s="243"/>
      <c r="ER103" s="243"/>
      <c r="ES103" s="243"/>
      <c r="ET103" s="243"/>
      <c r="EU103" s="243"/>
    </row>
    <row r="104" spans="2:166" ht="12.75" customHeight="1" x14ac:dyDescent="0.2">
      <c r="B104" t="s">
        <v>358</v>
      </c>
      <c r="W104" s="294">
        <f t="shared" ref="W104:AN104" si="896">W103/W102</f>
        <v>0.39799091126524755</v>
      </c>
      <c r="X104" s="294">
        <f t="shared" si="896"/>
        <v>0.37036167214654769</v>
      </c>
      <c r="Y104" s="294">
        <f t="shared" si="896"/>
        <v>0.34019172317044655</v>
      </c>
      <c r="Z104" s="294">
        <f t="shared" si="896"/>
        <v>0.24599774520856821</v>
      </c>
      <c r="AA104" s="294">
        <f t="shared" si="896"/>
        <v>0.39841405915130734</v>
      </c>
      <c r="AB104" s="294">
        <f t="shared" si="896"/>
        <v>0.22338247338247338</v>
      </c>
      <c r="AC104" s="294">
        <f t="shared" si="896"/>
        <v>0.36215098241985522</v>
      </c>
      <c r="AD104" s="294">
        <f t="shared" si="896"/>
        <v>0.23276197896377093</v>
      </c>
      <c r="AE104" s="294">
        <f t="shared" si="896"/>
        <v>0.38783482142857145</v>
      </c>
      <c r="AF104" s="294">
        <f t="shared" si="896"/>
        <v>0.39803625377643503</v>
      </c>
      <c r="AG104" s="294">
        <f t="shared" si="896"/>
        <v>0.38906882591093117</v>
      </c>
      <c r="AH104" s="294">
        <f t="shared" si="896"/>
        <v>0.28481495612361696</v>
      </c>
      <c r="AI104" s="294">
        <f t="shared" si="896"/>
        <v>0.40092699884125144</v>
      </c>
      <c r="AJ104" s="294">
        <f t="shared" si="896"/>
        <v>0.31789009225832332</v>
      </c>
      <c r="AK104" s="294">
        <f t="shared" si="896"/>
        <v>0.37140492447755019</v>
      </c>
      <c r="AL104" s="294">
        <f t="shared" si="896"/>
        <v>0.22818371607515658</v>
      </c>
      <c r="AM104" s="294">
        <f t="shared" si="896"/>
        <v>0.34251688588695345</v>
      </c>
      <c r="AN104" s="294">
        <f t="shared" si="896"/>
        <v>0.3</v>
      </c>
      <c r="AO104" s="243"/>
      <c r="AP104" s="243"/>
      <c r="AQ104" s="243"/>
      <c r="AR104" s="243"/>
      <c r="AS104" s="243"/>
      <c r="AT104" s="243"/>
      <c r="AU104" s="243"/>
      <c r="AV104" s="243"/>
      <c r="AW104" s="243"/>
      <c r="AX104" s="243"/>
      <c r="BC104" s="294">
        <f>+BC103/BC102</f>
        <v>0.34941468605888615</v>
      </c>
      <c r="DS104" s="294">
        <f t="shared" ref="DS104:EF104" si="897">DS103/DS102</f>
        <v>0.31428571428571428</v>
      </c>
      <c r="DT104" s="294">
        <f t="shared" si="897"/>
        <v>0.31314031180400892</v>
      </c>
      <c r="DU104" s="294">
        <f t="shared" si="897"/>
        <v>0.32357502908103919</v>
      </c>
      <c r="DV104" s="294">
        <f t="shared" si="897"/>
        <v>0.33041122091169906</v>
      </c>
      <c r="DW104" s="294">
        <f t="shared" si="897"/>
        <v>0.34460211463550361</v>
      </c>
      <c r="DX104" s="294">
        <f t="shared" si="897"/>
        <v>0.34680353430353428</v>
      </c>
      <c r="DY104" s="294">
        <f t="shared" si="897"/>
        <v>0.3598458304134548</v>
      </c>
      <c r="DZ104" s="294">
        <f t="shared" si="897"/>
        <v>0.3361698148494483</v>
      </c>
      <c r="EA104" s="294">
        <f t="shared" si="897"/>
        <v>0.34925547933746026</v>
      </c>
      <c r="EB104" s="294">
        <f t="shared" si="897"/>
        <v>0.33182950643054338</v>
      </c>
      <c r="EC104" s="294">
        <f t="shared" si="897"/>
        <v>0.33741472800419803</v>
      </c>
      <c r="ED104" s="294">
        <f t="shared" si="897"/>
        <v>0.3020956089562945</v>
      </c>
      <c r="EE104" s="294">
        <f t="shared" si="897"/>
        <v>0.3438177874186551</v>
      </c>
      <c r="EF104" s="294">
        <f t="shared" si="897"/>
        <v>0.30964967296837204</v>
      </c>
      <c r="EG104" s="243"/>
      <c r="EH104" s="243"/>
      <c r="EI104" s="243"/>
      <c r="EJ104" s="243"/>
      <c r="EK104" s="243"/>
      <c r="EL104" s="243"/>
      <c r="EM104" s="243"/>
      <c r="EN104" s="243"/>
      <c r="EO104" s="243"/>
      <c r="EP104" s="243"/>
      <c r="EQ104" s="243"/>
      <c r="ER104" s="243"/>
      <c r="ES104" s="243"/>
      <c r="ET104" s="243"/>
      <c r="EU104" s="243"/>
    </row>
    <row r="105" spans="2:166" ht="12.75" customHeight="1" x14ac:dyDescent="0.2">
      <c r="B105" t="s">
        <v>359</v>
      </c>
      <c r="K105" s="294">
        <f t="shared" ref="K105:AP105" si="898">K102/K61</f>
        <v>0.40629707743296173</v>
      </c>
      <c r="L105" s="294">
        <f t="shared" si="898"/>
        <v>0.43142690399766559</v>
      </c>
      <c r="M105" s="294">
        <f t="shared" si="898"/>
        <v>0.43508667950807528</v>
      </c>
      <c r="N105" s="294">
        <f t="shared" si="898"/>
        <v>0.38380107605060348</v>
      </c>
      <c r="O105" s="294">
        <f t="shared" si="898"/>
        <v>0.43216286377920482</v>
      </c>
      <c r="P105" s="294">
        <f t="shared" si="898"/>
        <v>0.45058604155567394</v>
      </c>
      <c r="Q105" s="294">
        <f t="shared" si="898"/>
        <v>0.43975569128262076</v>
      </c>
      <c r="R105" s="294">
        <f t="shared" si="898"/>
        <v>0.41460326392796848</v>
      </c>
      <c r="S105" s="294">
        <f t="shared" si="898"/>
        <v>0.4478244127839815</v>
      </c>
      <c r="T105" s="294">
        <f t="shared" si="898"/>
        <v>0.46324622392711579</v>
      </c>
      <c r="U105" s="294">
        <f t="shared" si="898"/>
        <v>0.44639475600874001</v>
      </c>
      <c r="V105" s="294">
        <f t="shared" si="898"/>
        <v>0.45459954778055456</v>
      </c>
      <c r="W105" s="294">
        <f t="shared" si="898"/>
        <v>0.47821114034084411</v>
      </c>
      <c r="X105" s="294">
        <f t="shared" si="898"/>
        <v>0.46930452992395016</v>
      </c>
      <c r="Y105" s="294">
        <f t="shared" si="898"/>
        <v>0.47108712413261372</v>
      </c>
      <c r="Z105" s="294">
        <f t="shared" si="898"/>
        <v>0.47165798149526744</v>
      </c>
      <c r="AA105" s="294">
        <f t="shared" si="898"/>
        <v>0.47505599674200771</v>
      </c>
      <c r="AB105" s="294">
        <f t="shared" si="898"/>
        <v>0.4727061556329849</v>
      </c>
      <c r="AC105" s="294">
        <f t="shared" si="898"/>
        <v>0.46250239142911803</v>
      </c>
      <c r="AD105" s="294">
        <f t="shared" si="898"/>
        <v>0.45078584599174643</v>
      </c>
      <c r="AE105" s="294">
        <f t="shared" si="898"/>
        <v>0.44859813084112149</v>
      </c>
      <c r="AF105" s="294">
        <f t="shared" si="898"/>
        <v>0.44534140598721828</v>
      </c>
      <c r="AG105" s="294">
        <f t="shared" si="898"/>
        <v>0.42759456418246344</v>
      </c>
      <c r="AH105" s="294">
        <f t="shared" si="898"/>
        <v>0.41107277289836891</v>
      </c>
      <c r="AI105" s="294">
        <f t="shared" si="898"/>
        <v>0.40352244389027431</v>
      </c>
      <c r="AJ105" s="294">
        <f t="shared" si="898"/>
        <v>0.39069111424541608</v>
      </c>
      <c r="AK105" s="294">
        <f t="shared" si="898"/>
        <v>0.39260763606823723</v>
      </c>
      <c r="AL105" s="294">
        <f t="shared" si="898"/>
        <v>0.37985725614591592</v>
      </c>
      <c r="AM105" s="294">
        <f t="shared" si="898"/>
        <v>0.4330357142857143</v>
      </c>
      <c r="AN105" s="294">
        <f t="shared" si="898"/>
        <v>0.43478260869565216</v>
      </c>
      <c r="AO105" s="294">
        <f t="shared" si="898"/>
        <v>0.44261308045457964</v>
      </c>
      <c r="AP105" s="294">
        <f t="shared" si="898"/>
        <v>0.43487794182137113</v>
      </c>
      <c r="AQ105" s="294">
        <f t="shared" ref="AQ105:BV105" si="899">AQ102/AQ61</f>
        <v>0.33757539603632264</v>
      </c>
      <c r="AR105" s="294">
        <f t="shared" si="899"/>
        <v>0.33172632413155462</v>
      </c>
      <c r="AS105" s="294">
        <f t="shared" si="899"/>
        <v>0.3314453255147598</v>
      </c>
      <c r="AT105" s="294">
        <f t="shared" si="899"/>
        <v>0.32443441749702323</v>
      </c>
      <c r="AU105" s="294">
        <f t="shared" si="899"/>
        <v>0.39292330492775102</v>
      </c>
      <c r="AV105" s="294">
        <f t="shared" si="899"/>
        <v>0.38541033434650457</v>
      </c>
      <c r="AW105" s="294">
        <f t="shared" si="899"/>
        <v>0.38395829407700521</v>
      </c>
      <c r="AX105" s="294">
        <f t="shared" si="899"/>
        <v>0.37445659333421155</v>
      </c>
      <c r="AY105" s="294">
        <f t="shared" si="899"/>
        <v>0.38466657793158526</v>
      </c>
      <c r="AZ105" s="294">
        <f t="shared" si="899"/>
        <v>0.36078482840081372</v>
      </c>
      <c r="BA105" s="294">
        <f t="shared" si="899"/>
        <v>0.34805384258338307</v>
      </c>
      <c r="BB105" s="294">
        <f t="shared" si="899"/>
        <v>0.36209292489879763</v>
      </c>
      <c r="BC105" s="294">
        <f t="shared" si="899"/>
        <v>0.3606934936984198</v>
      </c>
      <c r="BD105" s="294">
        <f t="shared" si="899"/>
        <v>0.36467606732081359</v>
      </c>
      <c r="BE105" s="294">
        <f t="shared" si="899"/>
        <v>0.36677346148711787</v>
      </c>
      <c r="BF105" s="294">
        <f t="shared" si="899"/>
        <v>0.36499616466376883</v>
      </c>
      <c r="BG105" s="294">
        <f t="shared" si="899"/>
        <v>0.35712601673936106</v>
      </c>
      <c r="BH105" s="294">
        <f t="shared" si="899"/>
        <v>0.3755497981562933</v>
      </c>
      <c r="BI105" s="294">
        <f t="shared" si="899"/>
        <v>0.37375820056232428</v>
      </c>
      <c r="BJ105" s="294">
        <f t="shared" si="899"/>
        <v>0.32378725891291643</v>
      </c>
      <c r="BK105" s="294">
        <f t="shared" si="899"/>
        <v>0.38001115310737965</v>
      </c>
      <c r="BL105" s="294">
        <f t="shared" si="899"/>
        <v>0.38746541561409842</v>
      </c>
      <c r="BM105" s="294">
        <f t="shared" si="899"/>
        <v>0.38048979116979814</v>
      </c>
      <c r="BN105" s="294">
        <f t="shared" si="899"/>
        <v>0.37985498285650049</v>
      </c>
      <c r="BO105" s="294">
        <f t="shared" si="899"/>
        <v>0.38813540004558922</v>
      </c>
      <c r="BP105" s="294">
        <f t="shared" si="899"/>
        <v>0.39485864049517649</v>
      </c>
      <c r="BQ105" s="294">
        <f t="shared" si="899"/>
        <v>0.40251714949827089</v>
      </c>
      <c r="BR105" s="294">
        <f t="shared" si="899"/>
        <v>0.40062869221180425</v>
      </c>
      <c r="BS105" s="294">
        <f t="shared" si="899"/>
        <v>0.41725671002799275</v>
      </c>
      <c r="BT105" s="294">
        <f t="shared" si="899"/>
        <v>0.43647088997178762</v>
      </c>
      <c r="BU105" s="294">
        <f t="shared" si="899"/>
        <v>0.44982942546163429</v>
      </c>
      <c r="BV105" s="294">
        <f t="shared" si="899"/>
        <v>0.43820532486030461</v>
      </c>
      <c r="BW105" s="294"/>
      <c r="BX105" s="294"/>
      <c r="BY105" s="294"/>
      <c r="BZ105" s="294"/>
      <c r="CA105" s="294"/>
      <c r="CB105" s="294"/>
      <c r="CC105" s="294"/>
      <c r="CD105" s="294"/>
      <c r="CE105" s="294"/>
      <c r="CF105" s="294"/>
      <c r="CG105" s="294"/>
      <c r="CH105" s="294"/>
      <c r="CI105" s="294"/>
      <c r="CJ105" s="294"/>
      <c r="CK105" s="294"/>
      <c r="CL105" s="294"/>
      <c r="CM105" s="294"/>
      <c r="CN105" s="294"/>
      <c r="CO105" s="294"/>
      <c r="CP105" s="294"/>
      <c r="CQ105" s="294"/>
      <c r="CR105" s="294"/>
      <c r="CS105" s="294"/>
      <c r="CT105" s="294"/>
      <c r="CU105" s="294"/>
      <c r="CV105" s="294"/>
      <c r="CW105" s="294"/>
      <c r="CX105" s="294"/>
      <c r="CY105" s="294"/>
      <c r="CZ105" s="294"/>
      <c r="DA105" s="294"/>
      <c r="DB105" s="294"/>
      <c r="DC105" s="294"/>
      <c r="DD105" s="294"/>
      <c r="DE105" s="294"/>
      <c r="DF105" s="294"/>
      <c r="DG105" s="294"/>
      <c r="DH105" s="294"/>
      <c r="DI105" s="294"/>
      <c r="DJ105" s="294"/>
      <c r="DK105" s="294"/>
      <c r="DL105" s="294"/>
      <c r="DM105" s="294"/>
      <c r="DN105" s="294"/>
      <c r="DS105" s="287">
        <f t="shared" ref="DS105:EQ105" si="900">DS102/DS61</f>
        <v>0.31556751254271798</v>
      </c>
      <c r="DT105" s="287">
        <f t="shared" si="900"/>
        <v>0.31758381666430896</v>
      </c>
      <c r="DU105" s="287">
        <f t="shared" si="900"/>
        <v>0.32782509215711197</v>
      </c>
      <c r="DV105" s="287">
        <f t="shared" si="900"/>
        <v>0.33297951385203267</v>
      </c>
      <c r="DW105" s="287">
        <f t="shared" si="900"/>
        <v>0.3324699352451434</v>
      </c>
      <c r="DX105" s="287">
        <f t="shared" si="900"/>
        <v>0.34009456891599277</v>
      </c>
      <c r="DY105" s="287">
        <f t="shared" si="900"/>
        <v>0.36192247537726679</v>
      </c>
      <c r="DZ105" s="287">
        <f t="shared" si="900"/>
        <v>0.38928324414837467</v>
      </c>
      <c r="EA105" s="287">
        <f t="shared" si="900"/>
        <v>0.41024057105597311</v>
      </c>
      <c r="EB105" s="287">
        <f t="shared" si="900"/>
        <v>0.44997576051387711</v>
      </c>
      <c r="EC105" s="294">
        <f t="shared" si="900"/>
        <v>0.46464690248944107</v>
      </c>
      <c r="ED105" s="294">
        <f t="shared" si="900"/>
        <v>0.46068253810892851</v>
      </c>
      <c r="EE105" s="294">
        <f t="shared" si="900"/>
        <v>0.45987904482823116</v>
      </c>
      <c r="EF105" s="294">
        <f t="shared" si="900"/>
        <v>0.45096771586730777</v>
      </c>
      <c r="EG105" s="294">
        <f t="shared" si="900"/>
        <v>0.4363326082064361</v>
      </c>
      <c r="EH105" s="294">
        <f t="shared" si="900"/>
        <v>0.40700548326376956</v>
      </c>
      <c r="EI105" s="294">
        <f t="shared" si="900"/>
        <v>0.38538284154548447</v>
      </c>
      <c r="EJ105" s="294">
        <f t="shared" si="900"/>
        <v>0.36383023409858312</v>
      </c>
      <c r="EK105" s="294">
        <f t="shared" si="900"/>
        <v>0.36228134407289886</v>
      </c>
      <c r="EL105" s="294">
        <f t="shared" si="900"/>
        <v>0.37471936029524833</v>
      </c>
      <c r="EM105" s="294">
        <f t="shared" si="900"/>
        <v>0.38192097067028796</v>
      </c>
      <c r="EN105" s="294">
        <f t="shared" si="900"/>
        <v>0.39439365043751401</v>
      </c>
      <c r="EO105" s="294">
        <f t="shared" si="900"/>
        <v>0.41699234226287474</v>
      </c>
      <c r="EP105" s="294">
        <f t="shared" si="900"/>
        <v>0.41411912471963841</v>
      </c>
      <c r="EQ105" s="294">
        <f t="shared" si="900"/>
        <v>0.35724672909326338</v>
      </c>
      <c r="ER105" s="294"/>
      <c r="ES105" s="294"/>
      <c r="ET105" s="294"/>
      <c r="EU105" s="294"/>
    </row>
    <row r="106" spans="2:166" ht="12.75" customHeight="1" x14ac:dyDescent="0.2">
      <c r="B106" t="s">
        <v>360</v>
      </c>
      <c r="AE106" s="243"/>
      <c r="AF106" s="243"/>
      <c r="AG106" s="243"/>
      <c r="AH106" s="243"/>
      <c r="AI106" s="294"/>
      <c r="AJ106" s="294"/>
      <c r="AK106" s="294"/>
      <c r="AL106" s="294"/>
      <c r="AM106" s="294"/>
      <c r="AN106" s="294"/>
      <c r="AO106" s="288">
        <f t="shared" ref="AO106:BD106" si="901">AO102/AK102-1</f>
        <v>0.2168425408648873</v>
      </c>
      <c r="AP106" s="288">
        <f t="shared" si="901"/>
        <v>0.24217118997912324</v>
      </c>
      <c r="AQ106" s="288">
        <f t="shared" si="901"/>
        <v>-9.4738713117668016E-2</v>
      </c>
      <c r="AR106" s="288">
        <f t="shared" si="901"/>
        <v>-0.13545611015490533</v>
      </c>
      <c r="AS106" s="288">
        <f t="shared" si="901"/>
        <v>-0.15422547185852742</v>
      </c>
      <c r="AT106" s="288">
        <f t="shared" si="901"/>
        <v>-0.12991596638655467</v>
      </c>
      <c r="AU106" s="288">
        <f t="shared" si="901"/>
        <v>0.24936186923227965</v>
      </c>
      <c r="AV106" s="288">
        <f t="shared" si="901"/>
        <v>0.26219390802309372</v>
      </c>
      <c r="AW106" s="288">
        <f t="shared" si="901"/>
        <v>0.22899075190993168</v>
      </c>
      <c r="AX106" s="288">
        <f t="shared" si="901"/>
        <v>9.812632798918286E-2</v>
      </c>
      <c r="AY106" s="288">
        <f t="shared" si="901"/>
        <v>-9.1623448059091617E-2</v>
      </c>
      <c r="AZ106" s="288">
        <f t="shared" si="901"/>
        <v>-0.13280757097791795</v>
      </c>
      <c r="BA106" s="288">
        <f t="shared" si="901"/>
        <v>-0.14133813185015542</v>
      </c>
      <c r="BB106" s="288">
        <f t="shared" si="901"/>
        <v>5.4177660510114301E-2</v>
      </c>
      <c r="BC106" s="288">
        <f t="shared" si="901"/>
        <v>-2.456747404844295E-2</v>
      </c>
      <c r="BD106" s="288">
        <f t="shared" si="901"/>
        <v>2.0734812659148671E-2</v>
      </c>
      <c r="BE106" s="288">
        <f t="shared" ref="BE106" si="902">BE102/BA102-1</f>
        <v>4.6866069727567128E-2</v>
      </c>
      <c r="BF106" s="288">
        <f t="shared" ref="BF106" si="903">BF102/BB102-1</f>
        <v>-4.7221758718504869E-2</v>
      </c>
      <c r="BG106" s="288">
        <f t="shared" ref="BG106" si="904">BG102/BC102-1</f>
        <v>7.4671869457254347E-2</v>
      </c>
      <c r="BH106" s="288">
        <f t="shared" ref="BH106" si="905">BH102/BD102-1</f>
        <v>0.11065573770491799</v>
      </c>
      <c r="BI106" s="288">
        <f t="shared" ref="BI106" si="906">BI102/BE102-1</f>
        <v>8.8626023657870867E-2</v>
      </c>
      <c r="BJ106" s="288">
        <f t="shared" ref="BJ106" si="907">BJ102/BF102-1</f>
        <v>6.7250437828371368E-2</v>
      </c>
      <c r="BK106" s="288"/>
      <c r="BL106" s="288"/>
      <c r="BM106" s="288"/>
      <c r="BN106" s="288"/>
      <c r="BO106" s="288"/>
      <c r="BP106" s="288"/>
      <c r="BQ106" s="288"/>
      <c r="BR106" s="288"/>
      <c r="BS106" s="288"/>
      <c r="BT106" s="288"/>
      <c r="BU106" s="288"/>
      <c r="BV106" s="288"/>
      <c r="BW106" s="288"/>
      <c r="BX106" s="288"/>
      <c r="BY106" s="288"/>
      <c r="BZ106" s="288"/>
      <c r="CA106" s="288"/>
      <c r="CB106" s="288"/>
      <c r="CC106" s="288"/>
      <c r="CD106" s="288"/>
      <c r="CE106" s="288"/>
      <c r="CF106" s="288"/>
      <c r="CG106" s="288"/>
      <c r="CH106" s="288"/>
      <c r="CI106" s="288"/>
      <c r="CJ106" s="288"/>
      <c r="CK106" s="288"/>
      <c r="CL106" s="288"/>
      <c r="CM106" s="288"/>
      <c r="CN106" s="288"/>
      <c r="CO106" s="288"/>
      <c r="CP106" s="288"/>
      <c r="CQ106" s="288"/>
      <c r="CR106" s="288"/>
      <c r="CS106" s="288"/>
      <c r="CT106" s="288"/>
      <c r="CU106" s="288"/>
      <c r="CV106" s="288"/>
      <c r="CW106" s="288"/>
      <c r="CX106" s="288"/>
      <c r="CY106" s="288"/>
      <c r="CZ106" s="288"/>
      <c r="DA106" s="288"/>
      <c r="DB106" s="288"/>
      <c r="DC106" s="288"/>
      <c r="DD106" s="288"/>
      <c r="DE106" s="288"/>
      <c r="DF106" s="288"/>
      <c r="DG106" s="288"/>
      <c r="DH106" s="288"/>
      <c r="DI106" s="288"/>
      <c r="DJ106" s="288"/>
      <c r="DK106" s="288"/>
      <c r="DL106" s="288"/>
      <c r="DM106" s="288"/>
      <c r="DN106" s="288"/>
      <c r="DT106" s="294">
        <f t="shared" ref="DT106:EP106" si="908">DT102/DS102-1</f>
        <v>3.4562211981566726E-2</v>
      </c>
      <c r="DU106" s="294">
        <f t="shared" si="908"/>
        <v>0.14877505567928728</v>
      </c>
      <c r="DV106" s="294">
        <f t="shared" si="908"/>
        <v>0.21636293136874762</v>
      </c>
      <c r="DW106" s="294">
        <f t="shared" si="908"/>
        <v>0.14568058654765692</v>
      </c>
      <c r="DX106" s="294">
        <f t="shared" si="908"/>
        <v>7.0673344462993892E-2</v>
      </c>
      <c r="DY106" s="294">
        <f t="shared" si="908"/>
        <v>0.11252598752598764</v>
      </c>
      <c r="DZ106" s="294">
        <f t="shared" si="908"/>
        <v>0.24900724129876206</v>
      </c>
      <c r="EA106" s="294">
        <f t="shared" si="908"/>
        <v>0.11782307836169825</v>
      </c>
      <c r="EB106" s="294">
        <f t="shared" si="908"/>
        <v>0.24234565835703537</v>
      </c>
      <c r="EC106" s="294">
        <f t="shared" si="908"/>
        <v>0.15487172580970987</v>
      </c>
      <c r="ED106" s="294">
        <f t="shared" si="908"/>
        <v>0.137951139875226</v>
      </c>
      <c r="EE106" s="294">
        <f t="shared" si="908"/>
        <v>0.13378080647640522</v>
      </c>
      <c r="EF106" s="294">
        <f t="shared" si="908"/>
        <v>8.7671728127258763E-3</v>
      </c>
      <c r="EG106" s="294">
        <f t="shared" si="908"/>
        <v>4.2334916226144603E-2</v>
      </c>
      <c r="EH106" s="294">
        <f t="shared" si="908"/>
        <v>6.8723943783040253E-2</v>
      </c>
      <c r="EI106" s="294">
        <f>EI102/EH102-1</f>
        <v>-1.2024451057669139E-2</v>
      </c>
      <c r="EJ106" s="288">
        <f t="shared" si="908"/>
        <v>-8.3323157080636645E-2</v>
      </c>
      <c r="EK106" s="294">
        <f t="shared" si="908"/>
        <v>-1.1367673179396132E-2</v>
      </c>
      <c r="EL106" s="294">
        <f t="shared" si="908"/>
        <v>9.4502335609055077E-2</v>
      </c>
      <c r="EM106" s="294">
        <f t="shared" si="908"/>
        <v>6.1802363755745215E-2</v>
      </c>
      <c r="EN106" s="294">
        <f t="shared" si="908"/>
        <v>8.6998531344206542E-2</v>
      </c>
      <c r="EO106" s="294">
        <f t="shared" si="908"/>
        <v>0.11564799999999997</v>
      </c>
      <c r="EP106" s="294">
        <f t="shared" si="908"/>
        <v>3.9910636887461326E-3</v>
      </c>
      <c r="EQ106" s="294">
        <f t="shared" ref="EQ106" si="909">EQ102/EP102-1</f>
        <v>-0.20103058360153669</v>
      </c>
      <c r="ER106" s="294"/>
      <c r="ES106" s="294"/>
      <c r="ET106" s="294"/>
      <c r="EU106" s="294"/>
    </row>
    <row r="107" spans="2:166" ht="12.75" customHeight="1" x14ac:dyDescent="0.2">
      <c r="B107" t="s">
        <v>361</v>
      </c>
      <c r="AE107" s="243"/>
      <c r="AF107" s="243"/>
      <c r="AG107" s="243"/>
      <c r="AH107" s="243"/>
      <c r="AI107" s="294"/>
      <c r="AJ107" s="294"/>
      <c r="AK107" s="294"/>
      <c r="AL107" s="294"/>
      <c r="AM107" s="294"/>
      <c r="AN107" s="294"/>
      <c r="AO107" s="288">
        <v>6.7000000000000004E-2</v>
      </c>
      <c r="AP107" s="288"/>
      <c r="AQ107" s="294"/>
      <c r="AR107" s="294"/>
      <c r="AS107" s="294"/>
      <c r="AT107" s="294"/>
      <c r="AU107" s="294"/>
      <c r="AV107" s="288">
        <v>-1.2999999999999999E-2</v>
      </c>
      <c r="AW107" s="294"/>
      <c r="AX107" s="294"/>
      <c r="AY107" s="288">
        <v>-5.0999999999999997E-2</v>
      </c>
      <c r="AZ107" s="288">
        <v>-8.5000000000000006E-2</v>
      </c>
      <c r="BD107" s="288">
        <v>0.01</v>
      </c>
      <c r="BI107" s="288">
        <v>4.9000000000000002E-2</v>
      </c>
      <c r="DT107" s="294"/>
      <c r="EF107" s="294"/>
      <c r="EG107" s="294"/>
      <c r="EH107" s="294"/>
      <c r="EI107" s="294"/>
      <c r="EJ107" s="288">
        <v>-6.0999999999999999E-2</v>
      </c>
      <c r="EK107" s="294"/>
      <c r="EL107" s="294"/>
      <c r="EM107" s="294"/>
      <c r="EN107" s="294"/>
      <c r="EO107" s="294"/>
      <c r="EP107" s="294"/>
      <c r="EQ107" s="294"/>
      <c r="ER107" s="294"/>
      <c r="ES107" s="294"/>
      <c r="ET107" s="294"/>
      <c r="EU107" s="294"/>
      <c r="EV107" s="3"/>
      <c r="EW107" s="3"/>
      <c r="EX107" s="3"/>
      <c r="EY107" s="3"/>
      <c r="EZ107" s="3"/>
      <c r="FA107" s="3"/>
      <c r="FB107" s="3"/>
      <c r="FC107" s="3"/>
      <c r="FD107" s="3"/>
      <c r="FE107" s="3"/>
      <c r="FF107" s="3"/>
      <c r="FG107" s="3"/>
      <c r="FH107" s="3"/>
      <c r="FI107" s="3"/>
      <c r="FJ107" s="3"/>
    </row>
    <row r="108" spans="2:166" ht="12.75" customHeight="1" x14ac:dyDescent="0.2">
      <c r="B108" t="s">
        <v>1194</v>
      </c>
      <c r="AE108" s="243"/>
      <c r="AF108" s="243"/>
      <c r="AG108" s="243"/>
      <c r="AH108" s="243"/>
      <c r="AI108" s="294"/>
      <c r="AJ108" s="294"/>
      <c r="AK108" s="294"/>
      <c r="AL108" s="294"/>
      <c r="AM108" s="294"/>
      <c r="AN108" s="294"/>
      <c r="AO108" s="288"/>
      <c r="AP108" s="288"/>
      <c r="AQ108" s="294"/>
      <c r="AR108" s="294"/>
      <c r="AS108" s="294"/>
      <c r="AT108" s="294"/>
      <c r="AU108" s="294"/>
      <c r="AV108" s="288"/>
      <c r="AW108" s="294"/>
      <c r="AX108" s="294"/>
      <c r="AY108" s="288"/>
      <c r="AZ108" s="288">
        <f>AZ106-AZ107</f>
        <v>-4.7807570977917949E-2</v>
      </c>
      <c r="BD108" s="288">
        <f>BD106-BD107</f>
        <v>1.0734812659148671E-2</v>
      </c>
      <c r="BI108" s="288">
        <v>0.04</v>
      </c>
      <c r="DT108" s="294"/>
      <c r="EF108" s="294"/>
      <c r="EG108" s="294"/>
      <c r="EH108" s="294"/>
      <c r="EI108" s="294"/>
      <c r="EJ108" s="288">
        <f>EJ106-EJ107</f>
        <v>-2.2323157080636646E-2</v>
      </c>
      <c r="EK108" s="294"/>
      <c r="EL108" s="294"/>
      <c r="EM108" s="294"/>
      <c r="EN108" s="294"/>
      <c r="EO108" s="294"/>
      <c r="EP108" s="294"/>
      <c r="EQ108" s="294"/>
      <c r="ER108" s="294"/>
      <c r="ES108" s="294"/>
      <c r="ET108" s="294"/>
      <c r="EU108" s="294"/>
      <c r="EV108" s="3"/>
      <c r="EW108" s="3"/>
      <c r="EX108" s="3"/>
      <c r="EY108" s="3"/>
      <c r="EZ108" s="3"/>
      <c r="FA108" s="3"/>
      <c r="FB108" s="3"/>
      <c r="FC108" s="3"/>
      <c r="FD108" s="3"/>
      <c r="FE108" s="3"/>
      <c r="FF108" s="3"/>
      <c r="FG108" s="3"/>
      <c r="FH108" s="3"/>
      <c r="FI108" s="3"/>
      <c r="FJ108" s="3"/>
    </row>
    <row r="109" spans="2:166" ht="12.75" customHeight="1" x14ac:dyDescent="0.2">
      <c r="B109" t="s">
        <v>362</v>
      </c>
      <c r="K109" s="247">
        <v>2434</v>
      </c>
      <c r="L109" s="247">
        <v>2455</v>
      </c>
      <c r="M109" s="247">
        <v>2445</v>
      </c>
      <c r="N109" s="247">
        <v>2581</v>
      </c>
      <c r="O109" s="247">
        <v>2525</v>
      </c>
      <c r="P109" s="247">
        <v>2580</v>
      </c>
      <c r="Q109" s="247">
        <v>2548</v>
      </c>
      <c r="R109" s="247">
        <v>2628</v>
      </c>
      <c r="S109" s="247">
        <v>2735.2</v>
      </c>
      <c r="T109" s="247">
        <v>2785</v>
      </c>
      <c r="U109" s="247">
        <v>2771</v>
      </c>
      <c r="V109" s="247">
        <v>2855</v>
      </c>
      <c r="W109" s="247">
        <v>2958</v>
      </c>
      <c r="X109" s="247">
        <v>3166</v>
      </c>
      <c r="Y109" s="247">
        <v>3141</v>
      </c>
      <c r="Z109" s="247">
        <v>3318</v>
      </c>
      <c r="AA109" s="247">
        <v>3364</v>
      </c>
      <c r="AB109" s="247">
        <v>3629</v>
      </c>
      <c r="AC109" s="247">
        <v>3779</v>
      </c>
      <c r="AD109" s="247">
        <v>4141</v>
      </c>
      <c r="AE109" s="243">
        <v>4136</v>
      </c>
      <c r="AF109" s="243">
        <f t="shared" ref="AF109:BJ109" si="910">SUM(AF48:AF59)</f>
        <v>4057</v>
      </c>
      <c r="AG109" s="243">
        <f t="shared" si="910"/>
        <v>4044</v>
      </c>
      <c r="AH109" s="243">
        <f t="shared" si="910"/>
        <v>4650</v>
      </c>
      <c r="AI109" s="243">
        <f t="shared" si="910"/>
        <v>4797</v>
      </c>
      <c r="AJ109" s="243">
        <f t="shared" si="910"/>
        <v>4856</v>
      </c>
      <c r="AK109" s="243">
        <f t="shared" si="910"/>
        <v>4622</v>
      </c>
      <c r="AL109" s="243">
        <f t="shared" si="910"/>
        <v>4821</v>
      </c>
      <c r="AM109" s="243">
        <f t="shared" si="910"/>
        <v>5011</v>
      </c>
      <c r="AN109" s="243">
        <f t="shared" si="910"/>
        <v>5155</v>
      </c>
      <c r="AO109" s="243">
        <f t="shared" si="910"/>
        <v>4950</v>
      </c>
      <c r="AP109" s="243">
        <f t="shared" si="910"/>
        <v>5167</v>
      </c>
      <c r="AQ109" s="243">
        <f t="shared" si="910"/>
        <v>5320</v>
      </c>
      <c r="AR109" s="243">
        <f t="shared" si="910"/>
        <v>5418</v>
      </c>
      <c r="AS109" s="243">
        <f t="shared" si="910"/>
        <v>5248</v>
      </c>
      <c r="AT109" s="243">
        <f t="shared" si="910"/>
        <v>5750</v>
      </c>
      <c r="AU109" s="243">
        <f t="shared" si="910"/>
        <v>5701</v>
      </c>
      <c r="AV109" s="243">
        <f t="shared" si="910"/>
        <v>6074</v>
      </c>
      <c r="AW109" s="243">
        <f t="shared" si="910"/>
        <v>5709</v>
      </c>
      <c r="AX109" s="243">
        <f t="shared" si="910"/>
        <v>5642</v>
      </c>
      <c r="AY109" s="243">
        <f t="shared" si="910"/>
        <v>5535</v>
      </c>
      <c r="AZ109" s="243">
        <f t="shared" si="910"/>
        <v>5887</v>
      </c>
      <c r="BA109" s="243">
        <f t="shared" si="910"/>
        <v>5843</v>
      </c>
      <c r="BB109" s="243">
        <f t="shared" si="910"/>
        <v>6309</v>
      </c>
      <c r="BC109" s="243">
        <f t="shared" si="910"/>
        <v>6227</v>
      </c>
      <c r="BD109" s="243">
        <f t="shared" si="910"/>
        <v>6130</v>
      </c>
      <c r="BE109" s="243">
        <f t="shared" si="910"/>
        <v>5920</v>
      </c>
      <c r="BF109" s="243">
        <f t="shared" si="910"/>
        <v>6324</v>
      </c>
      <c r="BG109" s="243">
        <f t="shared" si="910"/>
        <v>7225</v>
      </c>
      <c r="BH109" s="243">
        <f t="shared" si="910"/>
        <v>6571</v>
      </c>
      <c r="BI109" s="243">
        <f t="shared" si="910"/>
        <v>8701</v>
      </c>
      <c r="BJ109" s="243">
        <f t="shared" si="910"/>
        <v>9059</v>
      </c>
      <c r="BK109" s="243"/>
      <c r="BL109" s="243"/>
      <c r="BM109" s="243"/>
      <c r="BN109" s="243"/>
      <c r="BO109" s="243"/>
      <c r="BP109" s="243"/>
      <c r="BQ109" s="243"/>
      <c r="BR109" s="243"/>
      <c r="BS109" s="243"/>
      <c r="BT109" s="243"/>
      <c r="BU109" s="243"/>
      <c r="BV109" s="243"/>
      <c r="BW109" s="243"/>
      <c r="BX109" s="243"/>
      <c r="BY109" s="243"/>
      <c r="BZ109" s="243"/>
      <c r="CA109" s="243"/>
      <c r="CB109" s="243"/>
      <c r="CC109" s="243"/>
      <c r="CD109" s="243"/>
      <c r="CE109" s="243"/>
      <c r="CF109" s="243"/>
      <c r="CG109" s="243"/>
      <c r="CH109" s="243"/>
      <c r="CI109" s="243"/>
      <c r="CJ109" s="243"/>
      <c r="CK109" s="243"/>
      <c r="CL109" s="243"/>
      <c r="CM109" s="243"/>
      <c r="CN109" s="243"/>
      <c r="CO109" s="243"/>
      <c r="CP109" s="243"/>
      <c r="CQ109" s="243"/>
      <c r="CR109" s="243"/>
      <c r="CS109" s="243"/>
      <c r="CT109" s="243"/>
      <c r="CU109" s="243"/>
      <c r="CV109" s="243"/>
      <c r="CW109" s="243"/>
      <c r="CX109" s="243"/>
      <c r="CY109" s="243"/>
      <c r="CZ109" s="243"/>
      <c r="DA109" s="243"/>
      <c r="DB109" s="243"/>
      <c r="DC109" s="243"/>
      <c r="DD109" s="243"/>
      <c r="DE109" s="243"/>
      <c r="DF109" s="243"/>
      <c r="DG109" s="243"/>
      <c r="DH109" s="243"/>
      <c r="DI109" s="243"/>
      <c r="DJ109" s="243"/>
      <c r="DK109" s="243"/>
      <c r="DL109" s="243"/>
      <c r="DM109" s="243"/>
      <c r="DN109" s="243"/>
      <c r="DS109" s="243">
        <v>4633</v>
      </c>
      <c r="DT109" s="243">
        <v>4824</v>
      </c>
      <c r="DU109" s="243">
        <v>5325</v>
      </c>
      <c r="DV109" s="243">
        <v>6737</v>
      </c>
      <c r="DW109" s="243">
        <v>8068</v>
      </c>
      <c r="DX109" s="243">
        <v>8435</v>
      </c>
      <c r="DY109" s="243">
        <v>8569</v>
      </c>
      <c r="DZ109" s="243">
        <v>9913</v>
      </c>
      <c r="EA109" s="243">
        <v>10281</v>
      </c>
      <c r="EB109" s="243">
        <v>11191</v>
      </c>
      <c r="EC109" s="243">
        <f>SUM(EC48:EC59)</f>
        <v>12585</v>
      </c>
      <c r="ED109" s="243">
        <v>14914</v>
      </c>
      <c r="EE109" s="243">
        <f t="shared" ref="EE109:EQ109" si="911">SUM(EE48:EE59)</f>
        <v>16887</v>
      </c>
      <c r="EF109" s="243">
        <f t="shared" si="911"/>
        <v>19096</v>
      </c>
      <c r="EG109" s="243">
        <f t="shared" si="911"/>
        <v>20283</v>
      </c>
      <c r="EH109" s="243">
        <f t="shared" si="911"/>
        <v>21736</v>
      </c>
      <c r="EI109" s="243">
        <f t="shared" si="911"/>
        <v>23126</v>
      </c>
      <c r="EJ109" s="243">
        <f t="shared" si="911"/>
        <v>23574</v>
      </c>
      <c r="EK109" s="243">
        <f t="shared" si="911"/>
        <v>24601</v>
      </c>
      <c r="EL109" s="243">
        <f t="shared" si="911"/>
        <v>25779</v>
      </c>
      <c r="EM109" s="243">
        <f t="shared" si="911"/>
        <v>27426</v>
      </c>
      <c r="EN109" s="243">
        <f t="shared" si="911"/>
        <v>28490</v>
      </c>
      <c r="EO109" s="243">
        <f t="shared" si="911"/>
        <v>28878.885000000002</v>
      </c>
      <c r="EP109" s="243">
        <f t="shared" si="911"/>
        <v>29278.314474999999</v>
      </c>
      <c r="EQ109" s="243">
        <f t="shared" si="911"/>
        <v>29688.570665625008</v>
      </c>
      <c r="ER109" s="243"/>
      <c r="ES109" s="243"/>
      <c r="ET109" s="243"/>
      <c r="EU109" s="243"/>
    </row>
    <row r="110" spans="2:166" ht="12.75" customHeight="1" x14ac:dyDescent="0.2">
      <c r="B110" t="s">
        <v>357</v>
      </c>
      <c r="W110" s="243">
        <v>662</v>
      </c>
      <c r="X110" s="243">
        <v>564</v>
      </c>
      <c r="Y110" s="243">
        <v>677</v>
      </c>
      <c r="Z110" s="243">
        <v>586</v>
      </c>
      <c r="AA110" s="243">
        <v>731</v>
      </c>
      <c r="AB110" s="243">
        <v>671</v>
      </c>
      <c r="AC110" s="243">
        <v>931</v>
      </c>
      <c r="AD110" s="243">
        <v>1037</v>
      </c>
      <c r="AE110" s="243">
        <v>1067</v>
      </c>
      <c r="AF110" s="243">
        <v>1055</v>
      </c>
      <c r="AG110" s="243">
        <v>1052</v>
      </c>
      <c r="AH110" s="243">
        <v>917</v>
      </c>
      <c r="AI110" s="243">
        <v>1488</v>
      </c>
      <c r="AJ110" s="243">
        <v>1409</v>
      </c>
      <c r="AK110" s="243">
        <v>1363</v>
      </c>
      <c r="AL110" s="243">
        <v>1153</v>
      </c>
      <c r="AM110" s="243">
        <f>2160-622</f>
        <v>1538</v>
      </c>
      <c r="AN110" s="243">
        <v>1340</v>
      </c>
      <c r="AO110" s="243"/>
      <c r="AP110" s="243"/>
      <c r="AQ110" s="243"/>
      <c r="AR110" s="243"/>
      <c r="AS110" s="243"/>
      <c r="AT110" s="243"/>
      <c r="AU110" s="243"/>
      <c r="AV110" s="243"/>
      <c r="AW110" s="243"/>
      <c r="AX110" s="243"/>
      <c r="BC110" s="243">
        <v>3702</v>
      </c>
      <c r="DS110" s="243">
        <v>598</v>
      </c>
      <c r="DT110" s="243">
        <v>655</v>
      </c>
      <c r="DU110" s="243">
        <v>843</v>
      </c>
      <c r="DV110" s="243">
        <v>1203</v>
      </c>
      <c r="DW110" s="243">
        <v>1416</v>
      </c>
      <c r="DX110" s="243">
        <v>1550</v>
      </c>
      <c r="DY110" s="243">
        <v>1409</v>
      </c>
      <c r="DZ110" s="243">
        <v>1632</v>
      </c>
      <c r="EA110" s="243">
        <v>1696</v>
      </c>
      <c r="EB110" s="243">
        <v>2001</v>
      </c>
      <c r="EC110" s="243">
        <v>2489</v>
      </c>
      <c r="ED110" s="243">
        <v>3370</v>
      </c>
      <c r="EE110" s="243">
        <v>4091</v>
      </c>
      <c r="EF110" s="243">
        <v>5418</v>
      </c>
      <c r="EG110" s="243"/>
      <c r="EH110" s="243"/>
      <c r="EI110" s="243"/>
      <c r="EJ110" s="243"/>
      <c r="EK110" s="243"/>
      <c r="EL110" s="243"/>
      <c r="EM110" s="243"/>
      <c r="EN110" s="243"/>
      <c r="EO110" s="243"/>
      <c r="EP110" s="243"/>
      <c r="EQ110" s="243"/>
      <c r="ER110" s="243"/>
      <c r="ES110" s="243"/>
      <c r="ET110" s="243"/>
      <c r="EU110" s="243"/>
    </row>
    <row r="111" spans="2:166" ht="12.75" customHeight="1" x14ac:dyDescent="0.2">
      <c r="B111" t="s">
        <v>358</v>
      </c>
      <c r="W111" s="294">
        <f t="shared" ref="W111:AN111" si="912">W110/W109</f>
        <v>0.22379986477349562</v>
      </c>
      <c r="X111" s="294">
        <f t="shared" si="912"/>
        <v>0.17814276689829439</v>
      </c>
      <c r="Y111" s="294">
        <f t="shared" si="912"/>
        <v>0.21553645335880292</v>
      </c>
      <c r="Z111" s="294">
        <f t="shared" si="912"/>
        <v>0.17661241711874623</v>
      </c>
      <c r="AA111" s="294">
        <f t="shared" si="912"/>
        <v>0.21730083234244946</v>
      </c>
      <c r="AB111" s="294">
        <f t="shared" si="912"/>
        <v>0.18489942132818959</v>
      </c>
      <c r="AC111" s="294">
        <f t="shared" si="912"/>
        <v>0.2463614712887007</v>
      </c>
      <c r="AD111" s="294">
        <f t="shared" si="912"/>
        <v>0.25042260323593335</v>
      </c>
      <c r="AE111" s="294">
        <f t="shared" si="912"/>
        <v>0.25797872340425532</v>
      </c>
      <c r="AF111" s="294">
        <f t="shared" si="912"/>
        <v>0.26004436775942813</v>
      </c>
      <c r="AG111" s="294">
        <f t="shared" si="912"/>
        <v>0.26013847675568746</v>
      </c>
      <c r="AH111" s="294">
        <f t="shared" si="912"/>
        <v>0.19720430107526882</v>
      </c>
      <c r="AI111" s="294">
        <f t="shared" si="912"/>
        <v>0.31019387116948094</v>
      </c>
      <c r="AJ111" s="294">
        <f t="shared" si="912"/>
        <v>0.29015650741350907</v>
      </c>
      <c r="AK111" s="294">
        <f t="shared" si="912"/>
        <v>0.29489398528775423</v>
      </c>
      <c r="AL111" s="294">
        <f t="shared" si="912"/>
        <v>0.2391619995851483</v>
      </c>
      <c r="AM111" s="294">
        <f t="shared" si="912"/>
        <v>0.30692476551586512</v>
      </c>
      <c r="AN111" s="294">
        <f t="shared" si="912"/>
        <v>0.25994180407371487</v>
      </c>
      <c r="AO111" s="243"/>
      <c r="AP111" s="243"/>
      <c r="AQ111" s="243"/>
      <c r="AR111" s="243"/>
      <c r="AS111" s="243"/>
      <c r="AT111" s="243"/>
      <c r="AU111" s="243"/>
      <c r="AV111" s="243"/>
      <c r="AW111" s="243"/>
      <c r="AX111" s="243"/>
      <c r="BC111" s="294">
        <f>+BC110/BC109</f>
        <v>0.59450778866227716</v>
      </c>
      <c r="DS111" s="294">
        <f t="shared" ref="DS111:EF111" si="913">DS110/DS109</f>
        <v>0.12907403410317289</v>
      </c>
      <c r="DT111" s="294">
        <f t="shared" si="913"/>
        <v>0.13577943615257049</v>
      </c>
      <c r="DU111" s="294">
        <f t="shared" si="913"/>
        <v>0.15830985915492957</v>
      </c>
      <c r="DV111" s="294">
        <f t="shared" si="913"/>
        <v>0.17856612735639008</v>
      </c>
      <c r="DW111" s="294">
        <f t="shared" si="913"/>
        <v>0.17550818046603867</v>
      </c>
      <c r="DX111" s="294">
        <f t="shared" si="913"/>
        <v>0.18375815056312983</v>
      </c>
      <c r="DY111" s="294">
        <f t="shared" si="913"/>
        <v>0.16442992181117982</v>
      </c>
      <c r="DZ111" s="294">
        <f t="shared" si="913"/>
        <v>0.16463230101886411</v>
      </c>
      <c r="EA111" s="294">
        <f t="shared" si="913"/>
        <v>0.16496449761696333</v>
      </c>
      <c r="EB111" s="294">
        <f t="shared" si="913"/>
        <v>0.17880439638995621</v>
      </c>
      <c r="EC111" s="294">
        <f t="shared" si="913"/>
        <v>0.19777512912197059</v>
      </c>
      <c r="ED111" s="294">
        <f t="shared" si="913"/>
        <v>0.22596218318358588</v>
      </c>
      <c r="EE111" s="294">
        <f t="shared" si="913"/>
        <v>0.24225735773079884</v>
      </c>
      <c r="EF111" s="294">
        <f t="shared" si="913"/>
        <v>0.2837243401759531</v>
      </c>
      <c r="EG111" s="243"/>
      <c r="EH111" s="243"/>
      <c r="EI111" s="243"/>
      <c r="EJ111" s="243"/>
      <c r="EK111" s="243"/>
      <c r="EL111" s="243"/>
      <c r="EM111" s="243"/>
      <c r="EN111" s="243"/>
      <c r="EO111" s="243"/>
      <c r="EP111" s="243"/>
      <c r="EQ111" s="243"/>
      <c r="ER111" s="243"/>
      <c r="ES111" s="243"/>
      <c r="ET111" s="243"/>
      <c r="EU111" s="243"/>
    </row>
    <row r="112" spans="2:166" ht="12.75" customHeight="1" x14ac:dyDescent="0.2">
      <c r="B112" t="s">
        <v>359</v>
      </c>
      <c r="Z112" s="294">
        <f t="shared" ref="Z112:BJ112" si="914">Z109/Z61</f>
        <v>0.35286610656173562</v>
      </c>
      <c r="AA112" s="294">
        <f t="shared" si="914"/>
        <v>0.34249643657096313</v>
      </c>
      <c r="AB112" s="294">
        <f t="shared" si="914"/>
        <v>0.35123886953155248</v>
      </c>
      <c r="AC112" s="294">
        <f t="shared" si="914"/>
        <v>0.3614884254830687</v>
      </c>
      <c r="AD112" s="294">
        <f t="shared" si="914"/>
        <v>0.36359645271753449</v>
      </c>
      <c r="AE112" s="294">
        <f t="shared" si="914"/>
        <v>0.34512683578104136</v>
      </c>
      <c r="AF112" s="294">
        <f t="shared" si="914"/>
        <v>0.34115371678439288</v>
      </c>
      <c r="AG112" s="294">
        <f t="shared" si="914"/>
        <v>0.35003895092183851</v>
      </c>
      <c r="AH112" s="294">
        <f t="shared" si="914"/>
        <v>0.36464868255959848</v>
      </c>
      <c r="AI112" s="294">
        <f t="shared" si="914"/>
        <v>0.37383104738154616</v>
      </c>
      <c r="AJ112" s="294">
        <f t="shared" si="914"/>
        <v>0.38050462309982763</v>
      </c>
      <c r="AK112" s="294">
        <f t="shared" si="914"/>
        <v>0.37546709991876526</v>
      </c>
      <c r="AL112" s="294">
        <f t="shared" si="914"/>
        <v>0.38231562252180806</v>
      </c>
      <c r="AM112" s="294">
        <f t="shared" si="914"/>
        <v>0.38569889162561577</v>
      </c>
      <c r="AN112" s="294">
        <f t="shared" si="914"/>
        <v>0.38576666916111652</v>
      </c>
      <c r="AO112" s="294">
        <f t="shared" si="914"/>
        <v>0.37254459245879429</v>
      </c>
      <c r="AP112" s="294">
        <f t="shared" si="914"/>
        <v>0.37764946645227304</v>
      </c>
      <c r="AQ112" s="294">
        <f t="shared" si="914"/>
        <v>0.35262146218598794</v>
      </c>
      <c r="AR112" s="294">
        <f t="shared" si="914"/>
        <v>0.35781270637960638</v>
      </c>
      <c r="AS112" s="294">
        <f t="shared" si="914"/>
        <v>0.34970347171320049</v>
      </c>
      <c r="AT112" s="294">
        <f t="shared" si="914"/>
        <v>0.36034342294917593</v>
      </c>
      <c r="AU112" s="294">
        <f t="shared" si="914"/>
        <v>0.3520439669013215</v>
      </c>
      <c r="AV112" s="294">
        <f t="shared" si="914"/>
        <v>0.36924012158054709</v>
      </c>
      <c r="AW112" s="294">
        <f t="shared" si="914"/>
        <v>0.35858300358017714</v>
      </c>
      <c r="AX112" s="294">
        <f t="shared" si="914"/>
        <v>0.37162429192464763</v>
      </c>
      <c r="AY112" s="294">
        <f t="shared" si="914"/>
        <v>0.36836150672168244</v>
      </c>
      <c r="AZ112" s="294">
        <f t="shared" si="914"/>
        <v>0.38631143775838311</v>
      </c>
      <c r="BA112" s="294">
        <f t="shared" si="914"/>
        <v>0.38744115111729993</v>
      </c>
      <c r="BB112" s="294">
        <f t="shared" si="914"/>
        <v>0.38118542686242524</v>
      </c>
      <c r="BC112" s="294">
        <f t="shared" si="914"/>
        <v>0.39837502399078756</v>
      </c>
      <c r="BD112" s="294">
        <f t="shared" si="914"/>
        <v>0.3983364741048801</v>
      </c>
      <c r="BE112" s="294">
        <f t="shared" si="914"/>
        <v>0.39514083566947</v>
      </c>
      <c r="BF112" s="294">
        <f t="shared" si="914"/>
        <v>0.40424443876246485</v>
      </c>
      <c r="BG112" s="294">
        <f t="shared" si="914"/>
        <v>0.42585170340681361</v>
      </c>
      <c r="BH112" s="294">
        <f t="shared" si="914"/>
        <v>0.39591492438392478</v>
      </c>
      <c r="BI112" s="294">
        <f t="shared" si="914"/>
        <v>0.54364261168384875</v>
      </c>
      <c r="BJ112" s="294">
        <f t="shared" si="914"/>
        <v>0.48132405291961106</v>
      </c>
      <c r="BK112" s="294"/>
      <c r="BL112" s="294"/>
      <c r="BM112" s="294"/>
      <c r="BN112" s="294"/>
      <c r="BO112" s="294"/>
      <c r="BP112" s="294"/>
      <c r="BQ112" s="294"/>
      <c r="BR112" s="294"/>
      <c r="BS112" s="294"/>
      <c r="BT112" s="294"/>
      <c r="BU112" s="294"/>
      <c r="BV112" s="294"/>
      <c r="BW112" s="294"/>
      <c r="BX112" s="294"/>
      <c r="BY112" s="294"/>
      <c r="BZ112" s="294"/>
      <c r="CA112" s="294"/>
      <c r="CB112" s="294"/>
      <c r="CC112" s="294"/>
      <c r="CD112" s="294"/>
      <c r="CE112" s="294"/>
      <c r="CF112" s="294"/>
      <c r="CG112" s="294"/>
      <c r="CH112" s="294"/>
      <c r="CI112" s="294"/>
      <c r="CJ112" s="294"/>
      <c r="CK112" s="294"/>
      <c r="CL112" s="294"/>
      <c r="CM112" s="294"/>
      <c r="CN112" s="294"/>
      <c r="CO112" s="294"/>
      <c r="CP112" s="294"/>
      <c r="CQ112" s="294"/>
      <c r="CR112" s="294"/>
      <c r="CS112" s="294"/>
      <c r="CT112" s="294"/>
      <c r="CU112" s="294"/>
      <c r="CV112" s="294"/>
      <c r="CW112" s="294"/>
      <c r="CX112" s="294"/>
      <c r="CY112" s="294"/>
      <c r="CZ112" s="294"/>
      <c r="DA112" s="294"/>
      <c r="DB112" s="294"/>
      <c r="DC112" s="294"/>
      <c r="DD112" s="294"/>
      <c r="DE112" s="294"/>
      <c r="DF112" s="294"/>
      <c r="DG112" s="294"/>
      <c r="DH112" s="294"/>
      <c r="DI112" s="294"/>
      <c r="DJ112" s="294"/>
      <c r="DK112" s="294"/>
      <c r="DL112" s="294"/>
      <c r="DM112" s="294"/>
      <c r="DN112" s="294"/>
      <c r="DS112" s="294">
        <f t="shared" ref="DS112:EP112" si="915">DS109/DS61</f>
        <v>0.33687195520977242</v>
      </c>
      <c r="DT112" s="294">
        <f t="shared" si="915"/>
        <v>0.34120809166784555</v>
      </c>
      <c r="DU112" s="294">
        <f t="shared" si="915"/>
        <v>0.3384390491928308</v>
      </c>
      <c r="DV112" s="294">
        <f t="shared" si="915"/>
        <v>0.35755227682836216</v>
      </c>
      <c r="DW112" s="294">
        <f t="shared" si="915"/>
        <v>0.37317298797409804</v>
      </c>
      <c r="DX112" s="294">
        <f t="shared" si="915"/>
        <v>0.37275177869106013</v>
      </c>
      <c r="DY112" s="294">
        <f t="shared" si="915"/>
        <v>0.36221837088388215</v>
      </c>
      <c r="DZ112" s="294">
        <f t="shared" si="915"/>
        <v>0.36085326344144736</v>
      </c>
      <c r="EA112" s="294">
        <f t="shared" si="915"/>
        <v>0.35282610933800063</v>
      </c>
      <c r="EB112" s="294">
        <f t="shared" si="915"/>
        <v>0.33908011150163614</v>
      </c>
      <c r="EC112" s="294">
        <f t="shared" si="915"/>
        <v>0.34094695748525544</v>
      </c>
      <c r="ED112" s="294">
        <f t="shared" si="915"/>
        <v>0.35203255486788748</v>
      </c>
      <c r="EE112" s="294">
        <f t="shared" si="915"/>
        <v>0.35095704220961405</v>
      </c>
      <c r="EF112" s="294">
        <f t="shared" si="915"/>
        <v>0.38579336538850056</v>
      </c>
      <c r="EG112" s="294">
        <f t="shared" si="915"/>
        <v>0.38037281524266747</v>
      </c>
      <c r="EH112" s="294">
        <f t="shared" si="915"/>
        <v>0.35577379490956706</v>
      </c>
      <c r="EI112" s="294">
        <f t="shared" si="915"/>
        <v>0.36277785621284137</v>
      </c>
      <c r="EJ112" s="294">
        <f t="shared" si="915"/>
        <v>0.38085852303019535</v>
      </c>
      <c r="EK112" s="294">
        <f t="shared" si="915"/>
        <v>0.4003091693108779</v>
      </c>
      <c r="EL112" s="294">
        <f t="shared" si="915"/>
        <v>0.39641703829002001</v>
      </c>
      <c r="EM112" s="294">
        <f t="shared" si="915"/>
        <v>0.40482973415797008</v>
      </c>
      <c r="EN112" s="294">
        <f t="shared" si="915"/>
        <v>0.39951200358985867</v>
      </c>
      <c r="EO112" s="294">
        <f t="shared" si="915"/>
        <v>0.3837856910053733</v>
      </c>
      <c r="EP112" s="294">
        <f t="shared" si="915"/>
        <v>0.38487684959266583</v>
      </c>
      <c r="EQ112" s="294"/>
      <c r="ER112" s="294"/>
      <c r="ES112" s="294"/>
      <c r="ET112" s="294"/>
      <c r="EU112" s="294"/>
    </row>
    <row r="113" spans="2:151" ht="12.75" customHeight="1" x14ac:dyDescent="0.2">
      <c r="B113" t="s">
        <v>360</v>
      </c>
      <c r="AE113" s="243"/>
      <c r="AF113" s="243"/>
      <c r="AG113" s="243"/>
      <c r="AH113" s="288"/>
      <c r="AI113" s="288"/>
      <c r="AJ113" s="288">
        <f t="shared" ref="AJ113:BD113" si="916">AJ109/AF109-1</f>
        <v>0.19694355435050537</v>
      </c>
      <c r="AK113" s="288">
        <f t="shared" si="916"/>
        <v>0.14292779426310576</v>
      </c>
      <c r="AL113" s="288">
        <f t="shared" si="916"/>
        <v>3.677419354838718E-2</v>
      </c>
      <c r="AM113" s="288">
        <f t="shared" si="916"/>
        <v>4.4611215342922561E-2</v>
      </c>
      <c r="AN113" s="288">
        <f t="shared" si="916"/>
        <v>6.1573311367380645E-2</v>
      </c>
      <c r="AO113" s="288">
        <f t="shared" si="916"/>
        <v>7.0964950237992319E-2</v>
      </c>
      <c r="AP113" s="288">
        <f t="shared" si="916"/>
        <v>7.1769342460070495E-2</v>
      </c>
      <c r="AQ113" s="288">
        <f t="shared" si="916"/>
        <v>6.1664338455398093E-2</v>
      </c>
      <c r="AR113" s="288">
        <f t="shared" si="916"/>
        <v>5.1018428709990404E-2</v>
      </c>
      <c r="AS113" s="288">
        <f t="shared" si="916"/>
        <v>6.0202020202020146E-2</v>
      </c>
      <c r="AT113" s="288">
        <f t="shared" si="916"/>
        <v>0.11283143023030773</v>
      </c>
      <c r="AU113" s="288">
        <f t="shared" si="916"/>
        <v>7.1616541353383356E-2</v>
      </c>
      <c r="AV113" s="288">
        <f t="shared" si="916"/>
        <v>0.12107788851974899</v>
      </c>
      <c r="AW113" s="288">
        <f t="shared" si="916"/>
        <v>8.7842987804878092E-2</v>
      </c>
      <c r="AX113" s="288">
        <f t="shared" si="916"/>
        <v>-1.8782608695652181E-2</v>
      </c>
      <c r="AY113" s="288">
        <f t="shared" si="916"/>
        <v>-2.9117698649359758E-2</v>
      </c>
      <c r="AZ113" s="288">
        <f t="shared" si="916"/>
        <v>-3.0786960816595377E-2</v>
      </c>
      <c r="BA113" s="288">
        <f t="shared" si="916"/>
        <v>2.3471711332982981E-2</v>
      </c>
      <c r="BB113" s="288">
        <f t="shared" si="916"/>
        <v>0.11822048918823103</v>
      </c>
      <c r="BC113" s="288">
        <f t="shared" si="916"/>
        <v>0.12502258355916895</v>
      </c>
      <c r="BD113" s="288">
        <f t="shared" si="916"/>
        <v>4.1277390861219621E-2</v>
      </c>
      <c r="BE113" s="288">
        <f t="shared" ref="BE113" si="917">BE109/BA109-1</f>
        <v>1.3178161903131924E-2</v>
      </c>
      <c r="BF113" s="288">
        <f t="shared" ref="BF113" si="918">BF109/BB109-1</f>
        <v>2.377555872562942E-3</v>
      </c>
      <c r="BG113" s="288">
        <f t="shared" ref="BG113" si="919">BG109/BC109-1</f>
        <v>0.16026979283764242</v>
      </c>
      <c r="BH113" s="288">
        <f t="shared" ref="BH113" si="920">BH109/BD109-1</f>
        <v>7.1941272430668946E-2</v>
      </c>
      <c r="BI113" s="288">
        <f t="shared" ref="BI113" si="921">BI109/BE109-1</f>
        <v>0.46976351351351342</v>
      </c>
      <c r="BJ113" s="288">
        <f t="shared" ref="BJ113" si="922">BJ109/BF109-1</f>
        <v>0.43247944339025923</v>
      </c>
      <c r="BK113" s="288"/>
      <c r="BL113" s="288"/>
      <c r="BM113" s="288"/>
      <c r="BN113" s="288"/>
      <c r="BO113" s="288"/>
      <c r="BP113" s="288"/>
      <c r="BQ113" s="288"/>
      <c r="BR113" s="288"/>
      <c r="BS113" s="288"/>
      <c r="BT113" s="288"/>
      <c r="BU113" s="288"/>
      <c r="BV113" s="288"/>
      <c r="BW113" s="288"/>
      <c r="BX113" s="288"/>
      <c r="BY113" s="288"/>
      <c r="BZ113" s="288"/>
      <c r="CA113" s="288"/>
      <c r="CB113" s="288"/>
      <c r="CC113" s="288"/>
      <c r="CD113" s="288"/>
      <c r="CE113" s="288"/>
      <c r="CF113" s="288"/>
      <c r="CG113" s="288"/>
      <c r="CH113" s="288"/>
      <c r="CI113" s="288"/>
      <c r="CJ113" s="288"/>
      <c r="CK113" s="288"/>
      <c r="CL113" s="288"/>
      <c r="CM113" s="288"/>
      <c r="CN113" s="288"/>
      <c r="CO113" s="288"/>
      <c r="CP113" s="288"/>
      <c r="CQ113" s="288"/>
      <c r="CR113" s="288"/>
      <c r="CS113" s="288"/>
      <c r="CT113" s="288"/>
      <c r="CU113" s="288"/>
      <c r="CV113" s="288"/>
      <c r="CW113" s="288"/>
      <c r="CX113" s="288"/>
      <c r="CY113" s="288"/>
      <c r="CZ113" s="288"/>
      <c r="DA113" s="288"/>
      <c r="DB113" s="288"/>
      <c r="DC113" s="288"/>
      <c r="DD113" s="288"/>
      <c r="DE113" s="288"/>
      <c r="DF113" s="288"/>
      <c r="DG113" s="288"/>
      <c r="DH113" s="288"/>
      <c r="DI113" s="288"/>
      <c r="DJ113" s="288"/>
      <c r="DK113" s="288"/>
      <c r="DL113" s="288"/>
      <c r="DM113" s="288"/>
      <c r="DN113" s="288"/>
      <c r="EG113" s="288">
        <f>EG109/EF109-1</f>
        <v>6.2159614578969347E-2</v>
      </c>
      <c r="EH113" s="288">
        <f t="shared" ref="EH113:EI113" si="923">EH109/EG109-1</f>
        <v>7.1636345708228522E-2</v>
      </c>
      <c r="EI113" s="288">
        <f t="shared" si="923"/>
        <v>6.3949208686050696E-2</v>
      </c>
      <c r="EJ113" s="288">
        <f>EJ109/EI109-1</f>
        <v>1.9372135259015932E-2</v>
      </c>
      <c r="EK113" s="243"/>
      <c r="EL113" s="243"/>
      <c r="EM113" s="243"/>
      <c r="EN113" s="243"/>
      <c r="EO113" s="243"/>
      <c r="EP113" s="243"/>
      <c r="EQ113" s="243"/>
      <c r="ER113" s="243"/>
      <c r="ES113" s="243"/>
      <c r="ET113" s="243"/>
      <c r="EU113" s="243"/>
    </row>
    <row r="114" spans="2:151" ht="12.75" customHeight="1" x14ac:dyDescent="0.2">
      <c r="B114" t="s">
        <v>361</v>
      </c>
      <c r="AE114" s="243"/>
      <c r="AF114" s="243"/>
      <c r="AG114" s="243"/>
      <c r="AH114" s="243"/>
      <c r="AI114" s="294"/>
      <c r="AJ114" s="243"/>
      <c r="AK114" s="243"/>
      <c r="AL114" s="243"/>
      <c r="AM114" s="294"/>
      <c r="AN114" s="243"/>
      <c r="AO114" s="288">
        <v>6.0999999999999999E-2</v>
      </c>
      <c r="AP114" s="243"/>
      <c r="AQ114" s="243"/>
      <c r="AR114" s="243"/>
      <c r="AS114" s="243"/>
      <c r="AT114" s="243"/>
      <c r="AU114" s="243"/>
      <c r="AV114" s="288">
        <v>5.7000000000000002E-2</v>
      </c>
      <c r="AW114" s="243"/>
      <c r="AX114" s="243"/>
      <c r="AY114" s="288">
        <v>3.1E-2</v>
      </c>
      <c r="AZ114" s="288">
        <v>2.9000000000000001E-2</v>
      </c>
      <c r="BD114" s="288">
        <v>3.5000000000000003E-2</v>
      </c>
      <c r="BG114" s="288">
        <v>1.2999999999999999E-2</v>
      </c>
      <c r="BI114" s="288">
        <v>1.7000000000000001E-2</v>
      </c>
      <c r="EG114" s="288">
        <v>6.4000000000000001E-2</v>
      </c>
      <c r="EH114" s="243"/>
      <c r="EI114" s="243"/>
      <c r="EJ114" s="288">
        <v>4.2000000000000003E-2</v>
      </c>
      <c r="EK114" s="243"/>
      <c r="EL114" s="243"/>
      <c r="EM114" s="243"/>
      <c r="EN114" s="243"/>
      <c r="EO114" s="243"/>
      <c r="EP114" s="243"/>
      <c r="EQ114" s="243"/>
      <c r="ER114" s="243"/>
      <c r="ES114" s="243"/>
      <c r="ET114" s="243"/>
      <c r="EU114" s="243"/>
    </row>
    <row r="115" spans="2:151" ht="12.75" customHeight="1" x14ac:dyDescent="0.2">
      <c r="B115" t="s">
        <v>1194</v>
      </c>
      <c r="AE115" s="243"/>
      <c r="AF115" s="243"/>
      <c r="AG115" s="243"/>
      <c r="AH115" s="243"/>
      <c r="AI115" s="294"/>
      <c r="AJ115" s="243"/>
      <c r="AK115" s="243"/>
      <c r="AL115" s="243"/>
      <c r="AM115" s="294"/>
      <c r="AN115" s="243"/>
      <c r="AO115" s="288"/>
      <c r="AP115" s="243"/>
      <c r="AQ115" s="243"/>
      <c r="AR115" s="243"/>
      <c r="AS115" s="243"/>
      <c r="AT115" s="243"/>
      <c r="AU115" s="243"/>
      <c r="AV115" s="288"/>
      <c r="AW115" s="243"/>
      <c r="AX115" s="243"/>
      <c r="AY115" s="288"/>
      <c r="AZ115" s="288">
        <f>AZ113-AZ114</f>
        <v>-5.9786960816595375E-2</v>
      </c>
      <c r="BD115" s="288">
        <f>BD113-BD114</f>
        <v>6.2773908612196172E-3</v>
      </c>
      <c r="BG115" s="288">
        <v>0.02</v>
      </c>
      <c r="BI115" s="288">
        <v>4.3999999999999997E-2</v>
      </c>
      <c r="EG115" s="288"/>
      <c r="EH115" s="243"/>
      <c r="EI115" s="243"/>
      <c r="EJ115" s="288">
        <f>EJ113-EJ114</f>
        <v>-2.262786474098407E-2</v>
      </c>
      <c r="EK115" s="243"/>
      <c r="EL115" s="243"/>
      <c r="EM115" s="243"/>
      <c r="EN115" s="243"/>
      <c r="EO115" s="243"/>
      <c r="EP115" s="243"/>
      <c r="EQ115" s="243"/>
      <c r="ER115" s="243"/>
      <c r="ES115" s="243"/>
      <c r="ET115" s="243"/>
      <c r="EU115" s="243"/>
    </row>
    <row r="116" spans="2:151" ht="12.75" customHeight="1" x14ac:dyDescent="0.2">
      <c r="B116" t="s">
        <v>232</v>
      </c>
      <c r="K116" s="247">
        <v>1728</v>
      </c>
      <c r="L116" s="247">
        <v>1687</v>
      </c>
      <c r="M116" s="247">
        <v>1704</v>
      </c>
      <c r="N116" s="247">
        <v>1744</v>
      </c>
      <c r="O116" s="247">
        <v>1752</v>
      </c>
      <c r="P116" s="247">
        <v>1707</v>
      </c>
      <c r="Q116" s="247">
        <v>1722</v>
      </c>
      <c r="R116" s="247">
        <v>1723</v>
      </c>
      <c r="S116" s="243">
        <f t="shared" ref="S116:AN116" si="924">S252</f>
        <v>1631</v>
      </c>
      <c r="T116" s="243">
        <f t="shared" si="924"/>
        <v>1530</v>
      </c>
      <c r="U116" s="243">
        <f t="shared" si="924"/>
        <v>1609</v>
      </c>
      <c r="V116" s="243">
        <f t="shared" si="924"/>
        <v>1550</v>
      </c>
      <c r="W116" s="243">
        <f t="shared" si="924"/>
        <v>1604</v>
      </c>
      <c r="X116" s="243">
        <f t="shared" si="924"/>
        <v>1649</v>
      </c>
      <c r="Y116" s="243">
        <f t="shared" si="924"/>
        <v>1661</v>
      </c>
      <c r="Z116" s="243">
        <f t="shared" si="924"/>
        <v>1650</v>
      </c>
      <c r="AA116" s="243">
        <f t="shared" si="924"/>
        <v>1791</v>
      </c>
      <c r="AB116" s="243">
        <f t="shared" si="924"/>
        <v>1819</v>
      </c>
      <c r="AC116" s="243">
        <f t="shared" si="924"/>
        <v>1841</v>
      </c>
      <c r="AD116" s="243">
        <f t="shared" si="924"/>
        <v>1979</v>
      </c>
      <c r="AE116" s="243">
        <f t="shared" si="924"/>
        <v>2047</v>
      </c>
      <c r="AF116" s="243">
        <f t="shared" si="924"/>
        <v>2000</v>
      </c>
      <c r="AG116" s="243">
        <f t="shared" si="924"/>
        <v>2024</v>
      </c>
      <c r="AH116" s="243">
        <f t="shared" si="924"/>
        <v>2262</v>
      </c>
      <c r="AI116" s="243">
        <f t="shared" si="924"/>
        <v>2280</v>
      </c>
      <c r="AJ116" s="243">
        <f t="shared" si="924"/>
        <v>2278</v>
      </c>
      <c r="AK116" s="243">
        <f t="shared" si="924"/>
        <v>2231</v>
      </c>
      <c r="AL116" s="243">
        <f t="shared" si="924"/>
        <v>2307</v>
      </c>
      <c r="AM116" s="243">
        <f t="shared" si="924"/>
        <v>2355</v>
      </c>
      <c r="AN116" s="243">
        <f t="shared" si="924"/>
        <v>2398</v>
      </c>
      <c r="AO116" s="243">
        <f t="shared" ref="AO116:BJ116" si="925">AO60</f>
        <v>2456</v>
      </c>
      <c r="AP116" s="243">
        <f t="shared" si="925"/>
        <v>2565</v>
      </c>
      <c r="AQ116" s="243">
        <f t="shared" si="925"/>
        <v>3496</v>
      </c>
      <c r="AR116" s="243">
        <f t="shared" si="925"/>
        <v>3564</v>
      </c>
      <c r="AS116" s="243">
        <f t="shared" si="925"/>
        <v>3623</v>
      </c>
      <c r="AT116" s="243">
        <f t="shared" si="925"/>
        <v>3810</v>
      </c>
      <c r="AU116" s="243">
        <f t="shared" si="925"/>
        <v>4064</v>
      </c>
      <c r="AV116" s="243">
        <f t="shared" si="925"/>
        <v>4036</v>
      </c>
      <c r="AW116" s="243">
        <f t="shared" si="925"/>
        <v>4099</v>
      </c>
      <c r="AX116" s="243">
        <f t="shared" si="925"/>
        <v>3855</v>
      </c>
      <c r="AY116" s="243">
        <f t="shared" si="925"/>
        <v>3711</v>
      </c>
      <c r="AZ116" s="243">
        <f t="shared" si="925"/>
        <v>3854</v>
      </c>
      <c r="BA116" s="243">
        <f t="shared" si="925"/>
        <v>3989</v>
      </c>
      <c r="BB116" s="243">
        <f t="shared" si="925"/>
        <v>4249</v>
      </c>
      <c r="BC116" s="243">
        <f t="shared" si="925"/>
        <v>3766</v>
      </c>
      <c r="BD116" s="243">
        <f t="shared" si="925"/>
        <v>3647</v>
      </c>
      <c r="BE116" s="243">
        <f t="shared" si="925"/>
        <v>3567</v>
      </c>
      <c r="BF116" s="243">
        <f t="shared" si="925"/>
        <v>3610</v>
      </c>
      <c r="BG116" s="243">
        <f t="shared" si="925"/>
        <v>3682</v>
      </c>
      <c r="BH116" s="243">
        <f t="shared" si="925"/>
        <v>3793</v>
      </c>
      <c r="BI116" s="243">
        <f t="shared" si="925"/>
        <v>3740</v>
      </c>
      <c r="BJ116" s="243">
        <f t="shared" si="925"/>
        <v>3668</v>
      </c>
      <c r="BK116" s="243"/>
      <c r="BL116" s="243"/>
      <c r="BM116" s="243"/>
      <c r="BN116" s="243"/>
      <c r="BO116" s="243"/>
      <c r="BP116" s="243"/>
      <c r="BQ116" s="243"/>
      <c r="BR116" s="243"/>
      <c r="BS116" s="243"/>
      <c r="BT116" s="243"/>
      <c r="BU116" s="243"/>
      <c r="BV116" s="243"/>
      <c r="BW116" s="243"/>
      <c r="BX116" s="243"/>
      <c r="BY116" s="243"/>
      <c r="BZ116" s="243"/>
      <c r="CA116" s="243"/>
      <c r="CB116" s="243"/>
      <c r="CC116" s="243"/>
      <c r="CD116" s="243"/>
      <c r="CE116" s="243"/>
      <c r="CF116" s="243"/>
      <c r="CG116" s="243"/>
      <c r="CH116" s="243"/>
      <c r="CI116" s="243"/>
      <c r="CJ116" s="243"/>
      <c r="CK116" s="243"/>
      <c r="CL116" s="243"/>
      <c r="CM116" s="243"/>
      <c r="CN116" s="243"/>
      <c r="CO116" s="243"/>
      <c r="CP116" s="243"/>
      <c r="CQ116" s="243"/>
      <c r="CR116" s="243"/>
      <c r="CS116" s="243"/>
      <c r="CT116" s="243"/>
      <c r="CU116" s="243"/>
      <c r="CV116" s="243"/>
      <c r="CW116" s="243"/>
      <c r="CX116" s="243"/>
      <c r="CY116" s="243"/>
      <c r="CZ116" s="243"/>
      <c r="DA116" s="243"/>
      <c r="DB116" s="243"/>
      <c r="DC116" s="243"/>
      <c r="DD116" s="243"/>
      <c r="DE116" s="243"/>
      <c r="DF116" s="243"/>
      <c r="DG116" s="243"/>
      <c r="DH116" s="243"/>
      <c r="DI116" s="243"/>
      <c r="DJ116" s="243"/>
      <c r="DK116" s="243"/>
      <c r="DL116" s="243"/>
      <c r="DM116" s="243"/>
      <c r="DN116" s="243"/>
      <c r="DS116" s="243">
        <v>4780</v>
      </c>
      <c r="DT116" s="243">
        <v>4824</v>
      </c>
      <c r="DU116" s="243">
        <v>5251</v>
      </c>
      <c r="DV116" s="243">
        <v>5831</v>
      </c>
      <c r="DW116" s="243">
        <v>6364</v>
      </c>
      <c r="DX116" s="243">
        <v>6498</v>
      </c>
      <c r="DY116" s="243">
        <v>6526</v>
      </c>
      <c r="DZ116" s="243">
        <v>6864</v>
      </c>
      <c r="EA116" s="243">
        <v>6904</v>
      </c>
      <c r="EB116" s="243">
        <v>6962</v>
      </c>
      <c r="EC116" s="243">
        <v>6564</v>
      </c>
      <c r="ED116" s="243">
        <v>7431</v>
      </c>
      <c r="EE116" s="243">
        <v>8333</v>
      </c>
      <c r="EF116" s="243">
        <f t="shared" ref="EF116:EQ116" si="926">EF60</f>
        <v>9096</v>
      </c>
      <c r="EG116" s="243">
        <f t="shared" si="926"/>
        <v>9774</v>
      </c>
      <c r="EH116" s="243">
        <f t="shared" si="926"/>
        <v>14493</v>
      </c>
      <c r="EI116" s="243">
        <f t="shared" si="926"/>
        <v>16054</v>
      </c>
      <c r="EJ116" s="243">
        <f t="shared" si="926"/>
        <v>15803</v>
      </c>
      <c r="EK116" s="243">
        <f t="shared" si="926"/>
        <v>14590</v>
      </c>
      <c r="EL116" s="243">
        <f t="shared" si="926"/>
        <v>14883</v>
      </c>
      <c r="EM116" s="243">
        <f t="shared" si="926"/>
        <v>14447</v>
      </c>
      <c r="EN116" s="243">
        <f t="shared" si="926"/>
        <v>14697</v>
      </c>
      <c r="EO116" s="243">
        <f t="shared" si="926"/>
        <v>14990.94</v>
      </c>
      <c r="EP116" s="243">
        <f t="shared" si="926"/>
        <v>15290.758800000001</v>
      </c>
      <c r="EQ116" s="243">
        <f t="shared" si="926"/>
        <v>15596.573976000001</v>
      </c>
      <c r="ER116" s="243"/>
      <c r="ES116" s="243"/>
      <c r="ET116" s="243"/>
      <c r="EU116" s="243"/>
    </row>
    <row r="117" spans="2:151" ht="12.75" customHeight="1" x14ac:dyDescent="0.2">
      <c r="B117" t="s">
        <v>357</v>
      </c>
      <c r="W117" s="243">
        <v>315</v>
      </c>
      <c r="X117" s="243">
        <v>339</v>
      </c>
      <c r="Y117" s="243">
        <v>337</v>
      </c>
      <c r="Z117" s="243">
        <v>238</v>
      </c>
      <c r="AA117" s="243">
        <v>413</v>
      </c>
      <c r="AB117" s="243">
        <v>372</v>
      </c>
      <c r="AC117" s="243">
        <v>364</v>
      </c>
      <c r="AD117" s="243">
        <v>244</v>
      </c>
      <c r="AE117" s="243">
        <v>440</v>
      </c>
      <c r="AF117" s="243">
        <v>382</v>
      </c>
      <c r="AG117" s="243">
        <v>358</v>
      </c>
      <c r="AH117" s="243">
        <v>334</v>
      </c>
      <c r="AI117" s="243">
        <v>438</v>
      </c>
      <c r="AJ117" s="243">
        <v>418</v>
      </c>
      <c r="AK117" s="243">
        <v>426</v>
      </c>
      <c r="AL117" s="243">
        <v>366</v>
      </c>
      <c r="AM117" s="243">
        <v>465</v>
      </c>
      <c r="AN117" s="243">
        <v>473</v>
      </c>
      <c r="AO117" s="243"/>
      <c r="AP117" s="243"/>
      <c r="AQ117" s="243"/>
      <c r="AR117" s="243"/>
      <c r="AS117" s="243"/>
      <c r="AT117" s="243"/>
      <c r="AU117" s="243"/>
      <c r="AV117" s="243"/>
      <c r="AW117" s="243"/>
      <c r="AX117" s="243"/>
      <c r="BC117" s="76">
        <v>785</v>
      </c>
      <c r="DS117" s="243">
        <v>501</v>
      </c>
      <c r="DT117" s="243">
        <v>521</v>
      </c>
      <c r="DU117" s="243">
        <v>443</v>
      </c>
      <c r="DV117" s="243">
        <v>298</v>
      </c>
      <c r="DW117" s="243">
        <v>361</v>
      </c>
      <c r="DX117" s="243">
        <v>558</v>
      </c>
      <c r="DY117" s="243">
        <v>658</v>
      </c>
      <c r="DZ117" s="243">
        <v>683</v>
      </c>
      <c r="EA117" s="243">
        <v>867</v>
      </c>
      <c r="EB117" s="243">
        <v>1004</v>
      </c>
      <c r="EC117" s="243">
        <v>1229</v>
      </c>
      <c r="ED117" s="243">
        <v>1393</v>
      </c>
      <c r="EE117" s="243">
        <v>1514</v>
      </c>
      <c r="EF117" s="243">
        <v>1667</v>
      </c>
      <c r="EG117" s="243"/>
      <c r="EH117" s="243"/>
      <c r="EI117" s="243"/>
      <c r="EJ117" s="243"/>
      <c r="EK117" s="243"/>
      <c r="EL117" s="243"/>
      <c r="EM117" s="243"/>
      <c r="EN117" s="243"/>
      <c r="EO117" s="243"/>
      <c r="EP117" s="243"/>
      <c r="EQ117" s="243"/>
      <c r="ER117" s="243"/>
      <c r="ES117" s="243"/>
      <c r="ET117" s="243"/>
      <c r="EU117" s="243"/>
    </row>
    <row r="118" spans="2:151" ht="12.75" customHeight="1" x14ac:dyDescent="0.2">
      <c r="B118" t="s">
        <v>358</v>
      </c>
      <c r="W118" s="294">
        <f t="shared" ref="W118:AN118" si="927">W117/W116</f>
        <v>0.19638403990024939</v>
      </c>
      <c r="X118" s="294">
        <f t="shared" si="927"/>
        <v>0.20557913887204365</v>
      </c>
      <c r="Y118" s="294">
        <f t="shared" si="927"/>
        <v>0.2028898254063817</v>
      </c>
      <c r="Z118" s="294">
        <f t="shared" si="927"/>
        <v>0.14424242424242426</v>
      </c>
      <c r="AA118" s="294">
        <f t="shared" si="927"/>
        <v>0.23059743160245672</v>
      </c>
      <c r="AB118" s="294">
        <f t="shared" si="927"/>
        <v>0.2045079714128642</v>
      </c>
      <c r="AC118" s="294">
        <f t="shared" si="927"/>
        <v>0.19771863117870722</v>
      </c>
      <c r="AD118" s="294">
        <f t="shared" si="927"/>
        <v>0.12329459322890349</v>
      </c>
      <c r="AE118" s="294">
        <f t="shared" si="927"/>
        <v>0.21494870542256961</v>
      </c>
      <c r="AF118" s="294">
        <f t="shared" si="927"/>
        <v>0.191</v>
      </c>
      <c r="AG118" s="294">
        <f t="shared" si="927"/>
        <v>0.17687747035573123</v>
      </c>
      <c r="AH118" s="294">
        <f t="shared" si="927"/>
        <v>0.14765694076038904</v>
      </c>
      <c r="AI118" s="294">
        <f t="shared" si="927"/>
        <v>0.19210526315789472</v>
      </c>
      <c r="AJ118" s="294">
        <f t="shared" si="927"/>
        <v>0.18349429323968394</v>
      </c>
      <c r="AK118" s="294">
        <f t="shared" si="927"/>
        <v>0.19094576423128642</v>
      </c>
      <c r="AL118" s="294">
        <f t="shared" si="927"/>
        <v>0.15864759427828348</v>
      </c>
      <c r="AM118" s="294">
        <f t="shared" si="927"/>
        <v>0.19745222929936307</v>
      </c>
      <c r="AN118" s="294">
        <f t="shared" si="927"/>
        <v>0.19724770642201836</v>
      </c>
      <c r="BC118" s="294">
        <f>+BC117/BC116</f>
        <v>0.20844397238449283</v>
      </c>
      <c r="DS118" s="294">
        <f t="shared" ref="DS118:EI118" si="928">DS117/DS116</f>
        <v>0.10481171548117155</v>
      </c>
      <c r="DT118" s="294">
        <f t="shared" si="928"/>
        <v>0.1080016583747927</v>
      </c>
      <c r="DU118" s="294">
        <f t="shared" si="928"/>
        <v>8.4364882879451528E-2</v>
      </c>
      <c r="DV118" s="294">
        <f t="shared" si="928"/>
        <v>5.110615674841365E-2</v>
      </c>
      <c r="DW118" s="294">
        <f t="shared" si="928"/>
        <v>5.6725329981143935E-2</v>
      </c>
      <c r="DX118" s="294">
        <f t="shared" si="928"/>
        <v>8.5872576177285317E-2</v>
      </c>
      <c r="DY118" s="294">
        <f t="shared" si="928"/>
        <v>0.10082745939319644</v>
      </c>
      <c r="DZ118" s="294">
        <f t="shared" si="928"/>
        <v>9.9504662004662001E-2</v>
      </c>
      <c r="EA118" s="294">
        <f t="shared" si="928"/>
        <v>0.12557937427578217</v>
      </c>
      <c r="EB118" s="294">
        <f t="shared" si="928"/>
        <v>0.14421143349612181</v>
      </c>
      <c r="EC118" s="294">
        <f t="shared" si="928"/>
        <v>0.18723339427178551</v>
      </c>
      <c r="ED118" s="294">
        <f t="shared" si="928"/>
        <v>0.18745794644058672</v>
      </c>
      <c r="EE118" s="294">
        <f t="shared" si="928"/>
        <v>0.18168726749069963</v>
      </c>
      <c r="EF118" s="294">
        <f t="shared" si="928"/>
        <v>0.18326737027264731</v>
      </c>
      <c r="EG118" s="294">
        <f t="shared" si="928"/>
        <v>0</v>
      </c>
      <c r="EH118" s="294">
        <f t="shared" si="928"/>
        <v>0</v>
      </c>
      <c r="EI118" s="294">
        <f t="shared" si="928"/>
        <v>0</v>
      </c>
    </row>
    <row r="119" spans="2:151" ht="12.75" customHeight="1" x14ac:dyDescent="0.2">
      <c r="B119" t="s">
        <v>359</v>
      </c>
      <c r="Z119" s="294">
        <f t="shared" ref="Z119:BJ119" si="929">Z116/Z61</f>
        <v>0.17547591194299691</v>
      </c>
      <c r="AA119" s="294">
        <f t="shared" si="929"/>
        <v>0.18234575442883322</v>
      </c>
      <c r="AB119" s="294">
        <f t="shared" si="929"/>
        <v>0.17605497483546265</v>
      </c>
      <c r="AC119" s="294">
        <f t="shared" si="929"/>
        <v>0.17610484025253492</v>
      </c>
      <c r="AD119" s="294">
        <f t="shared" si="929"/>
        <v>0.17376415839845466</v>
      </c>
      <c r="AE119" s="294">
        <f t="shared" si="929"/>
        <v>0.17081108144192256</v>
      </c>
      <c r="AF119" s="294">
        <f t="shared" si="929"/>
        <v>0.16818028927009754</v>
      </c>
      <c r="AG119" s="294">
        <f t="shared" si="929"/>
        <v>0.17519259066909029</v>
      </c>
      <c r="AH119" s="294">
        <f t="shared" si="929"/>
        <v>0.17738393977415307</v>
      </c>
      <c r="AI119" s="294">
        <f t="shared" si="929"/>
        <v>0.17768079800498754</v>
      </c>
      <c r="AJ119" s="294">
        <f t="shared" si="929"/>
        <v>0.17849866792038865</v>
      </c>
      <c r="AK119" s="294">
        <f t="shared" si="929"/>
        <v>0.18123476848090983</v>
      </c>
      <c r="AL119" s="294">
        <f t="shared" si="929"/>
        <v>0.18295003965107057</v>
      </c>
      <c r="AM119" s="294">
        <f t="shared" si="929"/>
        <v>0.18126539408866996</v>
      </c>
      <c r="AN119" s="294">
        <f t="shared" si="929"/>
        <v>0.17945072214323132</v>
      </c>
      <c r="AO119" s="294">
        <f t="shared" si="929"/>
        <v>0.18484232708662601</v>
      </c>
      <c r="AP119" s="294">
        <f t="shared" si="929"/>
        <v>0.1874725917263558</v>
      </c>
      <c r="AQ119" s="294">
        <f t="shared" si="929"/>
        <v>0.23172267515079206</v>
      </c>
      <c r="AR119" s="294">
        <f t="shared" si="929"/>
        <v>0.23537181349887729</v>
      </c>
      <c r="AS119" s="294">
        <f t="shared" si="929"/>
        <v>0.24142067035383488</v>
      </c>
      <c r="AT119" s="294">
        <f t="shared" si="929"/>
        <v>0.23876668546719307</v>
      </c>
      <c r="AU119" s="294">
        <f t="shared" si="929"/>
        <v>0.25095714462146473</v>
      </c>
      <c r="AV119" s="294">
        <f t="shared" si="929"/>
        <v>0.24534954407294832</v>
      </c>
      <c r="AW119" s="294">
        <f t="shared" si="929"/>
        <v>0.25745870234281765</v>
      </c>
      <c r="AX119" s="294">
        <f t="shared" si="929"/>
        <v>0.25391911474114082</v>
      </c>
      <c r="AY119" s="294">
        <f t="shared" si="929"/>
        <v>0.24697191534673232</v>
      </c>
      <c r="AZ119" s="294">
        <f t="shared" si="929"/>
        <v>0.25290373384080322</v>
      </c>
      <c r="BA119" s="294">
        <f t="shared" si="929"/>
        <v>0.264505006299317</v>
      </c>
      <c r="BB119" s="294">
        <f t="shared" si="929"/>
        <v>0.25672164823877713</v>
      </c>
      <c r="BC119" s="294">
        <f t="shared" si="929"/>
        <v>0.24093148231079264</v>
      </c>
      <c r="BD119" s="294">
        <f t="shared" si="929"/>
        <v>0.23698745857430631</v>
      </c>
      <c r="BE119" s="294">
        <f t="shared" si="929"/>
        <v>0.2380857028434121</v>
      </c>
      <c r="BF119" s="294">
        <f t="shared" si="929"/>
        <v>0.23075939657376629</v>
      </c>
      <c r="BG119" s="294">
        <f t="shared" si="929"/>
        <v>0.2170222798538253</v>
      </c>
      <c r="BH119" s="294">
        <f t="shared" si="929"/>
        <v>0.22853527745978189</v>
      </c>
      <c r="BI119" s="294">
        <f t="shared" si="929"/>
        <v>0.23367697594501718</v>
      </c>
      <c r="BJ119" s="294">
        <f t="shared" si="929"/>
        <v>0.19488868816747251</v>
      </c>
      <c r="BK119" s="294"/>
      <c r="BL119" s="294"/>
      <c r="BM119" s="294"/>
      <c r="BN119" s="294"/>
      <c r="BO119" s="294"/>
      <c r="BP119" s="294"/>
      <c r="BQ119" s="294"/>
      <c r="BR119" s="294"/>
      <c r="BS119" s="294"/>
      <c r="BT119" s="294"/>
      <c r="BU119" s="294"/>
      <c r="BV119" s="294"/>
      <c r="BW119" s="294"/>
      <c r="BX119" s="294"/>
      <c r="BY119" s="294"/>
      <c r="BZ119" s="294"/>
      <c r="CA119" s="294"/>
      <c r="CB119" s="294"/>
      <c r="CC119" s="294"/>
      <c r="CD119" s="294"/>
      <c r="CE119" s="294"/>
      <c r="CF119" s="294"/>
      <c r="CG119" s="294"/>
      <c r="CH119" s="294"/>
      <c r="CI119" s="294"/>
      <c r="CJ119" s="294"/>
      <c r="CK119" s="294"/>
      <c r="CL119" s="294"/>
      <c r="CM119" s="294"/>
      <c r="CN119" s="294"/>
      <c r="CO119" s="294"/>
      <c r="CP119" s="294"/>
      <c r="CQ119" s="294"/>
      <c r="CR119" s="294"/>
      <c r="CS119" s="294"/>
      <c r="CT119" s="294"/>
      <c r="CU119" s="294"/>
      <c r="CV119" s="294"/>
      <c r="CW119" s="294"/>
      <c r="CX119" s="294"/>
      <c r="CY119" s="294"/>
      <c r="CZ119" s="294"/>
      <c r="DA119" s="294"/>
      <c r="DB119" s="294"/>
      <c r="DC119" s="294"/>
      <c r="DD119" s="294"/>
      <c r="DE119" s="294"/>
      <c r="DF119" s="294"/>
      <c r="DG119" s="294"/>
      <c r="DH119" s="294"/>
      <c r="DI119" s="294"/>
      <c r="DJ119" s="294"/>
      <c r="DK119" s="294"/>
      <c r="DL119" s="294"/>
      <c r="DM119" s="294"/>
      <c r="DN119" s="294"/>
      <c r="DS119" s="294">
        <f t="shared" ref="DS119:EP119" si="930">DS116/DS61</f>
        <v>0.34756053224750966</v>
      </c>
      <c r="DT119" s="294">
        <f t="shared" si="930"/>
        <v>0.34120809166784555</v>
      </c>
      <c r="DU119" s="294">
        <f t="shared" si="930"/>
        <v>0.33373585865005723</v>
      </c>
      <c r="DV119" s="294">
        <f t="shared" si="930"/>
        <v>0.30946820931960511</v>
      </c>
      <c r="DW119" s="294">
        <f t="shared" si="930"/>
        <v>0.29435707678075856</v>
      </c>
      <c r="DX119" s="294">
        <f t="shared" si="930"/>
        <v>0.2871536523929471</v>
      </c>
      <c r="DY119" s="294">
        <f t="shared" si="930"/>
        <v>0.27585915373885106</v>
      </c>
      <c r="DZ119" s="294">
        <f t="shared" si="930"/>
        <v>0.249863492410178</v>
      </c>
      <c r="EA119" s="294">
        <f t="shared" si="930"/>
        <v>0.23693331960602629</v>
      </c>
      <c r="EB119" s="294">
        <f t="shared" si="930"/>
        <v>0.21094412798448672</v>
      </c>
      <c r="EC119" s="294">
        <f t="shared" si="930"/>
        <v>0.17782883026882929</v>
      </c>
      <c r="ED119" s="294">
        <f t="shared" si="930"/>
        <v>0.17540256907759633</v>
      </c>
      <c r="EE119" s="294">
        <f t="shared" si="930"/>
        <v>0.17318203545524452</v>
      </c>
      <c r="EF119" s="294">
        <f t="shared" si="930"/>
        <v>0.18376500060608508</v>
      </c>
      <c r="EG119" s="294">
        <f t="shared" si="930"/>
        <v>0.1832945765508964</v>
      </c>
      <c r="EH119" s="294">
        <f t="shared" si="930"/>
        <v>0.2372207218266634</v>
      </c>
      <c r="EI119" s="294">
        <f t="shared" si="930"/>
        <v>0.25183930224167411</v>
      </c>
      <c r="EJ119" s="294">
        <f t="shared" si="930"/>
        <v>0.25531124287122153</v>
      </c>
      <c r="EK119" s="294">
        <f t="shared" si="930"/>
        <v>0.23740948661622324</v>
      </c>
      <c r="EL119" s="294">
        <f t="shared" si="930"/>
        <v>0.22886360141473167</v>
      </c>
      <c r="EM119" s="294">
        <f t="shared" si="930"/>
        <v>0.21324929517174193</v>
      </c>
      <c r="EN119" s="294">
        <f t="shared" si="930"/>
        <v>0.20609434597262732</v>
      </c>
      <c r="EO119" s="294">
        <f t="shared" si="930"/>
        <v>0.19922196673175194</v>
      </c>
      <c r="EP119" s="294">
        <f t="shared" si="930"/>
        <v>0.20100402568769568</v>
      </c>
      <c r="EQ119" s="294"/>
      <c r="ER119" s="294"/>
      <c r="ES119" s="294"/>
      <c r="ET119" s="294"/>
      <c r="EU119" s="294"/>
    </row>
    <row r="120" spans="2:151" ht="12.75" customHeight="1" x14ac:dyDescent="0.2">
      <c r="B120" t="s">
        <v>360</v>
      </c>
      <c r="AI120" s="294"/>
      <c r="AM120" s="294"/>
      <c r="AO120" s="288">
        <f t="shared" ref="AO120:BB120" si="931">AO116/AK116-1</f>
        <v>0.10085163603765124</v>
      </c>
      <c r="AP120" s="288">
        <f t="shared" si="931"/>
        <v>0.1118335500650196</v>
      </c>
      <c r="AQ120" s="288">
        <f t="shared" si="931"/>
        <v>0.48450106157112516</v>
      </c>
      <c r="AR120" s="288">
        <f t="shared" si="931"/>
        <v>0.48623853211009171</v>
      </c>
      <c r="AS120" s="288">
        <f t="shared" si="931"/>
        <v>0.47516286644951133</v>
      </c>
      <c r="AT120" s="288">
        <f t="shared" si="931"/>
        <v>0.48538011695906436</v>
      </c>
      <c r="AU120" s="288">
        <f t="shared" si="931"/>
        <v>0.1624713958810069</v>
      </c>
      <c r="AV120" s="288">
        <f t="shared" si="931"/>
        <v>0.13243546576879917</v>
      </c>
      <c r="AW120" s="288">
        <f t="shared" si="931"/>
        <v>0.13138283190725919</v>
      </c>
      <c r="AX120" s="288">
        <f t="shared" si="931"/>
        <v>1.1811023622047223E-2</v>
      </c>
      <c r="AY120" s="288">
        <f t="shared" si="931"/>
        <v>-8.6860236220472453E-2</v>
      </c>
      <c r="AZ120" s="288">
        <f>AZ116/AV116-1</f>
        <v>-4.5094152626362738E-2</v>
      </c>
      <c r="BA120" s="288">
        <f t="shared" si="931"/>
        <v>-2.6835813613076409E-2</v>
      </c>
      <c r="BB120" s="288">
        <f t="shared" si="931"/>
        <v>0.10220492866407271</v>
      </c>
      <c r="BC120" s="288">
        <f>BC116/AY116-1</f>
        <v>1.4820803018054329E-2</v>
      </c>
      <c r="BD120" s="288">
        <f>BD116/AZ116-1</f>
        <v>-5.3710430721328528E-2</v>
      </c>
      <c r="BE120" s="288">
        <f>BE116/BA116-1</f>
        <v>-0.10579092504387066</v>
      </c>
      <c r="BF120" s="288">
        <f>BF116/BB116-1</f>
        <v>-0.15038832666509772</v>
      </c>
      <c r="BG120" s="288">
        <f>BG116/BC116-1</f>
        <v>-2.2304832713754608E-2</v>
      </c>
      <c r="BH120" s="288">
        <f t="shared" ref="BH120:BI120" si="932">BH116/BD116-1</f>
        <v>4.0032903756512139E-2</v>
      </c>
      <c r="BI120" s="288">
        <f t="shared" si="932"/>
        <v>4.8500140173815431E-2</v>
      </c>
      <c r="BJ120" s="288">
        <f t="shared" ref="BJ120" si="933">BJ116/BF116-1</f>
        <v>1.6066481994459814E-2</v>
      </c>
      <c r="BK120" s="288"/>
      <c r="BL120" s="288"/>
      <c r="BM120" s="288"/>
      <c r="BN120" s="288"/>
      <c r="BO120" s="288"/>
      <c r="BP120" s="288"/>
      <c r="BQ120" s="288"/>
      <c r="BR120" s="288"/>
      <c r="BS120" s="288"/>
      <c r="BT120" s="288"/>
      <c r="BU120" s="288"/>
      <c r="BV120" s="288"/>
      <c r="BW120" s="288"/>
      <c r="BX120" s="288"/>
      <c r="BY120" s="288"/>
      <c r="BZ120" s="288"/>
      <c r="CA120" s="288"/>
      <c r="CB120" s="288"/>
      <c r="CC120" s="288"/>
      <c r="CD120" s="288"/>
      <c r="CE120" s="288"/>
      <c r="CF120" s="288"/>
      <c r="CG120" s="288"/>
      <c r="CH120" s="288"/>
      <c r="CI120" s="288"/>
      <c r="CJ120" s="288"/>
      <c r="CK120" s="288"/>
      <c r="CL120" s="288"/>
      <c r="CM120" s="288"/>
      <c r="CN120" s="288"/>
      <c r="CO120" s="288"/>
      <c r="CP120" s="288"/>
      <c r="CQ120" s="288"/>
      <c r="CR120" s="288"/>
      <c r="CS120" s="288"/>
      <c r="CT120" s="288"/>
      <c r="CU120" s="288"/>
      <c r="CV120" s="288"/>
      <c r="CW120" s="288"/>
      <c r="CX120" s="288"/>
      <c r="CY120" s="288"/>
      <c r="CZ120" s="288"/>
      <c r="DA120" s="288"/>
      <c r="DB120" s="288"/>
      <c r="DC120" s="288"/>
      <c r="DD120" s="288"/>
      <c r="DE120" s="288"/>
      <c r="DF120" s="288"/>
      <c r="DG120" s="288"/>
      <c r="DH120" s="288"/>
      <c r="DI120" s="288"/>
      <c r="DJ120" s="288"/>
      <c r="DK120" s="288"/>
      <c r="DL120" s="288"/>
      <c r="DM120" s="288"/>
      <c r="DN120" s="288"/>
      <c r="EG120" s="288">
        <f>EG116/EF116-1</f>
        <v>7.4538258575197913E-2</v>
      </c>
      <c r="EH120" s="288">
        <f>EH116/EG116-1</f>
        <v>0.48281154082259059</v>
      </c>
      <c r="EI120" s="288">
        <f>EI116/EH116-1</f>
        <v>0.10770716897812727</v>
      </c>
      <c r="EJ120" s="288">
        <f>EJ116/EI116-1</f>
        <v>-1.5634732776877991E-2</v>
      </c>
    </row>
    <row r="121" spans="2:151" ht="12.75" customHeight="1" x14ac:dyDescent="0.2">
      <c r="B121" t="s">
        <v>361</v>
      </c>
      <c r="AI121" s="294"/>
      <c r="AM121" s="294"/>
      <c r="AO121" s="288">
        <v>8.1000000000000003E-2</v>
      </c>
      <c r="AY121" s="288">
        <v>-0.01</v>
      </c>
      <c r="AZ121" s="288">
        <f>AZ120-AZ122</f>
        <v>3.090584737363726E-2</v>
      </c>
      <c r="BA121" s="288">
        <f>BA120-BA122</f>
        <v>1.116418638692359E-2</v>
      </c>
      <c r="BB121" s="288"/>
      <c r="BC121" s="288"/>
      <c r="BD121" s="288">
        <f>BD120-BD122</f>
        <v>-6.4710430721328524E-2</v>
      </c>
      <c r="BE121" s="288"/>
      <c r="BF121" s="288"/>
      <c r="BG121" s="288">
        <v>-4.1000000000000002E-2</v>
      </c>
      <c r="BH121" s="288"/>
      <c r="BI121" s="288">
        <v>5.0000000000000001E-3</v>
      </c>
      <c r="BJ121" s="288"/>
      <c r="BK121" s="288"/>
      <c r="BL121" s="288"/>
      <c r="BM121" s="288"/>
      <c r="BN121" s="288"/>
      <c r="BO121" s="288"/>
      <c r="BP121" s="288"/>
      <c r="BQ121" s="288"/>
      <c r="BR121" s="288"/>
      <c r="BS121" s="288"/>
      <c r="BT121" s="288"/>
      <c r="BU121" s="288"/>
      <c r="BV121" s="288"/>
      <c r="BW121" s="288"/>
      <c r="BX121" s="288"/>
      <c r="BY121" s="288"/>
      <c r="BZ121" s="288"/>
      <c r="CA121" s="288"/>
      <c r="CB121" s="288"/>
      <c r="CC121" s="288"/>
      <c r="CD121" s="288"/>
      <c r="CE121" s="288"/>
      <c r="CF121" s="288"/>
      <c r="CG121" s="288"/>
      <c r="CH121" s="288"/>
      <c r="CI121" s="288"/>
      <c r="CJ121" s="288"/>
      <c r="CK121" s="288"/>
      <c r="CL121" s="288"/>
      <c r="CM121" s="288"/>
      <c r="CN121" s="288"/>
      <c r="CO121" s="288"/>
      <c r="CP121" s="288"/>
      <c r="CQ121" s="288"/>
      <c r="CR121" s="288"/>
      <c r="CS121" s="288"/>
      <c r="CT121" s="288"/>
      <c r="CU121" s="288"/>
      <c r="CV121" s="288"/>
      <c r="CW121" s="288"/>
      <c r="CX121" s="288"/>
      <c r="CY121" s="288"/>
      <c r="CZ121" s="288"/>
      <c r="DA121" s="288"/>
      <c r="DB121" s="288"/>
      <c r="DC121" s="288"/>
      <c r="DD121" s="288"/>
      <c r="DE121" s="288"/>
      <c r="DF121" s="288"/>
      <c r="DG121" s="288"/>
      <c r="DH121" s="288"/>
      <c r="DI121" s="288"/>
      <c r="DJ121" s="288"/>
      <c r="DK121" s="288"/>
      <c r="DL121" s="288"/>
      <c r="DM121" s="288"/>
      <c r="DN121" s="288"/>
      <c r="EG121" s="288">
        <v>6.4000000000000001E-2</v>
      </c>
      <c r="EJ121" s="288">
        <v>0.02</v>
      </c>
    </row>
    <row r="122" spans="2:151" ht="12.75" customHeight="1" x14ac:dyDescent="0.2">
      <c r="B122" t="s">
        <v>1194</v>
      </c>
      <c r="AI122" s="294"/>
      <c r="AM122" s="294"/>
      <c r="AO122" s="288"/>
      <c r="AY122" s="288"/>
      <c r="AZ122" s="288">
        <v>-7.5999999999999998E-2</v>
      </c>
      <c r="BA122" s="288">
        <v>-3.7999999999999999E-2</v>
      </c>
      <c r="BB122" s="288"/>
      <c r="BC122" s="288"/>
      <c r="BD122" s="288">
        <v>1.0999999999999999E-2</v>
      </c>
      <c r="BE122" s="288"/>
      <c r="BF122" s="288"/>
      <c r="BG122" s="288">
        <v>1.9E-2</v>
      </c>
      <c r="BH122" s="288"/>
      <c r="BI122" s="288">
        <v>4.3999999999999997E-2</v>
      </c>
      <c r="BJ122" s="288"/>
      <c r="BK122" s="288"/>
      <c r="BL122" s="288"/>
      <c r="BM122" s="288"/>
      <c r="BN122" s="288"/>
      <c r="BO122" s="288"/>
      <c r="BP122" s="288"/>
      <c r="BQ122" s="288"/>
      <c r="BR122" s="288"/>
      <c r="BS122" s="288"/>
      <c r="BT122" s="288"/>
      <c r="BU122" s="288"/>
      <c r="BV122" s="288"/>
      <c r="BW122" s="288"/>
      <c r="BX122" s="288"/>
      <c r="BY122" s="288"/>
      <c r="BZ122" s="288"/>
      <c r="CA122" s="288"/>
      <c r="CB122" s="288"/>
      <c r="CC122" s="288"/>
      <c r="CD122" s="288"/>
      <c r="CE122" s="288"/>
      <c r="CF122" s="288"/>
      <c r="CG122" s="288"/>
      <c r="CH122" s="288"/>
      <c r="CI122" s="288"/>
      <c r="CJ122" s="288"/>
      <c r="CK122" s="288"/>
      <c r="CL122" s="288"/>
      <c r="CM122" s="288"/>
      <c r="CN122" s="288"/>
      <c r="CO122" s="288"/>
      <c r="CP122" s="288"/>
      <c r="CQ122" s="288"/>
      <c r="CR122" s="288"/>
      <c r="CS122" s="288"/>
      <c r="CT122" s="288"/>
      <c r="CU122" s="288"/>
      <c r="CV122" s="288"/>
      <c r="CW122" s="288"/>
      <c r="CX122" s="288"/>
      <c r="CY122" s="288"/>
      <c r="CZ122" s="288"/>
      <c r="DA122" s="288"/>
      <c r="DB122" s="288"/>
      <c r="DC122" s="288"/>
      <c r="DD122" s="288"/>
      <c r="DE122" s="288"/>
      <c r="DF122" s="288"/>
      <c r="DG122" s="288"/>
      <c r="DH122" s="288"/>
      <c r="DI122" s="288"/>
      <c r="DJ122" s="288"/>
      <c r="DK122" s="288"/>
      <c r="DL122" s="288"/>
      <c r="DM122" s="288"/>
      <c r="DN122" s="288"/>
      <c r="EG122" s="288">
        <f>EG120-EG121</f>
        <v>1.0538258575197912E-2</v>
      </c>
      <c r="EJ122" s="288">
        <f>EJ120-EJ121</f>
        <v>-3.5634732776877995E-2</v>
      </c>
    </row>
    <row r="123" spans="2:151" ht="12.75" customHeight="1" x14ac:dyDescent="0.2">
      <c r="AI123" s="294"/>
      <c r="AM123" s="294"/>
      <c r="AO123" s="288"/>
      <c r="AY123" s="288"/>
      <c r="AZ123" s="288"/>
      <c r="BA123" s="288"/>
      <c r="BB123" s="288"/>
      <c r="BC123" s="288"/>
      <c r="BD123" s="288"/>
      <c r="BE123" s="288"/>
      <c r="BF123" s="288"/>
      <c r="BG123" s="288"/>
      <c r="BH123" s="288"/>
      <c r="BI123" s="288"/>
      <c r="BJ123" s="288"/>
      <c r="BK123" s="288"/>
      <c r="BL123" s="288"/>
      <c r="BM123" s="288"/>
      <c r="BN123" s="288"/>
      <c r="BO123" s="288"/>
      <c r="BP123" s="288"/>
      <c r="BQ123" s="288"/>
      <c r="BR123" s="288"/>
      <c r="BS123" s="288"/>
      <c r="BT123" s="288"/>
      <c r="BU123" s="288"/>
      <c r="BV123" s="288"/>
      <c r="BW123" s="288"/>
      <c r="BX123" s="288"/>
      <c r="BY123" s="288"/>
      <c r="BZ123" s="288"/>
      <c r="CA123" s="288"/>
      <c r="CB123" s="288"/>
      <c r="CC123" s="288"/>
      <c r="CD123" s="288"/>
      <c r="CE123" s="288"/>
      <c r="CF123" s="288"/>
      <c r="CG123" s="288"/>
      <c r="CH123" s="288"/>
      <c r="CI123" s="288"/>
      <c r="CJ123" s="288"/>
      <c r="CK123" s="288"/>
      <c r="CL123" s="288"/>
      <c r="CM123" s="288"/>
      <c r="CN123" s="288"/>
      <c r="CO123" s="288"/>
      <c r="CP123" s="288"/>
      <c r="CQ123" s="288"/>
      <c r="CR123" s="288"/>
      <c r="CS123" s="288"/>
      <c r="CT123" s="288"/>
      <c r="CU123" s="288"/>
      <c r="CV123" s="288"/>
      <c r="CW123" s="288"/>
      <c r="CX123" s="288"/>
      <c r="CY123" s="288"/>
      <c r="CZ123" s="288"/>
      <c r="DA123" s="288"/>
      <c r="DB123" s="288"/>
      <c r="DC123" s="288"/>
      <c r="DD123" s="288"/>
      <c r="DE123" s="288"/>
      <c r="DF123" s="288"/>
      <c r="DG123" s="288"/>
      <c r="DH123" s="288"/>
      <c r="DI123" s="288"/>
      <c r="DJ123" s="288"/>
      <c r="DK123" s="288"/>
      <c r="DL123" s="288"/>
      <c r="DM123" s="288"/>
      <c r="DN123" s="288"/>
      <c r="EG123" s="288"/>
      <c r="EJ123" s="288"/>
    </row>
    <row r="124" spans="2:151" s="1" customFormat="1" ht="12.75" customHeight="1" x14ac:dyDescent="0.2">
      <c r="B124" s="1" t="s">
        <v>636</v>
      </c>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289">
        <v>0.108</v>
      </c>
      <c r="AS124" s="289">
        <v>9.7000000000000003E-2</v>
      </c>
      <c r="AT124" s="289">
        <v>0.11899999999999999</v>
      </c>
      <c r="AU124" s="289">
        <v>2.5999999999999999E-2</v>
      </c>
      <c r="AV124" s="289">
        <f>AV77-AV126</f>
        <v>3.038224805177641E-2</v>
      </c>
      <c r="AW124" s="289">
        <f>AW77-AW126</f>
        <v>2.9904911041513854E-2</v>
      </c>
      <c r="AX124" s="289">
        <v>-0.01</v>
      </c>
      <c r="AY124" s="289">
        <v>-1.2E-2</v>
      </c>
      <c r="AZ124" s="289">
        <f>AZ127-AZ126</f>
        <v>-1.3617021276595753E-2</v>
      </c>
      <c r="BA124" s="289">
        <f>BA127-BA126</f>
        <v>-2.7760504993404898E-2</v>
      </c>
      <c r="BB124" s="289">
        <f>BB127-BB126</f>
        <v>4.5172572783559392E-2</v>
      </c>
      <c r="BC124" s="289">
        <v>-1E-3</v>
      </c>
      <c r="BD124" s="289">
        <v>1E-3</v>
      </c>
      <c r="BE124" s="289">
        <v>1E-3</v>
      </c>
      <c r="BF124" s="166"/>
      <c r="BG124" s="289">
        <v>1.7999999999999999E-2</v>
      </c>
      <c r="BH124" s="166"/>
      <c r="BI124" s="289">
        <v>2.5999999999999999E-2</v>
      </c>
      <c r="BJ124" s="289">
        <v>0.04</v>
      </c>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c r="CS124" s="166"/>
      <c r="CT124" s="166"/>
      <c r="CU124" s="166"/>
      <c r="CV124" s="166"/>
      <c r="CW124" s="166"/>
      <c r="CX124" s="166"/>
      <c r="CY124" s="166"/>
      <c r="CZ124" s="166"/>
      <c r="DA124" s="166"/>
      <c r="DB124" s="166"/>
      <c r="DC124" s="166"/>
      <c r="DD124" s="166"/>
      <c r="DE124" s="166"/>
      <c r="DF124" s="166"/>
      <c r="DG124" s="166"/>
      <c r="DH124" s="166"/>
      <c r="DI124" s="166"/>
      <c r="DJ124" s="166"/>
      <c r="DK124" s="166"/>
      <c r="DL124" s="166"/>
      <c r="DM124" s="166"/>
      <c r="DN124" s="166"/>
      <c r="DP124" s="166"/>
      <c r="DQ124" s="166"/>
      <c r="DR124" s="166"/>
      <c r="DS124" s="166"/>
      <c r="DT124" s="166"/>
      <c r="DU124" s="166"/>
      <c r="DV124" s="166"/>
      <c r="DW124" s="166"/>
      <c r="DX124" s="166"/>
      <c r="DY124" s="166"/>
      <c r="DZ124" s="166"/>
      <c r="EA124" s="166"/>
      <c r="EB124" s="289">
        <v>0.122</v>
      </c>
      <c r="EC124" s="289">
        <v>0.104</v>
      </c>
      <c r="ED124" s="289">
        <v>9.4E-2</v>
      </c>
      <c r="EE124" s="289">
        <v>8.6999999999999994E-2</v>
      </c>
      <c r="EF124" s="289">
        <v>5.3999999999999999E-2</v>
      </c>
      <c r="EG124" s="166"/>
      <c r="EH124" s="223">
        <v>0.10100000000000001</v>
      </c>
      <c r="EI124" s="223">
        <v>1.0999999999999999E-2</v>
      </c>
      <c r="EJ124" s="223">
        <v>-2E-3</v>
      </c>
      <c r="EK124" s="166"/>
      <c r="EL124" s="289">
        <v>2.8000000000000001E-2</v>
      </c>
      <c r="EM124" s="166"/>
      <c r="EN124" s="166"/>
      <c r="EO124" s="166"/>
      <c r="EP124" s="166"/>
      <c r="EQ124" s="166"/>
      <c r="ER124" s="166"/>
      <c r="ES124" s="166"/>
      <c r="ET124" s="166"/>
      <c r="EU124" s="166"/>
    </row>
    <row r="125" spans="2:151" ht="12.75" customHeight="1" x14ac:dyDescent="0.2">
      <c r="B125" t="s">
        <v>156</v>
      </c>
      <c r="AE125" s="288"/>
      <c r="EB125" s="288">
        <v>1.2E-2</v>
      </c>
      <c r="EC125" s="288">
        <v>1.7000000000000001E-2</v>
      </c>
      <c r="ED125" s="288">
        <v>1.2999999999999999E-2</v>
      </c>
      <c r="EE125" s="288">
        <v>0.01</v>
      </c>
      <c r="EF125" s="288">
        <v>6.0000000000000001E-3</v>
      </c>
      <c r="EH125" s="81">
        <v>1.4E-2</v>
      </c>
      <c r="EI125" s="81">
        <v>8.0000000000000002E-3</v>
      </c>
      <c r="EJ125" s="81">
        <v>-1E-3</v>
      </c>
      <c r="EL125" s="288">
        <v>0</v>
      </c>
    </row>
    <row r="126" spans="2:151" ht="12.75" customHeight="1" x14ac:dyDescent="0.2">
      <c r="B126" t="s">
        <v>363</v>
      </c>
      <c r="AE126" s="288">
        <v>5.3999999999999999E-2</v>
      </c>
      <c r="AF126" s="288">
        <v>2.5999999999999999E-2</v>
      </c>
      <c r="AG126" s="288">
        <v>2.8000000000000001E-2</v>
      </c>
      <c r="AH126" s="288">
        <v>2.9000000000000001E-2</v>
      </c>
      <c r="AI126" s="288">
        <v>2.1999999999999999E-2</v>
      </c>
      <c r="AJ126" s="288">
        <v>0.02</v>
      </c>
      <c r="AK126" s="288">
        <v>8.0000000000000002E-3</v>
      </c>
      <c r="AL126" s="288">
        <v>-1.7999999999999999E-2</v>
      </c>
      <c r="AM126" s="288">
        <v>-2.3E-2</v>
      </c>
      <c r="AO126" s="288">
        <v>1.2E-2</v>
      </c>
      <c r="AR126" s="288">
        <v>2.4E-2</v>
      </c>
      <c r="AS126" s="288">
        <v>0.03</v>
      </c>
      <c r="AT126" s="288">
        <v>4.7E-2</v>
      </c>
      <c r="AU126" s="288">
        <v>5.0999999999999997E-2</v>
      </c>
      <c r="AV126" s="288">
        <v>5.6000000000000001E-2</v>
      </c>
      <c r="AW126" s="288">
        <v>3.1E-2</v>
      </c>
      <c r="AX126" s="288">
        <v>-3.9E-2</v>
      </c>
      <c r="AY126" s="288">
        <v>-0.06</v>
      </c>
      <c r="AZ126" s="288">
        <v>-0.06</v>
      </c>
      <c r="BA126" s="288">
        <v>-2.5000000000000001E-2</v>
      </c>
      <c r="BB126" s="288">
        <v>4.4999999999999998E-2</v>
      </c>
      <c r="BC126" s="288">
        <v>4.1000000000000002E-2</v>
      </c>
      <c r="BD126" s="288">
        <v>5.0000000000000001E-3</v>
      </c>
      <c r="BE126" s="288">
        <v>-8.0000000000000002E-3</v>
      </c>
      <c r="BG126" s="288">
        <v>1.7000000000000001E-2</v>
      </c>
      <c r="BI126" s="288">
        <v>4.2000000000000003E-2</v>
      </c>
      <c r="BJ126" s="288">
        <v>-1E-3</v>
      </c>
      <c r="DX126" s="288">
        <v>-0.04</v>
      </c>
      <c r="DY126" s="288">
        <v>-2.7558829638206016E-2</v>
      </c>
      <c r="DZ126" s="288">
        <v>-1.8336618644173741E-2</v>
      </c>
      <c r="EB126" s="288">
        <v>-2.5999999999999999E-2</v>
      </c>
      <c r="EC126" s="288">
        <v>2E-3</v>
      </c>
      <c r="ED126" s="288">
        <v>4.5999999999999999E-2</v>
      </c>
      <c r="EE126" s="288">
        <v>3.4000000000000002E-2</v>
      </c>
      <c r="EF126" s="288">
        <v>7.0000000000000001E-3</v>
      </c>
      <c r="EH126" s="288">
        <v>3.1E-2</v>
      </c>
      <c r="EI126" s="288">
        <v>2.4E-2</v>
      </c>
      <c r="EJ126" s="288">
        <v>-2.5999999999999999E-2</v>
      </c>
      <c r="EL126" s="288">
        <v>2.8000000000000001E-2</v>
      </c>
    </row>
    <row r="127" spans="2:151" ht="12.75" customHeight="1" x14ac:dyDescent="0.2">
      <c r="B127" t="s">
        <v>364</v>
      </c>
      <c r="AE127" s="288">
        <f t="shared" ref="AE127:AO127" si="934">AE77</f>
        <v>0.22011810221950734</v>
      </c>
      <c r="AF127" s="288">
        <f t="shared" si="934"/>
        <v>0.15098722415795596</v>
      </c>
      <c r="AG127" s="288">
        <f t="shared" si="934"/>
        <v>0.1051272240290797</v>
      </c>
      <c r="AH127" s="288">
        <f t="shared" si="934"/>
        <v>0.11967688120115905</v>
      </c>
      <c r="AI127" s="288">
        <f t="shared" si="934"/>
        <v>7.0761014686248291E-2</v>
      </c>
      <c r="AJ127" s="288">
        <f t="shared" si="934"/>
        <v>7.3158425832492435E-2</v>
      </c>
      <c r="AK127" s="288">
        <f t="shared" si="934"/>
        <v>6.552410629273786E-2</v>
      </c>
      <c r="AL127" s="288">
        <f t="shared" si="934"/>
        <v>-1.1135508155583396E-2</v>
      </c>
      <c r="AM127" s="288">
        <f t="shared" si="934"/>
        <v>1.2468827930174564E-2</v>
      </c>
      <c r="AN127" s="288">
        <f t="shared" si="934"/>
        <v>4.7092932142297483E-2</v>
      </c>
      <c r="AO127" s="288">
        <f t="shared" si="934"/>
        <v>7.9366368805848797E-2</v>
      </c>
      <c r="AR127" s="288">
        <f t="shared" ref="AR127:BE127" si="935">AR77</f>
        <v>0.13312878844570819</v>
      </c>
      <c r="AS127" s="288">
        <f t="shared" si="935"/>
        <v>0.12944983818770228</v>
      </c>
      <c r="AT127" s="288">
        <f t="shared" si="935"/>
        <v>0.16627686010817122</v>
      </c>
      <c r="AU127" s="288">
        <f t="shared" si="935"/>
        <v>7.3374428315768458E-2</v>
      </c>
      <c r="AV127" s="288">
        <f t="shared" si="935"/>
        <v>8.6382248051776411E-2</v>
      </c>
      <c r="AW127" s="288">
        <f t="shared" si="935"/>
        <v>6.0904911041513854E-2</v>
      </c>
      <c r="AX127" s="288">
        <f t="shared" si="935"/>
        <v>-4.8568026571410683E-2</v>
      </c>
      <c r="AY127" s="288">
        <f t="shared" si="935"/>
        <v>-7.2125478572310775E-2</v>
      </c>
      <c r="AZ127" s="288">
        <f t="shared" si="935"/>
        <v>-7.3617021276595751E-2</v>
      </c>
      <c r="BA127" s="288">
        <f t="shared" si="935"/>
        <v>-5.27605049934049E-2</v>
      </c>
      <c r="BB127" s="288">
        <f t="shared" si="935"/>
        <v>9.017257278355939E-2</v>
      </c>
      <c r="BC127" s="288">
        <f t="shared" si="935"/>
        <v>4.026354319180081E-2</v>
      </c>
      <c r="BD127" s="288">
        <f t="shared" si="935"/>
        <v>9.8431655620447867E-3</v>
      </c>
      <c r="BE127" s="288">
        <f t="shared" si="935"/>
        <v>-6.5645514223194867E-3</v>
      </c>
      <c r="BG127" s="288">
        <f>BG77</f>
        <v>8.5407203633804718E-2</v>
      </c>
      <c r="BI127" s="288">
        <f>BI77</f>
        <v>6.8281938325991165E-2</v>
      </c>
      <c r="BJ127" s="288">
        <f>BJ77</f>
        <v>0.20308105343901817</v>
      </c>
      <c r="EA127" s="288"/>
      <c r="EB127" s="288">
        <f>EB126+EB125+EB124</f>
        <v>0.108</v>
      </c>
      <c r="EC127" s="288">
        <f>EC126+EC125+EC124</f>
        <v>0.123</v>
      </c>
      <c r="ED127" s="288">
        <f>ED126+ED125+ED124</f>
        <v>0.153</v>
      </c>
      <c r="EE127" s="288">
        <f>EE126+EE125+EE124</f>
        <v>0.13100000000000001</v>
      </c>
      <c r="EF127" s="288">
        <f>EF126+EF125+EF124</f>
        <v>6.7000000000000004E-2</v>
      </c>
      <c r="EH127" s="288">
        <f>EH126+EH125+EH124</f>
        <v>0.14600000000000002</v>
      </c>
      <c r="EI127" s="288">
        <f>EI126+EI125+EI124</f>
        <v>4.2999999999999997E-2</v>
      </c>
      <c r="EJ127" s="288">
        <f>EJ126+EJ125+EJ124</f>
        <v>-2.8999999999999998E-2</v>
      </c>
      <c r="EL127" s="288">
        <f>EL126+EL125+EL124</f>
        <v>5.6000000000000001E-2</v>
      </c>
    </row>
    <row r="129" spans="2:153" ht="12.75" customHeight="1" x14ac:dyDescent="0.2">
      <c r="B129" t="s">
        <v>365</v>
      </c>
      <c r="K129" s="247">
        <v>3863</v>
      </c>
      <c r="L129" s="247">
        <v>4035</v>
      </c>
      <c r="M129" s="247">
        <v>4137.3999999999996</v>
      </c>
      <c r="N129" s="247">
        <v>3884.4</v>
      </c>
      <c r="O129" s="247">
        <v>4324</v>
      </c>
      <c r="P129" s="247">
        <v>4545</v>
      </c>
      <c r="Q129" s="247">
        <v>4463</v>
      </c>
      <c r="R129" s="247">
        <v>4378.5</v>
      </c>
      <c r="S129" s="247"/>
      <c r="T129" s="247"/>
      <c r="U129" s="247"/>
      <c r="V129" s="247"/>
      <c r="W129" s="247">
        <v>5521</v>
      </c>
      <c r="X129" s="247">
        <v>5599</v>
      </c>
      <c r="Y129" s="247">
        <v>5589</v>
      </c>
      <c r="Z129" s="247">
        <v>5746</v>
      </c>
      <c r="AA129" s="247">
        <v>6010.6</v>
      </c>
      <c r="AB129" s="247">
        <v>6112</v>
      </c>
      <c r="AC129" s="247">
        <v>6414.399082150001</v>
      </c>
      <c r="AD129" s="247">
        <v>6735.9594690499998</v>
      </c>
      <c r="AE129" s="247">
        <v>6918</v>
      </c>
      <c r="AF129" s="247">
        <v>6667.8836656399999</v>
      </c>
      <c r="AG129" s="247">
        <v>6790</v>
      </c>
      <c r="AH129" s="247">
        <v>7394</v>
      </c>
      <c r="AI129" s="247">
        <v>7258</v>
      </c>
      <c r="AJ129" s="247">
        <v>7064.5647360624998</v>
      </c>
      <c r="AK129" s="247">
        <v>6967</v>
      </c>
      <c r="AL129" s="247">
        <v>7087.0275146566255</v>
      </c>
      <c r="AM129" s="243">
        <v>7371</v>
      </c>
      <c r="AN129" s="243">
        <v>7375</v>
      </c>
      <c r="AO129" s="243">
        <v>7488</v>
      </c>
      <c r="AV129" s="243">
        <v>8210</v>
      </c>
      <c r="AY129" s="243">
        <v>8052</v>
      </c>
      <c r="AZ129" s="243">
        <v>7656</v>
      </c>
      <c r="BD129" s="243">
        <v>7438</v>
      </c>
      <c r="DZ129" s="247">
        <v>15919.8</v>
      </c>
      <c r="EA129" s="247">
        <v>17710.5</v>
      </c>
      <c r="EB129" s="247">
        <v>19825</v>
      </c>
      <c r="EC129" s="247">
        <v>22455</v>
      </c>
      <c r="ED129" s="247">
        <v>25273</v>
      </c>
      <c r="EE129" s="247">
        <v>27770</v>
      </c>
      <c r="EF129" s="247">
        <v>28376</v>
      </c>
    </row>
    <row r="130" spans="2:153" ht="12.75" customHeight="1" x14ac:dyDescent="0.2">
      <c r="B130" t="s">
        <v>1217</v>
      </c>
      <c r="K130" s="247"/>
      <c r="L130" s="247"/>
      <c r="M130" s="247"/>
      <c r="N130" s="247"/>
      <c r="O130" s="247"/>
      <c r="P130" s="247"/>
      <c r="Q130" s="247"/>
      <c r="R130" s="247"/>
      <c r="S130" s="247"/>
      <c r="T130" s="247"/>
      <c r="U130" s="247"/>
      <c r="V130" s="247"/>
      <c r="W130" s="247"/>
      <c r="X130" s="247"/>
      <c r="Y130" s="247"/>
      <c r="Z130" s="247"/>
      <c r="AA130" s="247"/>
      <c r="AB130" s="247"/>
      <c r="AC130" s="247"/>
      <c r="AD130" s="247"/>
      <c r="AE130" s="247"/>
      <c r="AF130" s="247"/>
      <c r="AG130" s="247"/>
      <c r="AH130" s="247"/>
      <c r="AI130" s="247"/>
      <c r="AJ130" s="247"/>
      <c r="AK130" s="247"/>
      <c r="AL130" s="247"/>
      <c r="AM130" s="243"/>
      <c r="AN130" s="243"/>
      <c r="AO130" s="243"/>
      <c r="AV130" s="243">
        <v>4547</v>
      </c>
      <c r="AY130" s="243"/>
      <c r="AZ130" s="243">
        <v>3972</v>
      </c>
      <c r="BD130" s="243">
        <v>3832</v>
      </c>
      <c r="DZ130" s="247"/>
      <c r="EA130" s="247"/>
      <c r="EB130" s="247"/>
      <c r="EC130" s="247"/>
      <c r="ED130" s="247"/>
      <c r="EE130" s="247"/>
      <c r="EF130" s="247"/>
    </row>
    <row r="131" spans="2:153" ht="12.75" customHeight="1" x14ac:dyDescent="0.2">
      <c r="B131" t="s">
        <v>1218</v>
      </c>
      <c r="K131" s="247"/>
      <c r="L131" s="247"/>
      <c r="M131" s="247"/>
      <c r="N131" s="247"/>
      <c r="O131" s="247"/>
      <c r="P131" s="247"/>
      <c r="Q131" s="247"/>
      <c r="R131" s="247"/>
      <c r="S131" s="247"/>
      <c r="T131" s="247"/>
      <c r="U131" s="247"/>
      <c r="V131" s="247"/>
      <c r="W131" s="247"/>
      <c r="X131" s="247"/>
      <c r="Y131" s="247"/>
      <c r="Z131" s="247"/>
      <c r="AA131" s="247"/>
      <c r="AB131" s="247"/>
      <c r="AC131" s="247"/>
      <c r="AD131" s="247"/>
      <c r="AE131" s="247"/>
      <c r="AF131" s="247"/>
      <c r="AG131" s="247"/>
      <c r="AH131" s="247"/>
      <c r="AI131" s="247"/>
      <c r="AJ131" s="247"/>
      <c r="AK131" s="247"/>
      <c r="AL131" s="247"/>
      <c r="AM131" s="243"/>
      <c r="AN131" s="243"/>
      <c r="AO131" s="243"/>
      <c r="AV131" s="243">
        <v>1280</v>
      </c>
      <c r="AY131" s="243"/>
      <c r="AZ131" s="243">
        <v>1215</v>
      </c>
      <c r="BD131" s="243">
        <v>1375</v>
      </c>
      <c r="DZ131" s="247"/>
      <c r="EA131" s="247"/>
      <c r="EB131" s="247"/>
      <c r="EC131" s="247"/>
      <c r="ED131" s="247"/>
      <c r="EE131" s="247"/>
      <c r="EF131" s="247"/>
    </row>
    <row r="132" spans="2:153" ht="12.75" customHeight="1" x14ac:dyDescent="0.2">
      <c r="B132" t="s">
        <v>1219</v>
      </c>
      <c r="K132" s="247"/>
      <c r="L132" s="247"/>
      <c r="M132" s="247"/>
      <c r="N132" s="247"/>
      <c r="O132" s="247"/>
      <c r="P132" s="247"/>
      <c r="Q132" s="247"/>
      <c r="R132" s="247"/>
      <c r="S132" s="247"/>
      <c r="T132" s="247"/>
      <c r="U132" s="247"/>
      <c r="V132" s="247"/>
      <c r="W132" s="247"/>
      <c r="X132" s="247"/>
      <c r="Y132" s="247"/>
      <c r="Z132" s="247"/>
      <c r="AA132" s="247"/>
      <c r="AB132" s="247"/>
      <c r="AC132" s="247"/>
      <c r="AD132" s="247"/>
      <c r="AE132" s="247"/>
      <c r="AF132" s="247"/>
      <c r="AG132" s="247"/>
      <c r="AH132" s="247"/>
      <c r="AI132" s="247"/>
      <c r="AJ132" s="247"/>
      <c r="AK132" s="247"/>
      <c r="AL132" s="247"/>
      <c r="AM132" s="243"/>
      <c r="AN132" s="243"/>
      <c r="AO132" s="243"/>
      <c r="AV132" s="243">
        <v>2413</v>
      </c>
      <c r="AY132" s="243"/>
      <c r="AZ132" s="243">
        <v>2396</v>
      </c>
      <c r="BD132" s="243">
        <v>2685</v>
      </c>
      <c r="DZ132" s="247"/>
      <c r="EA132" s="247"/>
      <c r="EB132" s="247"/>
      <c r="EC132" s="247"/>
      <c r="ED132" s="247"/>
      <c r="EE132" s="247"/>
      <c r="EF132" s="247"/>
    </row>
    <row r="133" spans="2:153" ht="12.75" customHeight="1" x14ac:dyDescent="0.2">
      <c r="B133" t="s">
        <v>366</v>
      </c>
      <c r="K133" s="247">
        <v>2996</v>
      </c>
      <c r="L133" s="247">
        <v>3064</v>
      </c>
      <c r="M133" s="247">
        <v>2948</v>
      </c>
      <c r="N133" s="247">
        <v>3080</v>
      </c>
      <c r="O133" s="247">
        <v>3116</v>
      </c>
      <c r="P133" s="247">
        <v>3125</v>
      </c>
      <c r="Q133" s="247">
        <v>2975</v>
      </c>
      <c r="R133" s="247">
        <v>2919.5</v>
      </c>
      <c r="S133" s="247"/>
      <c r="T133" s="247"/>
      <c r="U133" s="247"/>
      <c r="V133" s="247"/>
      <c r="W133" s="247">
        <v>3222</v>
      </c>
      <c r="X133" s="247">
        <v>3474</v>
      </c>
      <c r="Y133" s="247">
        <v>3490</v>
      </c>
      <c r="Z133" s="247">
        <v>3657</v>
      </c>
      <c r="AA133" s="247">
        <v>3809.6</v>
      </c>
      <c r="AB133" s="247">
        <v>4220</v>
      </c>
      <c r="AC133" s="247">
        <v>4039.55</v>
      </c>
      <c r="AD133" s="247">
        <v>4516.3999999999996</v>
      </c>
      <c r="AE133" s="247">
        <v>4641</v>
      </c>
      <c r="AF133" s="247">
        <v>4816.3999999999996</v>
      </c>
      <c r="AG133" s="247">
        <v>4763</v>
      </c>
      <c r="AH133" s="247">
        <v>5358</v>
      </c>
      <c r="AI133" s="247">
        <v>5574</v>
      </c>
      <c r="AJ133" s="247">
        <v>5697</v>
      </c>
      <c r="AK133" s="247">
        <v>5343</v>
      </c>
      <c r="AL133" s="247">
        <v>5523</v>
      </c>
      <c r="AM133" s="243">
        <v>5621</v>
      </c>
      <c r="AN133" s="243">
        <v>5988</v>
      </c>
      <c r="AO133" s="243">
        <v>5799</v>
      </c>
      <c r="AV133" s="243">
        <v>8240</v>
      </c>
      <c r="AY133" s="243">
        <v>6974</v>
      </c>
      <c r="AZ133" s="243">
        <v>7583</v>
      </c>
      <c r="BD133" s="243">
        <v>7892</v>
      </c>
      <c r="DZ133" s="247">
        <v>12088</v>
      </c>
      <c r="EA133" s="247">
        <v>12135.5</v>
      </c>
      <c r="EB133" s="247">
        <v>12492</v>
      </c>
      <c r="EC133" s="247">
        <v>13843</v>
      </c>
      <c r="ED133" s="247">
        <v>16586</v>
      </c>
      <c r="EE133" s="247">
        <v>19578</v>
      </c>
      <c r="EF133" s="247">
        <v>22137</v>
      </c>
    </row>
    <row r="134" spans="2:153" ht="12.75" customHeight="1" x14ac:dyDescent="0.2">
      <c r="B134" t="s">
        <v>367</v>
      </c>
      <c r="AK134" s="288"/>
      <c r="AM134" s="288">
        <v>6.0999999999999999E-2</v>
      </c>
      <c r="AO134" s="288">
        <v>6.7000000000000004E-2</v>
      </c>
      <c r="AV134" s="288">
        <v>3.9E-2</v>
      </c>
      <c r="AY134" s="288">
        <v>0.03</v>
      </c>
      <c r="AZ134" s="288">
        <v>3.9E-2</v>
      </c>
      <c r="BB134" s="288">
        <v>6.4000000000000001E-2</v>
      </c>
      <c r="BD134" s="288">
        <v>0.03</v>
      </c>
      <c r="BH134" s="288"/>
      <c r="BI134" s="288">
        <v>8.3000000000000004E-2</v>
      </c>
      <c r="EJ134" s="288">
        <v>3.9E-2</v>
      </c>
    </row>
    <row r="135" spans="2:153" ht="12.75" customHeight="1" x14ac:dyDescent="0.2">
      <c r="B135" t="s">
        <v>368</v>
      </c>
      <c r="AK135" s="288"/>
      <c r="AM135" s="288">
        <v>-5.2999999999999999E-2</v>
      </c>
      <c r="AO135" s="288">
        <v>1.2E-2</v>
      </c>
      <c r="AV135" s="288">
        <v>-0.11899999999999999</v>
      </c>
      <c r="AY135" s="288">
        <v>-0.126</v>
      </c>
      <c r="AZ135" s="288">
        <v>-0.11899999999999999</v>
      </c>
      <c r="BB135" s="288">
        <v>9.1999999999999998E-2</v>
      </c>
      <c r="BD135" s="288">
        <v>1.0999999999999999E-2</v>
      </c>
      <c r="BH135" s="288"/>
      <c r="BI135" s="288">
        <v>8.1000000000000003E-2</v>
      </c>
      <c r="EJ135" s="288">
        <v>-5.2999999999999999E-2</v>
      </c>
    </row>
    <row r="137" spans="2:153" ht="12.75" customHeight="1" x14ac:dyDescent="0.2">
      <c r="B137" t="s">
        <v>369</v>
      </c>
      <c r="AM137" s="76">
        <v>116000</v>
      </c>
      <c r="AO137" s="76">
        <v>115700</v>
      </c>
      <c r="AZ137" s="243">
        <v>117000</v>
      </c>
      <c r="CX137" s="243">
        <v>144300</v>
      </c>
      <c r="CY137" s="243"/>
      <c r="CZ137" s="243"/>
      <c r="DA137" s="243"/>
      <c r="DB137" s="243">
        <v>155800</v>
      </c>
      <c r="EF137" s="76">
        <v>115600</v>
      </c>
      <c r="EV137" s="79">
        <f>CX137</f>
        <v>144300</v>
      </c>
      <c r="EW137" s="79">
        <f>DB137</f>
        <v>155800</v>
      </c>
    </row>
    <row r="138" spans="2:153" ht="12.75" customHeight="1" x14ac:dyDescent="0.2">
      <c r="AZ138" s="243"/>
      <c r="CX138" s="243"/>
      <c r="CY138" s="243"/>
      <c r="CZ138" s="243"/>
      <c r="DA138" s="243"/>
      <c r="DB138" s="294">
        <f>DB137/CX137-1</f>
        <v>7.9695079695079718E-2</v>
      </c>
    </row>
    <row r="139" spans="2:153" ht="12.75" customHeight="1" x14ac:dyDescent="0.2">
      <c r="B139" t="s">
        <v>370</v>
      </c>
      <c r="EG139" s="243">
        <v>14200</v>
      </c>
      <c r="EH139" s="243">
        <v>15022</v>
      </c>
      <c r="EI139" s="243">
        <v>14972</v>
      </c>
      <c r="EJ139" s="243">
        <v>16571</v>
      </c>
    </row>
    <row r="140" spans="2:153" ht="12.75" customHeight="1" x14ac:dyDescent="0.2">
      <c r="B140" t="s">
        <v>371</v>
      </c>
      <c r="EG140" s="243">
        <v>11600</v>
      </c>
      <c r="EH140" s="243">
        <f>+EH139-2942</f>
        <v>12080</v>
      </c>
      <c r="EI140" s="243">
        <f>+EI139-3066</f>
        <v>11906</v>
      </c>
      <c r="EJ140" s="243">
        <f>+EJ139-2365</f>
        <v>14206</v>
      </c>
    </row>
    <row r="141" spans="2:153" ht="12.75" customHeight="1" x14ac:dyDescent="0.2">
      <c r="B141" t="s">
        <v>1239</v>
      </c>
      <c r="AP141" s="243">
        <f t="shared" ref="AP141:AY141" si="936">+AP145-AP157-AP164</f>
        <v>-2493</v>
      </c>
      <c r="AQ141" s="243">
        <f t="shared" si="936"/>
        <v>-1489</v>
      </c>
      <c r="AR141" s="243">
        <f t="shared" si="936"/>
        <v>-495</v>
      </c>
      <c r="AS141" s="243">
        <f t="shared" si="936"/>
        <v>431</v>
      </c>
      <c r="AT141" s="243">
        <f t="shared" si="936"/>
        <v>-220</v>
      </c>
      <c r="AU141" s="243">
        <f t="shared" si="936"/>
        <v>-269</v>
      </c>
      <c r="AV141" s="243">
        <f t="shared" si="936"/>
        <v>-865</v>
      </c>
      <c r="AW141" s="243">
        <f t="shared" si="936"/>
        <v>161</v>
      </c>
      <c r="AX141" s="243">
        <f t="shared" si="936"/>
        <v>961</v>
      </c>
      <c r="AY141" s="243">
        <f t="shared" si="936"/>
        <v>-124</v>
      </c>
      <c r="AZ141" s="243">
        <f t="shared" ref="AZ141:BF141" si="937">+AZ145-AZ157-AZ164</f>
        <v>1120</v>
      </c>
      <c r="BA141" s="243">
        <f t="shared" si="937"/>
        <v>2756</v>
      </c>
      <c r="BB141" s="243">
        <f t="shared" si="937"/>
        <v>4884</v>
      </c>
      <c r="BC141" s="243">
        <f t="shared" si="937"/>
        <v>5907</v>
      </c>
      <c r="BD141" s="243">
        <f t="shared" si="937"/>
        <v>7249</v>
      </c>
      <c r="BE141" s="243">
        <f t="shared" si="937"/>
        <v>10101</v>
      </c>
      <c r="BF141" s="243">
        <f t="shared" si="937"/>
        <v>10885</v>
      </c>
      <c r="BG141" s="243">
        <f t="shared" ref="BG141:BH141" si="938">+BG145-BG157-BG164</f>
        <v>9037</v>
      </c>
      <c r="BH141" s="243">
        <f t="shared" si="938"/>
        <v>10956</v>
      </c>
      <c r="BI141" s="243">
        <f t="shared" ref="BI141:BP141" si="939">+BI145-BI157-BI164</f>
        <v>12570</v>
      </c>
      <c r="BJ141" s="243">
        <f t="shared" si="939"/>
        <v>12634</v>
      </c>
      <c r="BK141" s="243">
        <f t="shared" si="939"/>
        <v>14398</v>
      </c>
      <c r="BL141" s="243">
        <f>+BL145-BL157-BL164</f>
        <v>-650</v>
      </c>
      <c r="BM141" s="243">
        <f t="shared" si="939"/>
        <v>2920</v>
      </c>
      <c r="BN141" s="243">
        <f t="shared" si="939"/>
        <v>4924</v>
      </c>
      <c r="BO141" s="243">
        <f t="shared" si="939"/>
        <v>5776</v>
      </c>
      <c r="BP141" s="243">
        <f t="shared" si="939"/>
        <v>10147</v>
      </c>
      <c r="BQ141" s="243">
        <f t="shared" ref="BQ141:BR141" si="940">+BQ145-BQ157-BQ164</f>
        <v>10121</v>
      </c>
      <c r="BR141" s="243">
        <f t="shared" si="940"/>
        <v>11026</v>
      </c>
      <c r="EJ141" s="243">
        <f>EJ145-EJ157-EJ164</f>
        <v>4884</v>
      </c>
    </row>
    <row r="142" spans="2:153" ht="12.75" customHeight="1" x14ac:dyDescent="0.2">
      <c r="B142" t="s">
        <v>384</v>
      </c>
      <c r="AM142" s="243"/>
      <c r="AN142" s="243"/>
      <c r="AO142" s="243"/>
      <c r="AP142" s="243">
        <f t="shared" ref="AP142:BR142" si="941">(AP146/AP61)*91.25</f>
        <v>58.103347463821081</v>
      </c>
      <c r="AQ142" s="243">
        <f t="shared" si="941"/>
        <v>56.206419433949755</v>
      </c>
      <c r="AR142" s="243">
        <f t="shared" si="941"/>
        <v>57.068914278166687</v>
      </c>
      <c r="AS142" s="243">
        <f t="shared" si="941"/>
        <v>57.059372292929972</v>
      </c>
      <c r="AT142" s="243">
        <f t="shared" si="941"/>
        <v>54.005452152660276</v>
      </c>
      <c r="AU142" s="243">
        <f t="shared" si="941"/>
        <v>58.511794491787086</v>
      </c>
      <c r="AV142" s="243">
        <f t="shared" si="941"/>
        <v>58.461018237082065</v>
      </c>
      <c r="AW142" s="243">
        <f t="shared" si="941"/>
        <v>58.208341184598957</v>
      </c>
      <c r="AX142" s="243">
        <f t="shared" si="941"/>
        <v>58.415146225793706</v>
      </c>
      <c r="AY142" s="243">
        <f t="shared" si="941"/>
        <v>59.701766937308669</v>
      </c>
      <c r="AZ142" s="243">
        <f t="shared" si="941"/>
        <v>60.675651289454684</v>
      </c>
      <c r="BA142" s="243">
        <f t="shared" si="941"/>
        <v>62.194731781712086</v>
      </c>
      <c r="BB142" s="243">
        <f t="shared" si="941"/>
        <v>53.180925623829374</v>
      </c>
      <c r="BC142" s="243">
        <f t="shared" si="941"/>
        <v>58.482662657539507</v>
      </c>
      <c r="BD142" s="243">
        <f t="shared" si="941"/>
        <v>57.09573396581974</v>
      </c>
      <c r="BE142" s="243">
        <f t="shared" si="941"/>
        <v>62.672707248698437</v>
      </c>
      <c r="BF142" s="243">
        <f t="shared" si="941"/>
        <v>57.010834824852978</v>
      </c>
      <c r="BG142" s="243">
        <f t="shared" si="941"/>
        <v>58.414844394671704</v>
      </c>
      <c r="BH142" s="243">
        <f t="shared" si="941"/>
        <v>60.378833524130869</v>
      </c>
      <c r="BI142" s="243">
        <f t="shared" si="941"/>
        <v>60.160574820368637</v>
      </c>
      <c r="BJ142" s="243">
        <f t="shared" si="941"/>
        <v>51.29994421125339</v>
      </c>
      <c r="BK142" s="243">
        <f t="shared" si="941"/>
        <v>62.092291963566517</v>
      </c>
      <c r="BL142" s="243">
        <f t="shared" si="941"/>
        <v>60.328401299169975</v>
      </c>
      <c r="BM142" s="243">
        <f t="shared" si="941"/>
        <v>59.317011808504446</v>
      </c>
      <c r="BN142" s="243">
        <f t="shared" si="941"/>
        <v>58.003836209319317</v>
      </c>
      <c r="BO142" s="243">
        <f t="shared" si="941"/>
        <v>59.878262480054708</v>
      </c>
      <c r="BP142" s="243">
        <f t="shared" si="941"/>
        <v>59.096498076172416</v>
      </c>
      <c r="BQ142" s="243">
        <f t="shared" si="941"/>
        <v>62.218025398265212</v>
      </c>
      <c r="BR142" s="243">
        <f t="shared" si="941"/>
        <v>57.927009376185573</v>
      </c>
      <c r="EF142" s="243"/>
      <c r="EG142" s="243"/>
      <c r="EJ142" s="243">
        <f>EJ146/EJ61*365</f>
        <v>56.881432056480932</v>
      </c>
    </row>
    <row r="143" spans="2:153" ht="12.75" customHeight="1" x14ac:dyDescent="0.2">
      <c r="AM143" s="243"/>
      <c r="AN143" s="243"/>
      <c r="AO143" s="243"/>
      <c r="AP143" s="243"/>
      <c r="AQ143" s="243"/>
      <c r="AR143" s="243"/>
      <c r="AS143" s="243"/>
      <c r="AT143" s="243"/>
      <c r="AU143" s="243"/>
      <c r="AV143" s="243"/>
      <c r="AW143" s="243"/>
      <c r="AX143" s="243"/>
      <c r="AY143" s="243"/>
      <c r="AZ143" s="243"/>
      <c r="BA143" s="243"/>
      <c r="BB143" s="243"/>
      <c r="BC143" s="243"/>
      <c r="BD143" s="243"/>
      <c r="BE143" s="243"/>
      <c r="BF143" s="243"/>
      <c r="BG143" s="243"/>
      <c r="BH143" s="243"/>
      <c r="BI143" s="243"/>
      <c r="BJ143" s="243"/>
      <c r="BK143" s="243"/>
      <c r="BL143" s="243"/>
      <c r="BM143" s="243"/>
      <c r="BN143" s="243"/>
      <c r="BO143" s="243"/>
      <c r="BP143" s="243"/>
      <c r="BQ143" s="243"/>
      <c r="BR143" s="243"/>
      <c r="EF143" s="243"/>
      <c r="EG143" s="243"/>
      <c r="EJ143" s="243"/>
    </row>
    <row r="144" spans="2:153" ht="12.75" customHeight="1" x14ac:dyDescent="0.2">
      <c r="B144" t="s">
        <v>1239</v>
      </c>
      <c r="AM144" s="243"/>
      <c r="AN144" s="243"/>
      <c r="AO144" s="243"/>
      <c r="AP144" s="243"/>
      <c r="AQ144" s="243"/>
      <c r="AR144" s="243"/>
      <c r="AS144" s="243"/>
      <c r="AT144" s="243"/>
      <c r="AU144" s="243"/>
      <c r="AV144" s="243"/>
      <c r="AW144" s="243"/>
      <c r="AX144" s="243"/>
      <c r="AY144" s="243"/>
      <c r="AZ144" s="243"/>
      <c r="BA144" s="243"/>
      <c r="BB144" s="243"/>
      <c r="BC144" s="243"/>
      <c r="BD144" s="243"/>
      <c r="BE144" s="243"/>
      <c r="BF144" s="243"/>
      <c r="BG144" s="243"/>
      <c r="BH144" s="243"/>
      <c r="BI144" s="243"/>
      <c r="BJ144" s="243"/>
      <c r="BK144" s="243"/>
      <c r="BL144" s="243"/>
      <c r="BM144" s="243"/>
      <c r="BN144" s="243"/>
      <c r="BO144" s="243"/>
      <c r="BP144" s="243"/>
      <c r="BQ144" s="243"/>
      <c r="BR144" s="243"/>
      <c r="CX144" s="243">
        <f t="shared" ref="CX144:DN144" si="942">+CX145-CX157-CX164</f>
        <v>-2143</v>
      </c>
      <c r="CY144" s="243">
        <f t="shared" si="942"/>
        <v>-2760</v>
      </c>
      <c r="CZ144" s="243">
        <f t="shared" si="942"/>
        <v>-29</v>
      </c>
      <c r="DA144" s="243">
        <f t="shared" si="942"/>
        <v>2052</v>
      </c>
      <c r="DB144" s="243">
        <f t="shared" si="942"/>
        <v>-16140</v>
      </c>
      <c r="DC144" s="243">
        <f t="shared" si="942"/>
        <v>-20599</v>
      </c>
      <c r="DD144" s="243">
        <f t="shared" si="942"/>
        <v>-17097</v>
      </c>
      <c r="DE144" s="243">
        <f t="shared" si="942"/>
        <v>0</v>
      </c>
      <c r="DF144" s="243">
        <f t="shared" si="942"/>
        <v>0</v>
      </c>
      <c r="DG144" s="243">
        <f t="shared" si="942"/>
        <v>-7414</v>
      </c>
      <c r="DH144" s="243">
        <f t="shared" si="942"/>
        <v>0</v>
      </c>
      <c r="DI144" s="243">
        <f t="shared" si="942"/>
        <v>0</v>
      </c>
      <c r="DJ144" s="243">
        <f t="shared" si="942"/>
        <v>0</v>
      </c>
      <c r="DK144" s="243">
        <f t="shared" si="942"/>
        <v>0</v>
      </c>
      <c r="DL144" s="243">
        <f t="shared" si="942"/>
        <v>0</v>
      </c>
      <c r="DM144" s="243">
        <f t="shared" si="942"/>
        <v>0</v>
      </c>
      <c r="DN144" s="243">
        <f t="shared" si="942"/>
        <v>0</v>
      </c>
      <c r="EF144" s="243"/>
      <c r="EG144" s="243"/>
      <c r="EJ144" s="243"/>
      <c r="EW144" s="79">
        <f>DB144</f>
        <v>-16140</v>
      </c>
    </row>
    <row r="145" spans="2:166" ht="12.75" customHeight="1" x14ac:dyDescent="0.2">
      <c r="B145" t="s">
        <v>372</v>
      </c>
      <c r="AM145" s="243">
        <f>16822+363+20</f>
        <v>17205</v>
      </c>
      <c r="AN145" s="243"/>
      <c r="AO145" s="243"/>
      <c r="AP145" s="243">
        <f>4083+1+16</f>
        <v>4100</v>
      </c>
      <c r="AQ145" s="243">
        <f>5175+16+14</f>
        <v>5205</v>
      </c>
      <c r="AR145" s="243">
        <f>5571+400+17</f>
        <v>5988</v>
      </c>
      <c r="AS145" s="243">
        <f>6640+1680+8</f>
        <v>8328</v>
      </c>
      <c r="AT145" s="243">
        <f>7770+1545+2</f>
        <v>9317</v>
      </c>
      <c r="AU145" s="243">
        <f>10539+605+3</f>
        <v>11147</v>
      </c>
      <c r="AV145" s="243">
        <f>12646+412+3</f>
        <v>13061</v>
      </c>
      <c r="AW145" s="243">
        <f>14018+781+2</f>
        <v>14801</v>
      </c>
      <c r="AX145" s="243">
        <f>10768+2041+4</f>
        <v>12813</v>
      </c>
      <c r="AY145" s="243">
        <f>12589+1344+17</f>
        <v>13950</v>
      </c>
      <c r="AZ145" s="243">
        <f>11686+3030+18</f>
        <v>14734</v>
      </c>
      <c r="BA145" s="243">
        <f>11856+2481+19</f>
        <v>14356</v>
      </c>
      <c r="BB145" s="243">
        <f>15810+3615</f>
        <v>19425</v>
      </c>
      <c r="BC145" s="243">
        <f>13743+4267</f>
        <v>18010</v>
      </c>
      <c r="BD145" s="243">
        <f>12713+6188</f>
        <v>18901</v>
      </c>
      <c r="BE145" s="243">
        <f>14338+7788</f>
        <v>22126</v>
      </c>
      <c r="BF145" s="243">
        <f>19355+8303</f>
        <v>27658</v>
      </c>
      <c r="BG145" s="243">
        <f>22356+4511</f>
        <v>26867</v>
      </c>
      <c r="BH145" s="243">
        <f>14974+14708</f>
        <v>29682</v>
      </c>
      <c r="BI145" s="243">
        <f>15617+15310</f>
        <v>30927</v>
      </c>
      <c r="BJ145" s="243">
        <f>24542+7719</f>
        <v>32261</v>
      </c>
      <c r="BK145" s="243">
        <f>30267+3580</f>
        <v>33847</v>
      </c>
      <c r="BL145" s="243">
        <f>14042+2873</f>
        <v>16915</v>
      </c>
      <c r="BM145" s="243">
        <f>15486+4285</f>
        <v>19771</v>
      </c>
      <c r="BN145" s="243">
        <f>14911+6178</f>
        <v>21089</v>
      </c>
      <c r="BO145" s="243">
        <f>14855+6813</f>
        <v>21668</v>
      </c>
      <c r="BP145" s="243">
        <f>17307+7822</f>
        <v>25129</v>
      </c>
      <c r="BQ145" s="243">
        <f>17204+8024</f>
        <v>25228</v>
      </c>
      <c r="BR145" s="243">
        <f>20927+8279</f>
        <v>29206</v>
      </c>
      <c r="CX145" s="243">
        <f>14487+17121</f>
        <v>31608</v>
      </c>
      <c r="CY145" s="243">
        <f>10463+19925</f>
        <v>30388</v>
      </c>
      <c r="CZ145" s="243">
        <f>10983+21585</f>
        <v>32568</v>
      </c>
      <c r="DA145" s="243">
        <f>11355+22724</f>
        <v>34079</v>
      </c>
      <c r="DB145" s="243">
        <f>14127+9392</f>
        <v>23519</v>
      </c>
      <c r="DC145" s="243">
        <f>19170+7695+5443</f>
        <v>32308</v>
      </c>
      <c r="DD145" s="243">
        <f>21183+7322</f>
        <v>28505</v>
      </c>
      <c r="DG145" s="243">
        <f>25473+745</f>
        <v>26218</v>
      </c>
      <c r="EF145" s="243">
        <f>16055+83</f>
        <v>16138</v>
      </c>
      <c r="EG145" s="243">
        <f>4083+1+16</f>
        <v>4100</v>
      </c>
      <c r="EH145" s="243">
        <v>150</v>
      </c>
      <c r="EI145" s="243">
        <v>50</v>
      </c>
      <c r="EJ145" s="243">
        <f>15810+3615</f>
        <v>19425</v>
      </c>
      <c r="EK145" s="243">
        <f t="shared" ref="EK145" si="943">EJ145+EK72</f>
        <v>32572</v>
      </c>
      <c r="EL145" s="243"/>
      <c r="EM145" s="243"/>
      <c r="EN145" s="243"/>
      <c r="EO145" s="243"/>
      <c r="EP145" s="243"/>
      <c r="EQ145" s="243"/>
      <c r="ER145" s="243"/>
      <c r="ES145" s="243"/>
      <c r="ET145" s="243"/>
      <c r="EU145" s="243"/>
      <c r="EV145" s="243"/>
      <c r="EW145" s="243"/>
      <c r="EX145" s="243"/>
      <c r="EY145" s="243"/>
      <c r="EZ145" s="243"/>
      <c r="FA145" s="243"/>
      <c r="FB145" s="243"/>
      <c r="FC145" s="243"/>
      <c r="FD145" s="243"/>
      <c r="FE145" s="243"/>
      <c r="FF145" s="243"/>
      <c r="FG145" s="243"/>
      <c r="FH145" s="243"/>
      <c r="FI145" s="243"/>
      <c r="FJ145" s="243"/>
    </row>
    <row r="146" spans="2:166" ht="12.75" customHeight="1" x14ac:dyDescent="0.2">
      <c r="B146" t="s">
        <v>373</v>
      </c>
      <c r="AM146" s="243">
        <v>7671</v>
      </c>
      <c r="AN146" s="243"/>
      <c r="AO146" s="243"/>
      <c r="AP146" s="243">
        <v>8712</v>
      </c>
      <c r="AQ146" s="243">
        <v>9293</v>
      </c>
      <c r="AR146" s="243">
        <v>9470</v>
      </c>
      <c r="AS146" s="243">
        <v>9384</v>
      </c>
      <c r="AT146" s="243">
        <v>9444</v>
      </c>
      <c r="AU146" s="243">
        <v>10384</v>
      </c>
      <c r="AV146" s="243">
        <v>10539</v>
      </c>
      <c r="AW146" s="243">
        <v>10156</v>
      </c>
      <c r="AX146" s="243">
        <v>9719</v>
      </c>
      <c r="AY146" s="243">
        <v>9831</v>
      </c>
      <c r="AZ146" s="243">
        <v>10133</v>
      </c>
      <c r="BA146" s="243">
        <v>10279</v>
      </c>
      <c r="BB146" s="243">
        <v>9646</v>
      </c>
      <c r="BC146" s="243">
        <v>10018</v>
      </c>
      <c r="BD146" s="243">
        <v>9629</v>
      </c>
      <c r="BE146" s="243">
        <v>10290</v>
      </c>
      <c r="BF146" s="243">
        <v>9774</v>
      </c>
      <c r="BG146" s="243">
        <v>10861</v>
      </c>
      <c r="BH146" s="243">
        <v>10982</v>
      </c>
      <c r="BI146" s="243">
        <v>10552</v>
      </c>
      <c r="BJ146" s="243">
        <v>10581</v>
      </c>
      <c r="BK146" s="243">
        <v>10982</v>
      </c>
      <c r="BL146" s="243">
        <v>10992</v>
      </c>
      <c r="BM146" s="243">
        <v>11175</v>
      </c>
      <c r="BN146" s="243">
        <v>11309</v>
      </c>
      <c r="BO146" s="243">
        <v>11515</v>
      </c>
      <c r="BP146" s="243">
        <v>11614</v>
      </c>
      <c r="BQ146" s="243">
        <v>12027</v>
      </c>
      <c r="BR146" s="243">
        <v>11713</v>
      </c>
      <c r="CX146" s="243">
        <v>15283</v>
      </c>
      <c r="CY146" s="243">
        <v>15594</v>
      </c>
      <c r="CZ146" s="243">
        <v>16139</v>
      </c>
      <c r="DA146" s="243">
        <v>15890</v>
      </c>
      <c r="DB146" s="243">
        <v>16160</v>
      </c>
      <c r="DC146" s="243">
        <v>16350</v>
      </c>
      <c r="DD146" s="243">
        <v>16777</v>
      </c>
      <c r="DG146" s="243">
        <v>14946</v>
      </c>
      <c r="EF146" s="243"/>
      <c r="EG146" s="243">
        <v>8712</v>
      </c>
      <c r="EJ146" s="243">
        <v>9646</v>
      </c>
    </row>
    <row r="147" spans="2:166" ht="12.75" customHeight="1" x14ac:dyDescent="0.2">
      <c r="B147" t="s">
        <v>374</v>
      </c>
      <c r="AM147" s="243">
        <v>4240</v>
      </c>
      <c r="AN147" s="243"/>
      <c r="AO147" s="243"/>
      <c r="AP147" s="243">
        <v>4889</v>
      </c>
      <c r="AQ147" s="243">
        <v>5047</v>
      </c>
      <c r="AR147" s="243">
        <v>5155</v>
      </c>
      <c r="AS147" s="243">
        <v>5414</v>
      </c>
      <c r="AT147" s="243">
        <v>5110</v>
      </c>
      <c r="AU147" s="243">
        <v>5575</v>
      </c>
      <c r="AV147" s="243">
        <v>5700</v>
      </c>
      <c r="AW147" s="243">
        <v>5473</v>
      </c>
      <c r="AX147" s="243">
        <v>5052</v>
      </c>
      <c r="AY147" s="243">
        <v>5359</v>
      </c>
      <c r="AZ147" s="243">
        <v>5472</v>
      </c>
      <c r="BA147" s="243">
        <v>5568</v>
      </c>
      <c r="BB147" s="243">
        <v>5180</v>
      </c>
      <c r="BC147" s="243">
        <v>5308</v>
      </c>
      <c r="BD147" s="243">
        <v>5071</v>
      </c>
      <c r="BE147" s="243">
        <v>5409</v>
      </c>
      <c r="BF147" s="243">
        <v>5378</v>
      </c>
      <c r="BG147" s="243">
        <v>6200</v>
      </c>
      <c r="BH147" s="243">
        <v>6413</v>
      </c>
      <c r="BI147" s="243">
        <v>6428</v>
      </c>
      <c r="BJ147" s="243">
        <v>6285</v>
      </c>
      <c r="BK147" s="243">
        <v>6800</v>
      </c>
      <c r="BL147" s="243">
        <v>7697</v>
      </c>
      <c r="BM147" s="243">
        <v>7809</v>
      </c>
      <c r="BN147" s="243">
        <v>7495</v>
      </c>
      <c r="BO147" s="243">
        <v>7691</v>
      </c>
      <c r="BP147" s="243">
        <v>7822</v>
      </c>
      <c r="BQ147" s="243">
        <v>8124</v>
      </c>
      <c r="BR147" s="243">
        <v>7878</v>
      </c>
      <c r="CX147" s="243">
        <v>10387</v>
      </c>
      <c r="CY147" s="243">
        <v>10990</v>
      </c>
      <c r="CZ147" s="243">
        <v>11437</v>
      </c>
      <c r="DA147" s="243">
        <v>11675</v>
      </c>
      <c r="DB147" s="243">
        <v>12483</v>
      </c>
      <c r="DC147" s="243">
        <v>12809</v>
      </c>
      <c r="DD147" s="243">
        <v>12888</v>
      </c>
      <c r="DG147" s="243">
        <v>11383</v>
      </c>
      <c r="EF147" s="243"/>
      <c r="EG147" s="243">
        <v>4889</v>
      </c>
      <c r="EJ147" s="243">
        <v>5180</v>
      </c>
    </row>
    <row r="148" spans="2:166" ht="12.75" customHeight="1" x14ac:dyDescent="0.2">
      <c r="B148" t="s">
        <v>375</v>
      </c>
      <c r="AM148" s="243">
        <v>1995</v>
      </c>
      <c r="AN148" s="243"/>
      <c r="AO148" s="243"/>
      <c r="AP148" s="243">
        <v>2094</v>
      </c>
      <c r="AQ148" s="243">
        <v>2088</v>
      </c>
      <c r="AR148" s="243">
        <v>2194</v>
      </c>
      <c r="AS148" s="243">
        <v>2594</v>
      </c>
      <c r="AT148" s="243">
        <v>2609</v>
      </c>
      <c r="AU148" s="243">
        <v>2602</v>
      </c>
      <c r="AV148" s="243">
        <v>2612</v>
      </c>
      <c r="AW148" s="243">
        <v>2584</v>
      </c>
      <c r="AX148" s="243">
        <v>3430</v>
      </c>
      <c r="AY148" s="243">
        <v>2342</v>
      </c>
      <c r="AZ148" s="243">
        <v>2454</v>
      </c>
      <c r="BA148" s="243">
        <v>2650</v>
      </c>
      <c r="BB148" s="243">
        <v>2793</v>
      </c>
      <c r="BC148" s="243">
        <v>2232</v>
      </c>
      <c r="BD148" s="243">
        <v>2250</v>
      </c>
      <c r="BE148" s="243">
        <v>2418</v>
      </c>
      <c r="BF148" s="243">
        <v>2224</v>
      </c>
      <c r="BG148" s="243">
        <v>2272</v>
      </c>
      <c r="BH148" s="243">
        <v>2306</v>
      </c>
      <c r="BI148" s="243">
        <v>2480</v>
      </c>
      <c r="BJ148" s="243">
        <v>2556</v>
      </c>
      <c r="BK148" s="243">
        <v>2695</v>
      </c>
      <c r="BL148" s="243">
        <v>3117</v>
      </c>
      <c r="BM148" s="243">
        <v>3247</v>
      </c>
      <c r="BN148" s="243">
        <v>3139</v>
      </c>
      <c r="BO148" s="243">
        <v>3094</v>
      </c>
      <c r="BP148" s="243">
        <v>3283</v>
      </c>
      <c r="BQ148" s="243">
        <v>3485</v>
      </c>
      <c r="BR148" s="243">
        <v>3607</v>
      </c>
      <c r="CX148" s="243">
        <v>0</v>
      </c>
      <c r="CY148" s="243">
        <v>0</v>
      </c>
      <c r="CZ148" s="243">
        <v>0</v>
      </c>
      <c r="DA148" s="243">
        <v>0</v>
      </c>
      <c r="DB148" s="243">
        <v>0</v>
      </c>
      <c r="DC148" s="243">
        <v>0</v>
      </c>
      <c r="DD148" s="243">
        <v>0</v>
      </c>
      <c r="DG148" s="243">
        <v>0</v>
      </c>
      <c r="EF148" s="243"/>
      <c r="EG148" s="243">
        <v>2094</v>
      </c>
      <c r="EJ148" s="243">
        <v>2793</v>
      </c>
    </row>
    <row r="149" spans="2:166" ht="12.75" customHeight="1" x14ac:dyDescent="0.2">
      <c r="B149" t="s">
        <v>376</v>
      </c>
      <c r="AM149" s="243">
        <v>2661</v>
      </c>
      <c r="AN149" s="243"/>
      <c r="AO149" s="243"/>
      <c r="AP149" s="243">
        <v>3196</v>
      </c>
      <c r="AQ149" s="243">
        <v>3054</v>
      </c>
      <c r="AR149" s="243">
        <v>3014</v>
      </c>
      <c r="AS149" s="243">
        <v>3229</v>
      </c>
      <c r="AT149" s="243">
        <v>3467</v>
      </c>
      <c r="AU149" s="243">
        <v>4413</v>
      </c>
      <c r="AV149" s="243">
        <v>3908</v>
      </c>
      <c r="AW149" s="243">
        <v>3578</v>
      </c>
      <c r="AX149" s="243">
        <v>3367</v>
      </c>
      <c r="AY149" s="243">
        <v>3374</v>
      </c>
      <c r="AZ149" s="243">
        <v>2719</v>
      </c>
      <c r="BA149" s="243">
        <v>2768</v>
      </c>
      <c r="BB149" s="243">
        <v>2497</v>
      </c>
      <c r="BC149" s="243">
        <v>3293</v>
      </c>
      <c r="BD149" s="243">
        <v>3172</v>
      </c>
      <c r="BE149" s="243">
        <v>2474</v>
      </c>
      <c r="BF149" s="243">
        <v>2273</v>
      </c>
      <c r="BG149" s="243">
        <v>3021</v>
      </c>
      <c r="BH149" s="243">
        <v>3290</v>
      </c>
      <c r="BI149" s="243">
        <v>3056</v>
      </c>
      <c r="BJ149" s="243">
        <v>2633</v>
      </c>
      <c r="BK149" s="243">
        <v>2683</v>
      </c>
      <c r="BL149" s="243">
        <v>2894</v>
      </c>
      <c r="BM149" s="243">
        <v>2789</v>
      </c>
      <c r="BN149" s="243">
        <v>3084</v>
      </c>
      <c r="BO149" s="243">
        <v>3260</v>
      </c>
      <c r="BP149" s="243">
        <v>3425</v>
      </c>
      <c r="BQ149" s="243">
        <v>3312</v>
      </c>
      <c r="BR149" s="243">
        <v>4003</v>
      </c>
      <c r="CX149" s="243">
        <v>3701</v>
      </c>
      <c r="CY149" s="243">
        <v>3452</v>
      </c>
      <c r="CZ149" s="243">
        <v>3703</v>
      </c>
      <c r="DA149" s="243">
        <v>3592</v>
      </c>
      <c r="DB149" s="243">
        <v>3132</v>
      </c>
      <c r="DC149" s="243">
        <v>2921</v>
      </c>
      <c r="DD149" s="243">
        <v>2397</v>
      </c>
      <c r="DG149" s="243">
        <v>4455</v>
      </c>
      <c r="EF149" s="243"/>
      <c r="EG149" s="243">
        <v>3196</v>
      </c>
      <c r="EJ149" s="243">
        <v>2497</v>
      </c>
    </row>
    <row r="150" spans="2:166" ht="12.75" customHeight="1" x14ac:dyDescent="0.2">
      <c r="B150" t="s">
        <v>377</v>
      </c>
      <c r="AM150" s="243">
        <f>SUM(AM145:AM149)</f>
        <v>33772</v>
      </c>
      <c r="AN150" s="243"/>
      <c r="AO150" s="243"/>
      <c r="AP150" s="243">
        <v>22975</v>
      </c>
      <c r="AQ150" s="243">
        <v>24673</v>
      </c>
      <c r="AR150" s="243">
        <v>28941</v>
      </c>
      <c r="AS150" s="243">
        <v>28941</v>
      </c>
      <c r="AT150" s="243">
        <v>29945</v>
      </c>
      <c r="AU150" s="243">
        <v>33818</v>
      </c>
      <c r="AV150" s="243">
        <v>35817</v>
      </c>
      <c r="AW150" s="243">
        <f t="shared" ref="AW150:BB150" si="944">SUM(AW145:AW149)</f>
        <v>36592</v>
      </c>
      <c r="AX150" s="243">
        <f t="shared" si="944"/>
        <v>34381</v>
      </c>
      <c r="AY150" s="243">
        <f t="shared" si="944"/>
        <v>34856</v>
      </c>
      <c r="AZ150" s="243">
        <f t="shared" si="944"/>
        <v>35512</v>
      </c>
      <c r="BA150" s="243">
        <f t="shared" si="944"/>
        <v>35621</v>
      </c>
      <c r="BB150" s="243">
        <f t="shared" si="944"/>
        <v>39541</v>
      </c>
      <c r="BC150" s="243">
        <f t="shared" ref="BC150:BF150" si="945">SUM(BC145:BC149)</f>
        <v>38861</v>
      </c>
      <c r="BD150" s="243">
        <f t="shared" ref="BD150" si="946">SUM(BD145:BD149)</f>
        <v>39023</v>
      </c>
      <c r="BE150" s="243">
        <f t="shared" si="945"/>
        <v>42717</v>
      </c>
      <c r="BF150" s="243">
        <f t="shared" si="945"/>
        <v>47307</v>
      </c>
      <c r="BG150" s="243">
        <f t="shared" ref="BG150:BH150" si="947">SUM(BG145:BG149)</f>
        <v>49221</v>
      </c>
      <c r="BH150" s="243">
        <f t="shared" si="947"/>
        <v>52673</v>
      </c>
      <c r="BI150" s="243">
        <f>SUM(BI145:BI149)</f>
        <v>53443</v>
      </c>
      <c r="BJ150" s="243">
        <f t="shared" ref="BJ150:BM150" si="948">SUM(BJ145:BJ149)</f>
        <v>54316</v>
      </c>
      <c r="BK150" s="243">
        <f t="shared" si="948"/>
        <v>57007</v>
      </c>
      <c r="BL150" s="243">
        <f t="shared" si="948"/>
        <v>41615</v>
      </c>
      <c r="BM150" s="243">
        <f t="shared" si="948"/>
        <v>44791</v>
      </c>
      <c r="BN150" s="243">
        <f>SUM(BN145:BN149)</f>
        <v>46116</v>
      </c>
      <c r="BO150" s="243">
        <f>SUM(BO145:BO149)</f>
        <v>47228</v>
      </c>
      <c r="BP150" s="243">
        <f>SUM(BP145:BP149)</f>
        <v>51273</v>
      </c>
      <c r="BQ150" s="243">
        <f>SUM(BQ145:BQ149)</f>
        <v>52176</v>
      </c>
      <c r="BR150" s="243">
        <f>SUM(BR145:BR149)</f>
        <v>56407</v>
      </c>
      <c r="CX150" s="243">
        <f t="shared" ref="CX150:DD150" si="949">SUM(CX145:CX149)</f>
        <v>60979</v>
      </c>
      <c r="CY150" s="243">
        <f t="shared" si="949"/>
        <v>60424</v>
      </c>
      <c r="CZ150" s="243">
        <f t="shared" si="949"/>
        <v>63847</v>
      </c>
      <c r="DA150" s="243">
        <f t="shared" si="949"/>
        <v>65236</v>
      </c>
      <c r="DB150" s="243">
        <f t="shared" si="949"/>
        <v>55294</v>
      </c>
      <c r="DC150" s="243">
        <f t="shared" si="949"/>
        <v>64388</v>
      </c>
      <c r="DD150" s="243">
        <f t="shared" si="949"/>
        <v>60567</v>
      </c>
      <c r="DG150" s="243">
        <f>SUM(DG145:DG149)</f>
        <v>57002</v>
      </c>
      <c r="EF150" s="243"/>
      <c r="EG150" s="243">
        <f>SUM(EG145:EG149)</f>
        <v>22991</v>
      </c>
      <c r="EJ150" s="243">
        <f>SUM(EJ145:EJ149)</f>
        <v>39541</v>
      </c>
    </row>
    <row r="151" spans="2:166" ht="12.75" customHeight="1" x14ac:dyDescent="0.2">
      <c r="B151" t="s">
        <v>378</v>
      </c>
      <c r="AM151" s="243">
        <v>10951</v>
      </c>
      <c r="AN151" s="243"/>
      <c r="AO151" s="243"/>
      <c r="AP151" s="243">
        <v>13044</v>
      </c>
      <c r="AQ151" s="243">
        <v>13180</v>
      </c>
      <c r="AR151" s="243">
        <v>13385</v>
      </c>
      <c r="AS151" s="243">
        <v>13613</v>
      </c>
      <c r="AT151" s="243">
        <v>14185</v>
      </c>
      <c r="AU151" s="243">
        <v>14486</v>
      </c>
      <c r="AV151" s="243">
        <v>14627</v>
      </c>
      <c r="AW151" s="243">
        <v>14355</v>
      </c>
      <c r="AX151" s="243">
        <v>14365</v>
      </c>
      <c r="AY151" s="243">
        <v>14253</v>
      </c>
      <c r="AZ151" s="243">
        <v>14502</v>
      </c>
      <c r="BA151" s="243">
        <v>14815</v>
      </c>
      <c r="BB151" s="243">
        <v>14759</v>
      </c>
      <c r="BC151" s="243">
        <v>14277</v>
      </c>
      <c r="BD151" s="243">
        <v>13881</v>
      </c>
      <c r="BE151" s="243">
        <v>14360</v>
      </c>
      <c r="BF151" s="243">
        <v>14553</v>
      </c>
      <c r="BG151" s="243">
        <v>15084</v>
      </c>
      <c r="BH151" s="243">
        <v>14974</v>
      </c>
      <c r="BI151" s="243">
        <v>14635</v>
      </c>
      <c r="BJ151" s="243">
        <v>14739</v>
      </c>
      <c r="BK151" s="243">
        <v>14824</v>
      </c>
      <c r="BL151" s="243">
        <v>15622</v>
      </c>
      <c r="BM151" s="243">
        <v>15845</v>
      </c>
      <c r="BN151" s="243">
        <v>16097</v>
      </c>
      <c r="BO151" s="243">
        <v>15721</v>
      </c>
      <c r="BP151" s="243">
        <v>15794</v>
      </c>
      <c r="BQ151" s="243">
        <v>16127</v>
      </c>
      <c r="BR151" s="243">
        <v>16710</v>
      </c>
      <c r="CX151" s="243">
        <v>18962</v>
      </c>
      <c r="CY151" s="243">
        <v>18701</v>
      </c>
      <c r="CZ151" s="243">
        <v>18354</v>
      </c>
      <c r="DA151" s="243">
        <v>18152</v>
      </c>
      <c r="DB151" s="243">
        <v>19803</v>
      </c>
      <c r="DC151" s="243">
        <v>20174</v>
      </c>
      <c r="DD151" s="243">
        <v>20576</v>
      </c>
      <c r="DG151" s="243">
        <v>19632</v>
      </c>
      <c r="EF151" s="243"/>
      <c r="EG151" s="243">
        <v>13044</v>
      </c>
      <c r="EJ151" s="243">
        <v>14759</v>
      </c>
    </row>
    <row r="152" spans="2:166" ht="12.75" customHeight="1" x14ac:dyDescent="0.2">
      <c r="B152" t="s">
        <v>379</v>
      </c>
      <c r="AM152" s="243">
        <f>6438+6460</f>
        <v>12898</v>
      </c>
      <c r="AN152" s="243"/>
      <c r="AO152" s="243"/>
      <c r="AP152" s="243">
        <f>15348+13340</f>
        <v>28688</v>
      </c>
      <c r="AQ152" s="243">
        <f>15568+13663</f>
        <v>29231</v>
      </c>
      <c r="AR152" s="243">
        <f>15412+13754</f>
        <v>29166</v>
      </c>
      <c r="AS152" s="243">
        <f>15468+14040</f>
        <v>29508</v>
      </c>
      <c r="AT152" s="243">
        <f>14640+14123</f>
        <v>28763</v>
      </c>
      <c r="AU152" s="243">
        <f>14818+14615</f>
        <v>29433</v>
      </c>
      <c r="AV152" s="243">
        <f>14675+14526</f>
        <v>29201</v>
      </c>
      <c r="AW152" s="243">
        <f>14296+14275</f>
        <v>28571</v>
      </c>
      <c r="AX152" s="243">
        <f>13976+13719</f>
        <v>27695</v>
      </c>
      <c r="AY152" s="243">
        <f>14840+14083</f>
        <v>28923</v>
      </c>
      <c r="AZ152" s="243">
        <f>14720+14152</f>
        <v>28872</v>
      </c>
      <c r="BA152" s="243">
        <f>16636+15017</f>
        <v>31653</v>
      </c>
      <c r="BB152" s="243">
        <f>16323+14862</f>
        <v>31185</v>
      </c>
      <c r="BC152" s="243">
        <f>16799+14977</f>
        <v>31776</v>
      </c>
      <c r="BD152" s="243">
        <f>16459+14628</f>
        <v>31087</v>
      </c>
      <c r="BE152" s="243">
        <f>17068+15375</f>
        <v>32443</v>
      </c>
      <c r="BF152" s="243">
        <f>16716+15294</f>
        <v>32010</v>
      </c>
      <c r="BG152" s="243">
        <f>18687+16126</f>
        <v>34813</v>
      </c>
      <c r="BH152" s="243">
        <f>18378+16243</f>
        <v>34621</v>
      </c>
      <c r="BI152" s="243">
        <f>18225+16049</f>
        <v>34274</v>
      </c>
      <c r="BJ152" s="243">
        <f>18138+16138</f>
        <v>34276</v>
      </c>
      <c r="BK152" s="243">
        <f>18157+16339</f>
        <v>34496</v>
      </c>
      <c r="BL152" s="243">
        <f>29199+21412</f>
        <v>50611</v>
      </c>
      <c r="BM152" s="243">
        <f>28790+21777</f>
        <v>50567</v>
      </c>
      <c r="BN152" s="243">
        <f>28752+22424</f>
        <v>51176</v>
      </c>
      <c r="BO152" s="243">
        <f>28009+22349</f>
        <v>50358</v>
      </c>
      <c r="BP152" s="243">
        <f>27704+22337</f>
        <v>50041</v>
      </c>
      <c r="BQ152" s="243">
        <f>28467+22852</f>
        <v>51319</v>
      </c>
      <c r="BR152" s="243">
        <f>27947+22798</f>
        <v>50745</v>
      </c>
      <c r="CX152" s="243">
        <f>46392+35246</f>
        <v>81638</v>
      </c>
      <c r="CY152" s="243">
        <f>44420+34935</f>
        <v>79355</v>
      </c>
      <c r="CZ152" s="243">
        <f>42408+34166</f>
        <v>76574</v>
      </c>
      <c r="DA152" s="243">
        <f>40336+33383</f>
        <v>73719</v>
      </c>
      <c r="DB152" s="243">
        <f>48325+45231</f>
        <v>93556</v>
      </c>
      <c r="DC152" s="243">
        <f>47448+45575</f>
        <v>93023</v>
      </c>
      <c r="DD152" s="243">
        <f>46246+45440</f>
        <v>91686</v>
      </c>
      <c r="DG152" s="243">
        <f>34286+36616</f>
        <v>70902</v>
      </c>
      <c r="EF152" s="243"/>
      <c r="EG152" s="243">
        <f>15348+13340</f>
        <v>28688</v>
      </c>
      <c r="EJ152" s="243">
        <f>16323+14862</f>
        <v>31185</v>
      </c>
    </row>
    <row r="153" spans="2:166" ht="12.75" customHeight="1" x14ac:dyDescent="0.2">
      <c r="B153" t="s">
        <v>375</v>
      </c>
      <c r="AM153" s="243">
        <v>1269</v>
      </c>
      <c r="AN153" s="243"/>
      <c r="AO153" s="243"/>
      <c r="AP153" s="243">
        <v>3210</v>
      </c>
      <c r="AQ153" s="243">
        <v>3273</v>
      </c>
      <c r="AR153" s="243">
        <v>3575</v>
      </c>
      <c r="AS153" s="243">
        <v>3808</v>
      </c>
      <c r="AT153" s="243">
        <v>4889</v>
      </c>
      <c r="AU153" s="243">
        <v>5129</v>
      </c>
      <c r="AV153" s="243">
        <v>5422</v>
      </c>
      <c r="AW153" s="243">
        <v>5191</v>
      </c>
      <c r="AX153" s="243">
        <v>5841</v>
      </c>
      <c r="AY153" s="243">
        <v>5479</v>
      </c>
      <c r="AZ153" s="243">
        <v>5870</v>
      </c>
      <c r="BA153" s="243">
        <v>5888</v>
      </c>
      <c r="BB153" s="243">
        <v>5507</v>
      </c>
      <c r="BC153" s="243">
        <v>4905</v>
      </c>
      <c r="BD153" s="243">
        <v>5109</v>
      </c>
      <c r="BE153" s="243">
        <v>5175</v>
      </c>
      <c r="BF153" s="243">
        <v>5096</v>
      </c>
      <c r="BG153" s="243">
        <v>5327</v>
      </c>
      <c r="BH153" s="243">
        <v>5653</v>
      </c>
      <c r="BI153" s="243">
        <v>5564</v>
      </c>
      <c r="BJ153" s="243">
        <v>6540</v>
      </c>
      <c r="BK153" s="243">
        <v>5911</v>
      </c>
      <c r="BL153" s="243">
        <v>4011</v>
      </c>
      <c r="BM153" s="243">
        <v>4227</v>
      </c>
      <c r="BN153" s="243">
        <v>4541</v>
      </c>
      <c r="BO153" s="243">
        <v>4506</v>
      </c>
      <c r="BP153" s="243">
        <v>4740</v>
      </c>
      <c r="BQ153" s="243">
        <v>4596</v>
      </c>
      <c r="BR153" s="243">
        <v>3872</v>
      </c>
      <c r="CX153" s="243">
        <v>10223</v>
      </c>
      <c r="CY153" s="243">
        <v>9936</v>
      </c>
      <c r="CZ153" s="243">
        <v>9514</v>
      </c>
      <c r="DA153" s="243">
        <v>9392</v>
      </c>
      <c r="DB153" s="243">
        <v>9123</v>
      </c>
      <c r="DC153" s="243">
        <v>8817</v>
      </c>
      <c r="DD153" s="243">
        <v>8779</v>
      </c>
      <c r="DG153" s="243">
        <v>10305</v>
      </c>
      <c r="EF153" s="243"/>
      <c r="EG153" s="243">
        <v>3210</v>
      </c>
      <c r="EJ153" s="243">
        <v>5507</v>
      </c>
    </row>
    <row r="154" spans="2:166" ht="12.75" customHeight="1" x14ac:dyDescent="0.2">
      <c r="B154" t="s">
        <v>380</v>
      </c>
      <c r="AM154" s="243">
        <v>3243</v>
      </c>
      <c r="AN154" s="243"/>
      <c r="AO154" s="243"/>
      <c r="AP154" s="243">
        <v>2623</v>
      </c>
      <c r="AQ154" s="243">
        <v>2695</v>
      </c>
      <c r="AR154" s="243">
        <v>2736</v>
      </c>
      <c r="AS154" s="243">
        <v>2787</v>
      </c>
      <c r="AT154" s="243">
        <v>3170</v>
      </c>
      <c r="AU154" s="243">
        <v>3126</v>
      </c>
      <c r="AV154" s="243">
        <v>3043</v>
      </c>
      <c r="AW154" s="243">
        <v>3015</v>
      </c>
      <c r="AX154" s="243">
        <v>2630</v>
      </c>
      <c r="AY154" s="243">
        <v>2589</v>
      </c>
      <c r="AZ154" s="243">
        <v>2682</v>
      </c>
      <c r="BA154" s="243">
        <v>3581</v>
      </c>
      <c r="BB154" s="243">
        <v>3690</v>
      </c>
      <c r="BC154" s="243">
        <v>3622</v>
      </c>
      <c r="BD154" s="243">
        <v>3200</v>
      </c>
      <c r="BE154" s="243">
        <v>3552</v>
      </c>
      <c r="BF154" s="243">
        <v>3942</v>
      </c>
      <c r="BG154" s="243">
        <v>3705</v>
      </c>
      <c r="BH154" s="243">
        <v>4193</v>
      </c>
      <c r="BI154" s="243">
        <v>3905</v>
      </c>
      <c r="BJ154" s="243">
        <v>3773</v>
      </c>
      <c r="BK154" s="243">
        <v>3956</v>
      </c>
      <c r="BL154" s="243">
        <v>3891</v>
      </c>
      <c r="BM154" s="243">
        <v>3521</v>
      </c>
      <c r="BN154" s="243">
        <v>3417</v>
      </c>
      <c r="BO154" s="243">
        <v>3723</v>
      </c>
      <c r="BP154" s="243">
        <v>2477</v>
      </c>
      <c r="BQ154" s="243">
        <v>2715</v>
      </c>
      <c r="BR154" s="243">
        <v>4949</v>
      </c>
      <c r="CX154" s="243">
        <v>10216</v>
      </c>
      <c r="CY154" s="243">
        <v>9939</v>
      </c>
      <c r="CZ154" s="243">
        <v>9435</v>
      </c>
      <c r="DA154" s="243">
        <v>8625</v>
      </c>
      <c r="DB154" s="243">
        <v>9602</v>
      </c>
      <c r="DC154" s="243">
        <v>9567</v>
      </c>
      <c r="DD154" s="243">
        <v>10078</v>
      </c>
      <c r="DG154" s="243">
        <v>14125</v>
      </c>
      <c r="EF154" s="243"/>
      <c r="EG154" s="243">
        <v>2623</v>
      </c>
      <c r="EJ154" s="243">
        <v>3690</v>
      </c>
    </row>
    <row r="155" spans="2:166" ht="12.75" customHeight="1" x14ac:dyDescent="0.2">
      <c r="B155" t="s">
        <v>1451</v>
      </c>
      <c r="AM155" s="243">
        <f>SUM(AM150:AM154)</f>
        <v>62133</v>
      </c>
      <c r="AN155" s="243"/>
      <c r="AO155" s="243"/>
      <c r="AP155" s="243">
        <v>70556</v>
      </c>
      <c r="AQ155" s="243">
        <v>73066</v>
      </c>
      <c r="AR155" s="243">
        <v>74683</v>
      </c>
      <c r="AS155" s="243">
        <v>78665</v>
      </c>
      <c r="AT155" s="243">
        <v>80954</v>
      </c>
      <c r="AU155" s="243">
        <v>85995</v>
      </c>
      <c r="AV155" s="243">
        <v>88113</v>
      </c>
      <c r="AW155" s="243">
        <f t="shared" ref="AW155:BB155" si="950">SUM(AW150:AW154)</f>
        <v>87724</v>
      </c>
      <c r="AX155" s="243">
        <f t="shared" si="950"/>
        <v>84912</v>
      </c>
      <c r="AY155" s="243">
        <f t="shared" si="950"/>
        <v>86100</v>
      </c>
      <c r="AZ155" s="243">
        <f t="shared" si="950"/>
        <v>87438</v>
      </c>
      <c r="BA155" s="243">
        <f t="shared" si="950"/>
        <v>91558</v>
      </c>
      <c r="BB155" s="243">
        <f t="shared" si="950"/>
        <v>94682</v>
      </c>
      <c r="BC155" s="243">
        <f t="shared" ref="BC155:BF155" si="951">SUM(BC150:BC154)</f>
        <v>93441</v>
      </c>
      <c r="BD155" s="243">
        <f t="shared" ref="BD155" si="952">SUM(BD150:BD154)</f>
        <v>92300</v>
      </c>
      <c r="BE155" s="243">
        <f t="shared" si="951"/>
        <v>98247</v>
      </c>
      <c r="BF155" s="243">
        <f t="shared" si="951"/>
        <v>102908</v>
      </c>
      <c r="BG155" s="243">
        <f t="shared" ref="BG155:BH155" si="953">SUM(BG150:BG154)</f>
        <v>108150</v>
      </c>
      <c r="BH155" s="243">
        <f t="shared" si="953"/>
        <v>112114</v>
      </c>
      <c r="BI155" s="243">
        <f t="shared" ref="BI155:BJ155" si="954">SUM(BI150:BI154)</f>
        <v>111821</v>
      </c>
      <c r="BJ155" s="243">
        <f t="shared" si="954"/>
        <v>113644</v>
      </c>
      <c r="BK155" s="243">
        <f t="shared" ref="BK155:BL155" si="955">SUM(BK150:BK154)</f>
        <v>116194</v>
      </c>
      <c r="BL155" s="243">
        <f t="shared" si="955"/>
        <v>115750</v>
      </c>
      <c r="BM155" s="243">
        <f t="shared" ref="BM155:BN155" si="956">SUM(BM150:BM154)</f>
        <v>118951</v>
      </c>
      <c r="BN155" s="243">
        <f t="shared" si="956"/>
        <v>121347</v>
      </c>
      <c r="BO155" s="243">
        <f t="shared" ref="BO155:BQ155" si="957">SUM(BO150:BO154)</f>
        <v>121536</v>
      </c>
      <c r="BP155" s="243">
        <f t="shared" si="957"/>
        <v>124325</v>
      </c>
      <c r="BQ155" s="243">
        <f t="shared" si="957"/>
        <v>126933</v>
      </c>
      <c r="BR155" s="243">
        <f t="shared" ref="BR155" si="958">SUM(BR150:BR154)</f>
        <v>132683</v>
      </c>
      <c r="CX155" s="243">
        <f t="shared" ref="CX155:DD155" si="959">SUM(CX150:CX154)</f>
        <v>182018</v>
      </c>
      <c r="CY155" s="243">
        <f t="shared" si="959"/>
        <v>178355</v>
      </c>
      <c r="CZ155" s="243">
        <f t="shared" si="959"/>
        <v>177724</v>
      </c>
      <c r="DA155" s="243">
        <f t="shared" si="959"/>
        <v>175124</v>
      </c>
      <c r="DB155" s="243">
        <f t="shared" si="959"/>
        <v>187378</v>
      </c>
      <c r="DC155" s="243">
        <f t="shared" si="959"/>
        <v>195969</v>
      </c>
      <c r="DD155" s="243">
        <f t="shared" si="959"/>
        <v>191686</v>
      </c>
      <c r="DG155" s="243">
        <f>SUM(DG150:DG154)</f>
        <v>171966</v>
      </c>
      <c r="EF155" s="243"/>
      <c r="EG155" s="243">
        <f>SUM(EG150:EG154)</f>
        <v>70556</v>
      </c>
      <c r="EJ155" s="243">
        <f>SUM(EJ150:EJ154)</f>
        <v>94682</v>
      </c>
    </row>
    <row r="156" spans="2:166" ht="12.75" customHeight="1" x14ac:dyDescent="0.2">
      <c r="AM156" s="243"/>
      <c r="AN156" s="243"/>
      <c r="AO156" s="243"/>
      <c r="AP156" s="243"/>
      <c r="AQ156" s="243"/>
      <c r="AR156" s="243"/>
      <c r="AS156" s="243"/>
      <c r="AT156" s="243"/>
      <c r="AU156" s="243"/>
      <c r="AV156" s="243"/>
      <c r="AW156" s="243"/>
      <c r="AX156" s="243"/>
      <c r="AY156" s="243"/>
      <c r="AZ156" s="243"/>
      <c r="BA156" s="243"/>
      <c r="BB156" s="243"/>
      <c r="BC156" s="243"/>
      <c r="BD156" s="243"/>
      <c r="BE156" s="243"/>
      <c r="BF156" s="243"/>
      <c r="BG156" s="243"/>
      <c r="BH156" s="243"/>
      <c r="BI156" s="243"/>
      <c r="BJ156" s="243"/>
      <c r="BK156" s="243"/>
      <c r="BL156" s="243"/>
      <c r="BM156" s="243"/>
      <c r="BN156" s="243"/>
      <c r="BO156" s="243"/>
      <c r="BP156" s="243"/>
      <c r="BQ156" s="243"/>
      <c r="BR156" s="243"/>
      <c r="CY156" s="243"/>
      <c r="DB156" s="243"/>
      <c r="DC156" s="243"/>
      <c r="DD156" s="243"/>
      <c r="DG156" s="243"/>
      <c r="EF156" s="243"/>
      <c r="EG156" s="243"/>
      <c r="EJ156" s="243"/>
    </row>
    <row r="157" spans="2:166" ht="12.75" customHeight="1" x14ac:dyDescent="0.2">
      <c r="B157" t="s">
        <v>381</v>
      </c>
      <c r="AM157" s="243">
        <v>828</v>
      </c>
      <c r="AN157" s="243"/>
      <c r="AO157" s="243"/>
      <c r="AP157" s="243">
        <v>4579</v>
      </c>
      <c r="AQ157" s="243">
        <v>4682</v>
      </c>
      <c r="AR157" s="243">
        <v>4470</v>
      </c>
      <c r="AS157" s="243">
        <v>3264</v>
      </c>
      <c r="AT157" s="243">
        <v>2463</v>
      </c>
      <c r="AU157" s="243">
        <v>4250</v>
      </c>
      <c r="AV157" s="243">
        <v>5156</v>
      </c>
      <c r="AW157" s="243">
        <v>6245</v>
      </c>
      <c r="AX157" s="243">
        <v>3732</v>
      </c>
      <c r="AY157" s="243">
        <v>6022</v>
      </c>
      <c r="AZ157" s="243">
        <v>5435</v>
      </c>
      <c r="BA157" s="243">
        <v>3341</v>
      </c>
      <c r="BB157" s="243">
        <v>6318</v>
      </c>
      <c r="BC157" s="243">
        <v>4044</v>
      </c>
      <c r="BD157" s="243">
        <v>3715</v>
      </c>
      <c r="BE157" s="243">
        <v>2843</v>
      </c>
      <c r="BF157" s="243">
        <v>7617</v>
      </c>
      <c r="BG157" s="243">
        <v>8575</v>
      </c>
      <c r="BH157" s="243">
        <v>5046</v>
      </c>
      <c r="BI157" s="243">
        <v>5326</v>
      </c>
      <c r="BJ157" s="243">
        <v>6658</v>
      </c>
      <c r="BK157" s="243">
        <v>6439</v>
      </c>
      <c r="BL157" s="243">
        <v>6040</v>
      </c>
      <c r="BM157" s="243">
        <v>5423</v>
      </c>
      <c r="BN157" s="243">
        <v>4676</v>
      </c>
      <c r="BO157" s="243">
        <v>4529</v>
      </c>
      <c r="BP157" s="243">
        <v>5339</v>
      </c>
      <c r="BQ157" s="243">
        <v>5359</v>
      </c>
      <c r="BR157" s="243">
        <v>4852</v>
      </c>
      <c r="CX157" s="243">
        <v>3766</v>
      </c>
      <c r="CY157" s="243">
        <v>4297</v>
      </c>
      <c r="CZ157" s="243">
        <v>4305</v>
      </c>
      <c r="DA157" s="243">
        <v>4424</v>
      </c>
      <c r="DB157" s="243">
        <v>12771</v>
      </c>
      <c r="DC157" s="243">
        <v>17979</v>
      </c>
      <c r="DD157" s="243">
        <v>11701</v>
      </c>
      <c r="DE157" s="243"/>
      <c r="DG157" s="243">
        <v>8550</v>
      </c>
      <c r="EF157" s="243"/>
      <c r="EG157" s="243">
        <v>4579</v>
      </c>
      <c r="EJ157" s="243">
        <v>6318</v>
      </c>
    </row>
    <row r="158" spans="2:166" ht="12.75" customHeight="1" x14ac:dyDescent="0.2">
      <c r="B158" t="s">
        <v>382</v>
      </c>
      <c r="AM158" s="243">
        <v>3939</v>
      </c>
      <c r="AN158" s="243"/>
      <c r="AO158" s="243"/>
      <c r="AP158" s="243">
        <v>5691</v>
      </c>
      <c r="AQ158" s="243">
        <v>5643</v>
      </c>
      <c r="AR158" s="243">
        <v>5458</v>
      </c>
      <c r="AS158" s="243">
        <v>5963</v>
      </c>
      <c r="AT158" s="243">
        <v>6909</v>
      </c>
      <c r="AU158" s="243">
        <v>7487</v>
      </c>
      <c r="AV158" s="243">
        <v>6623</v>
      </c>
      <c r="AW158" s="243">
        <v>6384</v>
      </c>
      <c r="AX158" s="243">
        <v>7503</v>
      </c>
      <c r="AY158" s="243">
        <v>6395</v>
      </c>
      <c r="AZ158" s="243">
        <v>5832</v>
      </c>
      <c r="BA158" s="243">
        <v>6419</v>
      </c>
      <c r="BB158" s="243">
        <v>5541</v>
      </c>
      <c r="BC158" s="243">
        <v>5126</v>
      </c>
      <c r="BD158" s="243">
        <v>4871</v>
      </c>
      <c r="BE158" s="243">
        <v>5477</v>
      </c>
      <c r="BF158" s="243">
        <v>5623</v>
      </c>
      <c r="BG158" s="243">
        <v>5701</v>
      </c>
      <c r="BH158" s="243">
        <v>5689</v>
      </c>
      <c r="BI158" s="243">
        <v>5730</v>
      </c>
      <c r="BJ158" s="243">
        <v>5725</v>
      </c>
      <c r="BK158" s="243">
        <v>5085</v>
      </c>
      <c r="BL158" s="243">
        <v>5145</v>
      </c>
      <c r="BM158" s="243">
        <v>5344</v>
      </c>
      <c r="BN158" s="243">
        <v>5831</v>
      </c>
      <c r="BO158" s="243">
        <v>5372</v>
      </c>
      <c r="BP158" s="243">
        <v>5687</v>
      </c>
      <c r="BQ158" s="243">
        <v>6055</v>
      </c>
      <c r="BR158" s="243">
        <v>6266</v>
      </c>
      <c r="CX158" s="243">
        <v>11055</v>
      </c>
      <c r="CY158" s="243">
        <v>9309</v>
      </c>
      <c r="CZ158" s="243">
        <v>9765</v>
      </c>
      <c r="DA158" s="243">
        <v>10153</v>
      </c>
      <c r="DB158" s="243">
        <v>11703</v>
      </c>
      <c r="DC158" s="243">
        <v>9909</v>
      </c>
      <c r="DD158" s="243">
        <v>10443</v>
      </c>
      <c r="DG158" s="243">
        <v>8174</v>
      </c>
      <c r="EF158" s="243"/>
      <c r="EG158" s="243">
        <v>5691</v>
      </c>
      <c r="EJ158" s="243">
        <v>5541</v>
      </c>
    </row>
    <row r="159" spans="2:166" ht="12.75" customHeight="1" x14ac:dyDescent="0.2">
      <c r="B159" t="s">
        <v>383</v>
      </c>
      <c r="AM159" s="243">
        <v>3520</v>
      </c>
      <c r="AN159" s="243"/>
      <c r="AO159" s="243"/>
      <c r="AP159" s="243">
        <v>4587</v>
      </c>
      <c r="AQ159" s="243">
        <v>4483</v>
      </c>
      <c r="AR159" s="243">
        <v>4585</v>
      </c>
      <c r="AS159" s="243">
        <v>5076</v>
      </c>
      <c r="AT159" s="243">
        <v>6412</v>
      </c>
      <c r="AU159" s="243">
        <v>5751</v>
      </c>
      <c r="AV159" s="243">
        <v>5631</v>
      </c>
      <c r="AW159" s="243">
        <v>5521</v>
      </c>
      <c r="AX159" s="243">
        <v>5531</v>
      </c>
      <c r="AY159" s="243">
        <v>4561</v>
      </c>
      <c r="AZ159" s="243">
        <v>4765</v>
      </c>
      <c r="BA159" s="243">
        <v>4862</v>
      </c>
      <c r="BB159" s="243">
        <v>5796</v>
      </c>
      <c r="BC159" s="243">
        <v>4415</v>
      </c>
      <c r="BD159" s="243">
        <v>4186</v>
      </c>
      <c r="BE159" s="243">
        <v>4333</v>
      </c>
      <c r="BF159" s="243">
        <v>4100</v>
      </c>
      <c r="BG159" s="243">
        <v>4093</v>
      </c>
      <c r="BH159" s="243">
        <v>4405</v>
      </c>
      <c r="BI159" s="243">
        <v>4136</v>
      </c>
      <c r="BJ159" s="243">
        <v>4608</v>
      </c>
      <c r="BK159" s="243">
        <v>4369</v>
      </c>
      <c r="BL159" s="243">
        <v>6533</v>
      </c>
      <c r="BM159" s="243">
        <v>6498</v>
      </c>
      <c r="BN159" s="243">
        <v>7299</v>
      </c>
      <c r="BO159" s="243">
        <v>6904</v>
      </c>
      <c r="BP159" s="243">
        <v>6646</v>
      </c>
      <c r="BQ159" s="243">
        <v>6921</v>
      </c>
      <c r="BR159" s="243">
        <v>7685</v>
      </c>
      <c r="CX159" s="243">
        <v>13612</v>
      </c>
      <c r="CY159" s="243">
        <v>13006</v>
      </c>
      <c r="CZ159" s="243">
        <v>12607</v>
      </c>
      <c r="DA159" s="243">
        <v>11953</v>
      </c>
      <c r="DB159" s="243">
        <v>11456</v>
      </c>
      <c r="DC159" s="243">
        <v>11204</v>
      </c>
      <c r="DD159" s="243">
        <v>10605</v>
      </c>
      <c r="DG159" s="243">
        <v>10323</v>
      </c>
      <c r="EF159" s="243"/>
      <c r="EG159" s="243">
        <v>4587</v>
      </c>
      <c r="EJ159" s="243">
        <v>5796</v>
      </c>
    </row>
    <row r="160" spans="2:166" ht="12.75" customHeight="1" x14ac:dyDescent="0.2">
      <c r="B160" t="s">
        <v>385</v>
      </c>
      <c r="AM160" s="243">
        <v>2026</v>
      </c>
      <c r="AN160" s="243"/>
      <c r="AO160" s="243"/>
      <c r="AP160" s="243">
        <v>2189</v>
      </c>
      <c r="AQ160" s="243">
        <v>2352</v>
      </c>
      <c r="AR160" s="243">
        <v>2447</v>
      </c>
      <c r="AS160" s="243">
        <v>2519</v>
      </c>
      <c r="AT160" s="243">
        <v>2318</v>
      </c>
      <c r="AU160" s="243">
        <v>2659</v>
      </c>
      <c r="AV160" s="243">
        <v>2693</v>
      </c>
      <c r="AW160" s="243">
        <v>2609</v>
      </c>
      <c r="AX160" s="243">
        <v>2237</v>
      </c>
      <c r="AY160" s="243">
        <v>2489</v>
      </c>
      <c r="AZ160" s="243">
        <v>2153</v>
      </c>
      <c r="BA160" s="243">
        <v>2123</v>
      </c>
      <c r="BB160" s="243">
        <v>2028</v>
      </c>
      <c r="BC160" s="243">
        <v>2487</v>
      </c>
      <c r="BD160" s="243">
        <v>2404</v>
      </c>
      <c r="BE160" s="243">
        <v>2666</v>
      </c>
      <c r="BF160" s="243">
        <v>2512</v>
      </c>
      <c r="BG160" s="243">
        <v>2858</v>
      </c>
      <c r="BH160" s="243">
        <v>2933</v>
      </c>
      <c r="BI160" s="243">
        <v>2895</v>
      </c>
      <c r="BJ160" s="243">
        <v>2637</v>
      </c>
      <c r="BK160" s="243">
        <v>2865</v>
      </c>
      <c r="BL160" s="243">
        <v>2960</v>
      </c>
      <c r="BM160" s="243">
        <v>3040</v>
      </c>
      <c r="BN160" s="243">
        <v>2969</v>
      </c>
      <c r="BO160" s="243">
        <v>2910</v>
      </c>
      <c r="BP160" s="243">
        <v>3138</v>
      </c>
      <c r="BQ160" s="243">
        <v>3465</v>
      </c>
      <c r="BR160" s="243">
        <v>3308</v>
      </c>
      <c r="CX160" s="243">
        <v>12095</v>
      </c>
      <c r="CY160" s="243">
        <v>12972</v>
      </c>
      <c r="CZ160" s="243">
        <v>13447</v>
      </c>
      <c r="DA160" s="243">
        <v>14021</v>
      </c>
      <c r="DB160" s="243">
        <v>14417</v>
      </c>
      <c r="DC160" s="243">
        <v>14784</v>
      </c>
      <c r="DD160" s="243">
        <v>15672</v>
      </c>
      <c r="DG160" s="243">
        <v>16182</v>
      </c>
      <c r="EF160" s="243"/>
      <c r="EG160" s="243">
        <v>2189</v>
      </c>
      <c r="EJ160" s="243">
        <v>2028</v>
      </c>
    </row>
    <row r="161" spans="2:140" ht="12.75" customHeight="1" x14ac:dyDescent="0.2">
      <c r="B161" t="s">
        <v>386</v>
      </c>
      <c r="AM161" s="243">
        <v>939</v>
      </c>
      <c r="AN161" s="243"/>
      <c r="AO161" s="243"/>
      <c r="AP161" s="243">
        <v>1391</v>
      </c>
      <c r="AQ161" s="243">
        <v>1125</v>
      </c>
      <c r="AR161" s="243">
        <v>1140</v>
      </c>
      <c r="AS161" s="243">
        <v>1474</v>
      </c>
      <c r="AT161" s="243">
        <v>1512</v>
      </c>
      <c r="AU161" s="243">
        <v>1222</v>
      </c>
      <c r="AV161" s="243">
        <v>1292</v>
      </c>
      <c r="AW161" s="243">
        <v>1513</v>
      </c>
      <c r="AX161" s="243">
        <v>1432</v>
      </c>
      <c r="AY161" s="243">
        <v>1153</v>
      </c>
      <c r="AZ161" s="243">
        <v>1191</v>
      </c>
      <c r="BA161" s="243">
        <v>1471</v>
      </c>
      <c r="BB161" s="243">
        <v>1606</v>
      </c>
      <c r="BC161" s="243">
        <v>1054</v>
      </c>
      <c r="BD161" s="243">
        <v>1197</v>
      </c>
      <c r="BE161" s="243">
        <v>1314</v>
      </c>
      <c r="BF161" s="243">
        <v>2642</v>
      </c>
      <c r="BG161" s="243">
        <v>1777</v>
      </c>
      <c r="BH161" s="243">
        <v>2104</v>
      </c>
      <c r="BI161" s="243">
        <v>2263</v>
      </c>
      <c r="BJ161" s="243">
        <v>2329</v>
      </c>
      <c r="BK161" s="243">
        <v>1526</v>
      </c>
      <c r="BL161" s="243">
        <v>1911</v>
      </c>
      <c r="BM161" s="243">
        <v>2128</v>
      </c>
      <c r="BN161" s="243">
        <v>2423</v>
      </c>
      <c r="BO161" s="243">
        <v>1631</v>
      </c>
      <c r="BP161" s="243">
        <v>2001</v>
      </c>
      <c r="BQ161" s="243">
        <v>2324</v>
      </c>
      <c r="BR161" s="243">
        <v>2794</v>
      </c>
      <c r="CX161" s="243">
        <v>3586</v>
      </c>
      <c r="CY161" s="243">
        <v>2098</v>
      </c>
      <c r="CZ161" s="243">
        <v>2717</v>
      </c>
      <c r="DA161" s="243">
        <v>3006</v>
      </c>
      <c r="DB161" s="243">
        <v>3328</v>
      </c>
      <c r="DC161" s="243">
        <v>2231</v>
      </c>
      <c r="DD161" s="243">
        <v>3062</v>
      </c>
      <c r="DG161" s="243">
        <v>2178</v>
      </c>
      <c r="EF161" s="243"/>
      <c r="EG161" s="243">
        <v>1391</v>
      </c>
      <c r="EJ161" s="243">
        <v>1606</v>
      </c>
    </row>
    <row r="162" spans="2:140" ht="12.75" customHeight="1" x14ac:dyDescent="0.2">
      <c r="B162" t="s">
        <v>387</v>
      </c>
      <c r="AM162" s="243">
        <v>1940</v>
      </c>
      <c r="AN162" s="243"/>
      <c r="AO162" s="243"/>
      <c r="AP162" s="243">
        <v>724</v>
      </c>
      <c r="AQ162" s="243">
        <v>1378</v>
      </c>
      <c r="AR162" s="243">
        <v>883</v>
      </c>
      <c r="AS162" s="243">
        <v>1032</v>
      </c>
      <c r="AT162" s="243">
        <v>253</v>
      </c>
      <c r="AU162" s="243">
        <v>702</v>
      </c>
      <c r="AV162" s="243">
        <v>385</v>
      </c>
      <c r="AW162" s="243">
        <v>458</v>
      </c>
      <c r="AX162" s="243">
        <v>417</v>
      </c>
      <c r="AY162" s="243">
        <v>705</v>
      </c>
      <c r="AZ162" s="243">
        <v>510</v>
      </c>
      <c r="BA162" s="243">
        <v>1029</v>
      </c>
      <c r="BB162" s="243">
        <v>442</v>
      </c>
      <c r="BC162" s="243">
        <v>1373</v>
      </c>
      <c r="BD162" s="243">
        <v>791</v>
      </c>
      <c r="BE162" s="243">
        <v>781</v>
      </c>
      <c r="BF162" s="243">
        <v>578</v>
      </c>
      <c r="BG162" s="243">
        <v>1007</v>
      </c>
      <c r="BH162" s="243">
        <v>808</v>
      </c>
      <c r="BI162" s="243">
        <v>1336</v>
      </c>
      <c r="BJ162" s="243">
        <v>854</v>
      </c>
      <c r="BK162" s="243">
        <v>914</v>
      </c>
      <c r="BL162" s="243">
        <v>1259</v>
      </c>
      <c r="BM162" s="243">
        <v>1502</v>
      </c>
      <c r="BN162" s="243">
        <v>1064</v>
      </c>
      <c r="BO162" s="243">
        <v>1178</v>
      </c>
      <c r="BP162" s="243">
        <v>956</v>
      </c>
      <c r="BQ162" s="243">
        <v>1711</v>
      </c>
      <c r="BR162" s="243">
        <v>770</v>
      </c>
      <c r="CX162" s="243">
        <v>1112</v>
      </c>
      <c r="CY162" s="243">
        <v>1708</v>
      </c>
      <c r="CZ162" s="243">
        <v>1980</v>
      </c>
      <c r="DA162" s="243">
        <v>1986</v>
      </c>
      <c r="DB162" s="243">
        <v>2127</v>
      </c>
      <c r="DC162" s="243">
        <v>4266</v>
      </c>
      <c r="DD162" s="243">
        <v>2687</v>
      </c>
      <c r="DG162" s="243">
        <v>3318</v>
      </c>
      <c r="EF162" s="243"/>
      <c r="EG162" s="243">
        <v>724</v>
      </c>
      <c r="EJ162" s="243">
        <v>442</v>
      </c>
    </row>
    <row r="163" spans="2:140" ht="12.75" customHeight="1" x14ac:dyDescent="0.2">
      <c r="B163" t="s">
        <v>377</v>
      </c>
      <c r="AM163" s="243">
        <f>SUM(AM157:AM162)</f>
        <v>13192</v>
      </c>
      <c r="AN163" s="243"/>
      <c r="AO163" s="243"/>
      <c r="AP163" s="243">
        <v>19161</v>
      </c>
      <c r="AQ163" s="243">
        <v>19663</v>
      </c>
      <c r="AR163" s="243">
        <v>18983</v>
      </c>
      <c r="AS163" s="243">
        <v>19328</v>
      </c>
      <c r="AT163" s="243">
        <v>19837</v>
      </c>
      <c r="AU163" s="243">
        <v>22071</v>
      </c>
      <c r="AV163" s="243">
        <v>21780</v>
      </c>
      <c r="AW163" s="243">
        <f t="shared" ref="AW163:BB163" si="960">SUM(AW157:AW162)</f>
        <v>22730</v>
      </c>
      <c r="AX163" s="243">
        <f t="shared" si="960"/>
        <v>20852</v>
      </c>
      <c r="AY163" s="243">
        <f t="shared" si="960"/>
        <v>21325</v>
      </c>
      <c r="AZ163" s="243">
        <f t="shared" si="960"/>
        <v>19886</v>
      </c>
      <c r="BA163" s="243">
        <f t="shared" si="960"/>
        <v>19245</v>
      </c>
      <c r="BB163" s="243">
        <f t="shared" si="960"/>
        <v>21731</v>
      </c>
      <c r="BC163" s="243">
        <f t="shared" ref="BC163:BF163" si="961">SUM(BC157:BC162)</f>
        <v>18499</v>
      </c>
      <c r="BD163" s="243">
        <f t="shared" ref="BD163" si="962">SUM(BD157:BD162)</f>
        <v>17164</v>
      </c>
      <c r="BE163" s="243">
        <f t="shared" si="961"/>
        <v>17414</v>
      </c>
      <c r="BF163" s="243">
        <f t="shared" si="961"/>
        <v>23072</v>
      </c>
      <c r="BG163" s="243">
        <f t="shared" ref="BG163" si="963">SUM(BG157:BG162)</f>
        <v>24011</v>
      </c>
      <c r="BH163" s="243">
        <f>SUM(BH157:BH162)</f>
        <v>20985</v>
      </c>
      <c r="BI163" s="243">
        <f t="shared" ref="BI163:BJ163" si="964">SUM(BI157:BI162)</f>
        <v>21686</v>
      </c>
      <c r="BJ163" s="243">
        <f t="shared" si="964"/>
        <v>22811</v>
      </c>
      <c r="BK163" s="243">
        <f t="shared" ref="BK163:BL163" si="965">SUM(BK157:BK162)</f>
        <v>21198</v>
      </c>
      <c r="BL163" s="243">
        <f t="shared" si="965"/>
        <v>23848</v>
      </c>
      <c r="BM163" s="243">
        <f t="shared" ref="BM163:BN163" si="966">SUM(BM157:BM162)</f>
        <v>23935</v>
      </c>
      <c r="BN163" s="243">
        <f t="shared" si="966"/>
        <v>24262</v>
      </c>
      <c r="BO163" s="243">
        <f t="shared" ref="BO163:BQ163" si="967">SUM(BO157:BO162)</f>
        <v>22524</v>
      </c>
      <c r="BP163" s="243">
        <f t="shared" si="967"/>
        <v>23767</v>
      </c>
      <c r="BQ163" s="243">
        <f t="shared" si="967"/>
        <v>25835</v>
      </c>
      <c r="BR163" s="243">
        <f t="shared" ref="BR163" si="968">SUM(BR157:BR162)</f>
        <v>25675</v>
      </c>
      <c r="CX163" s="243">
        <f t="shared" ref="CX163" si="969">SUM(CX157:CX162)</f>
        <v>45226</v>
      </c>
      <c r="CY163" s="243">
        <f t="shared" ref="CY163:DD163" si="970">SUM(CY157:CY162)</f>
        <v>43390</v>
      </c>
      <c r="CZ163" s="243">
        <f t="shared" si="970"/>
        <v>44821</v>
      </c>
      <c r="DA163" s="243">
        <f t="shared" si="970"/>
        <v>45543</v>
      </c>
      <c r="DB163" s="243">
        <f t="shared" si="970"/>
        <v>55802</v>
      </c>
      <c r="DC163" s="243">
        <f t="shared" si="970"/>
        <v>60373</v>
      </c>
      <c r="DD163" s="243">
        <f t="shared" si="970"/>
        <v>54170</v>
      </c>
      <c r="DG163" s="243">
        <f t="shared" ref="DG163" si="971">SUM(DG157:DG162)</f>
        <v>48725</v>
      </c>
      <c r="EF163" s="243"/>
      <c r="EG163" s="243">
        <f>SUM(EG157:EG162)</f>
        <v>19161</v>
      </c>
      <c r="EJ163" s="243">
        <f>SUM(EJ157:EJ162)</f>
        <v>21731</v>
      </c>
    </row>
    <row r="164" spans="2:140" ht="12.75" customHeight="1" x14ac:dyDescent="0.2">
      <c r="B164" t="s">
        <v>731</v>
      </c>
      <c r="AM164" s="243">
        <v>1980</v>
      </c>
      <c r="AN164" s="243"/>
      <c r="AO164" s="243"/>
      <c r="AP164" s="243">
        <v>2014</v>
      </c>
      <c r="AQ164" s="243">
        <v>2012</v>
      </c>
      <c r="AR164" s="243">
        <v>2013</v>
      </c>
      <c r="AS164" s="243">
        <v>4633</v>
      </c>
      <c r="AT164" s="243">
        <v>7074</v>
      </c>
      <c r="AU164" s="243">
        <v>7166</v>
      </c>
      <c r="AV164" s="243">
        <v>8770</v>
      </c>
      <c r="AW164" s="243">
        <v>8395</v>
      </c>
      <c r="AX164" s="243">
        <v>8120</v>
      </c>
      <c r="AY164" s="243">
        <v>8052</v>
      </c>
      <c r="AZ164" s="243">
        <v>8179</v>
      </c>
      <c r="BA164" s="243">
        <v>8259</v>
      </c>
      <c r="BB164" s="243">
        <v>8223</v>
      </c>
      <c r="BC164" s="243">
        <v>8059</v>
      </c>
      <c r="BD164" s="243">
        <v>7937</v>
      </c>
      <c r="BE164" s="243">
        <v>9182</v>
      </c>
      <c r="BF164" s="243">
        <v>9156</v>
      </c>
      <c r="BG164" s="243">
        <v>9255</v>
      </c>
      <c r="BH164" s="243">
        <v>13680</v>
      </c>
      <c r="BI164" s="243">
        <v>13031</v>
      </c>
      <c r="BJ164" s="243">
        <v>12969</v>
      </c>
      <c r="BK164" s="243">
        <v>13010</v>
      </c>
      <c r="BL164" s="243">
        <v>11525</v>
      </c>
      <c r="BM164" s="243">
        <v>11428</v>
      </c>
      <c r="BN164" s="243">
        <v>11489</v>
      </c>
      <c r="BO164" s="243">
        <v>11363</v>
      </c>
      <c r="BP164" s="243">
        <v>9643</v>
      </c>
      <c r="BQ164" s="243">
        <v>9748</v>
      </c>
      <c r="BR164" s="243">
        <v>13328</v>
      </c>
      <c r="CX164" s="243">
        <v>29985</v>
      </c>
      <c r="CY164" s="243">
        <v>28851</v>
      </c>
      <c r="CZ164" s="243">
        <v>28292</v>
      </c>
      <c r="DA164" s="243">
        <v>27603</v>
      </c>
      <c r="DB164" s="243">
        <v>26888</v>
      </c>
      <c r="DC164" s="243">
        <v>34928</v>
      </c>
      <c r="DD164" s="243">
        <v>33901</v>
      </c>
      <c r="DG164" s="243">
        <v>25082</v>
      </c>
      <c r="EF164" s="243"/>
      <c r="EG164" s="243">
        <v>2014</v>
      </c>
      <c r="EJ164" s="243">
        <v>8223</v>
      </c>
    </row>
    <row r="165" spans="2:140" ht="12.75" customHeight="1" x14ac:dyDescent="0.2">
      <c r="B165" t="s">
        <v>375</v>
      </c>
      <c r="AM165" s="243">
        <v>294</v>
      </c>
      <c r="AN165" s="243"/>
      <c r="AO165" s="243"/>
      <c r="AP165" s="243">
        <v>1319</v>
      </c>
      <c r="AQ165" s="243">
        <v>1375</v>
      </c>
      <c r="AR165" s="243">
        <v>1361</v>
      </c>
      <c r="AS165" s="243">
        <v>1386</v>
      </c>
      <c r="AT165" s="243">
        <v>1493</v>
      </c>
      <c r="AU165" s="243">
        <v>1451</v>
      </c>
      <c r="AV165" s="243">
        <v>1454</v>
      </c>
      <c r="AW165" s="243">
        <v>1384</v>
      </c>
      <c r="AX165" s="243">
        <v>1432</v>
      </c>
      <c r="AY165" s="243">
        <v>1487</v>
      </c>
      <c r="AZ165" s="243">
        <v>1481</v>
      </c>
      <c r="BA165" s="243">
        <v>1505</v>
      </c>
      <c r="BB165" s="243">
        <v>1424</v>
      </c>
      <c r="BC165" s="243">
        <v>1672</v>
      </c>
      <c r="BD165" s="243">
        <v>1669</v>
      </c>
      <c r="BE165" s="243">
        <v>1725</v>
      </c>
      <c r="BF165" s="243">
        <v>1447</v>
      </c>
      <c r="BG165" s="243">
        <v>1895</v>
      </c>
      <c r="BH165" s="243">
        <v>1888</v>
      </c>
      <c r="BI165" s="243">
        <v>1889</v>
      </c>
      <c r="BJ165" s="243">
        <v>1800</v>
      </c>
      <c r="BK165" s="243">
        <v>1846</v>
      </c>
      <c r="BL165" s="243">
        <v>2276</v>
      </c>
      <c r="BM165" s="243">
        <v>2716</v>
      </c>
      <c r="BN165" s="243">
        <v>3136</v>
      </c>
      <c r="BO165" s="243">
        <v>3619</v>
      </c>
      <c r="BP165" s="243">
        <v>3685</v>
      </c>
      <c r="BQ165" s="243">
        <v>3613</v>
      </c>
      <c r="BR165" s="243">
        <v>3989</v>
      </c>
      <c r="CX165" s="243">
        <f>7487+5713</f>
        <v>13200</v>
      </c>
      <c r="CY165" s="243">
        <f>6424+5745</f>
        <v>12169</v>
      </c>
      <c r="CZ165" s="243">
        <f>5015+4162</f>
        <v>9177</v>
      </c>
      <c r="DA165" s="243">
        <v>4946</v>
      </c>
      <c r="DB165" s="243">
        <f>6374+4306</f>
        <v>10680</v>
      </c>
      <c r="DC165" s="243">
        <f>4417+4296</f>
        <v>8713</v>
      </c>
      <c r="DD165" s="243">
        <f>3627+2536</f>
        <v>6163</v>
      </c>
      <c r="DG165" s="243">
        <f>3172+2881</f>
        <v>6053</v>
      </c>
      <c r="EF165" s="243"/>
      <c r="EG165" s="243">
        <v>1319</v>
      </c>
      <c r="EJ165" s="243">
        <v>1424</v>
      </c>
    </row>
    <row r="166" spans="2:140" ht="12.75" customHeight="1" x14ac:dyDescent="0.2">
      <c r="B166" t="s">
        <v>732</v>
      </c>
      <c r="AM166" s="243">
        <v>3284</v>
      </c>
      <c r="AN166" s="243"/>
      <c r="AO166" s="243"/>
      <c r="AP166" s="243">
        <v>5584</v>
      </c>
      <c r="AQ166" s="243">
        <v>5660</v>
      </c>
      <c r="AR166" s="243">
        <v>5654</v>
      </c>
      <c r="AS166" s="243">
        <v>6082</v>
      </c>
      <c r="AT166" s="243">
        <v>5402</v>
      </c>
      <c r="AU166" s="243">
        <v>5548</v>
      </c>
      <c r="AV166" s="243">
        <v>5572</v>
      </c>
      <c r="AW166" s="243">
        <v>5533</v>
      </c>
      <c r="AX166" s="243">
        <v>7791</v>
      </c>
      <c r="AY166" s="243">
        <v>7297</v>
      </c>
      <c r="AZ166" s="243">
        <v>7370</v>
      </c>
      <c r="BA166" s="243">
        <v>7111</v>
      </c>
      <c r="BB166" s="243">
        <v>6769</v>
      </c>
      <c r="BC166" s="243">
        <v>6254</v>
      </c>
      <c r="BD166" s="243">
        <v>6320</v>
      </c>
      <c r="BE166" s="243">
        <v>6409</v>
      </c>
      <c r="BF166" s="243">
        <v>6087</v>
      </c>
      <c r="BG166" s="243">
        <v>6125</v>
      </c>
      <c r="BH166" s="243">
        <v>6202</v>
      </c>
      <c r="BI166" s="243">
        <v>6215</v>
      </c>
      <c r="BJ166" s="243">
        <v>8353</v>
      </c>
      <c r="BK166" s="243">
        <v>8236</v>
      </c>
      <c r="BL166" s="243">
        <v>8180</v>
      </c>
      <c r="BM166" s="243">
        <v>7904</v>
      </c>
      <c r="BN166" s="243">
        <v>9082</v>
      </c>
      <c r="BO166" s="243">
        <v>8978</v>
      </c>
      <c r="BP166" s="243">
        <v>8996</v>
      </c>
      <c r="BQ166" s="243">
        <v>9038</v>
      </c>
      <c r="BR166" s="243">
        <v>7784</v>
      </c>
      <c r="CX166" s="243">
        <v>8898</v>
      </c>
      <c r="CY166" s="243">
        <v>8739</v>
      </c>
      <c r="CZ166" s="243">
        <v>8553</v>
      </c>
      <c r="DA166" s="243">
        <v>8353</v>
      </c>
      <c r="DB166" s="243">
        <v>6767</v>
      </c>
      <c r="DC166" s="243">
        <v>6665</v>
      </c>
      <c r="DD166" s="243">
        <v>6461</v>
      </c>
      <c r="DG166" s="243">
        <v>7019</v>
      </c>
      <c r="EF166" s="243"/>
      <c r="EG166" s="243">
        <v>5584</v>
      </c>
      <c r="EJ166" s="243">
        <v>6769</v>
      </c>
    </row>
    <row r="167" spans="2:140" ht="12.75" customHeight="1" x14ac:dyDescent="0.2">
      <c r="B167" t="s">
        <v>380</v>
      </c>
      <c r="AM167" s="243">
        <v>2260</v>
      </c>
      <c r="AN167" s="243"/>
      <c r="AO167" s="243"/>
      <c r="AP167" s="243">
        <v>3160</v>
      </c>
      <c r="AQ167" s="243">
        <v>3428</v>
      </c>
      <c r="AR167" s="243">
        <v>3550</v>
      </c>
      <c r="AS167" s="243">
        <v>3663</v>
      </c>
      <c r="AT167" s="243">
        <v>3829</v>
      </c>
      <c r="AU167" s="243">
        <v>4134</v>
      </c>
      <c r="AV167" s="243">
        <v>4102</v>
      </c>
      <c r="AW167" s="243">
        <v>3948</v>
      </c>
      <c r="AX167" s="243">
        <v>4206</v>
      </c>
      <c r="AY167" s="243">
        <v>4148</v>
      </c>
      <c r="AZ167" s="243">
        <v>4275</v>
      </c>
      <c r="BA167" s="243">
        <v>5054</v>
      </c>
      <c r="BB167" s="243">
        <v>5947</v>
      </c>
      <c r="BC167" s="243">
        <v>6043</v>
      </c>
      <c r="BD167" s="243">
        <v>6359</v>
      </c>
      <c r="BE167" s="243">
        <v>6226</v>
      </c>
      <c r="BF167" s="243">
        <v>6567</v>
      </c>
      <c r="BG167" s="243">
        <v>7001</v>
      </c>
      <c r="BH167" s="243">
        <v>7227</v>
      </c>
      <c r="BI167" s="243">
        <v>7473</v>
      </c>
      <c r="BJ167" s="243">
        <v>10631</v>
      </c>
      <c r="BK167" s="243">
        <v>10538</v>
      </c>
      <c r="BL167" s="243">
        <v>9487</v>
      </c>
      <c r="BM167" s="243">
        <v>9207</v>
      </c>
      <c r="BN167" s="243">
        <v>8552</v>
      </c>
      <c r="BO167" s="243">
        <v>8197</v>
      </c>
      <c r="BP167" s="243">
        <v>8569</v>
      </c>
      <c r="BQ167" s="243">
        <v>8895</v>
      </c>
      <c r="BR167" s="243">
        <v>7854</v>
      </c>
      <c r="CX167" s="243">
        <v>10686</v>
      </c>
      <c r="CY167" s="243">
        <v>10497</v>
      </c>
      <c r="CZ167" s="243">
        <v>10524</v>
      </c>
      <c r="DA167" s="243">
        <f>4162+9918</f>
        <v>14080</v>
      </c>
      <c r="DB167" s="243">
        <v>10437</v>
      </c>
      <c r="DC167" s="243">
        <v>14421</v>
      </c>
      <c r="DD167" s="243">
        <v>14582</v>
      </c>
      <c r="DG167" s="243">
        <v>15067</v>
      </c>
      <c r="EF167" s="243"/>
      <c r="EG167" s="243">
        <v>3160</v>
      </c>
      <c r="EJ167" s="243">
        <v>5947</v>
      </c>
    </row>
    <row r="168" spans="2:140" ht="12.75" customHeight="1" x14ac:dyDescent="0.2">
      <c r="B168" t="s">
        <v>1450</v>
      </c>
      <c r="AM168" s="243">
        <f>SUM(AM163:AM167)</f>
        <v>21010</v>
      </c>
      <c r="AN168" s="243"/>
      <c r="AO168" s="243"/>
      <c r="AP168" s="243">
        <v>31238</v>
      </c>
      <c r="AQ168" s="243">
        <v>32138</v>
      </c>
      <c r="AR168" s="243">
        <v>31561</v>
      </c>
      <c r="AS168" s="243">
        <v>35092</v>
      </c>
      <c r="AT168" s="243">
        <v>37635</v>
      </c>
      <c r="AU168" s="243">
        <v>40370</v>
      </c>
      <c r="AV168" s="243">
        <v>41678</v>
      </c>
      <c r="AW168" s="243">
        <f t="shared" ref="AW168:BB168" si="972">SUM(AW163:AW167)</f>
        <v>41990</v>
      </c>
      <c r="AX168" s="243">
        <f t="shared" si="972"/>
        <v>42401</v>
      </c>
      <c r="AY168" s="243">
        <f t="shared" si="972"/>
        <v>42309</v>
      </c>
      <c r="AZ168" s="243">
        <f t="shared" si="972"/>
        <v>41191</v>
      </c>
      <c r="BA168" s="243">
        <f t="shared" si="972"/>
        <v>41174</v>
      </c>
      <c r="BB168" s="243">
        <f t="shared" si="972"/>
        <v>44094</v>
      </c>
      <c r="BC168" s="243">
        <f t="shared" ref="BC168:BF168" si="973">SUM(BC163:BC167)</f>
        <v>40527</v>
      </c>
      <c r="BD168" s="243">
        <f t="shared" ref="BD168" si="974">SUM(BD163:BD167)</f>
        <v>39449</v>
      </c>
      <c r="BE168" s="243">
        <f t="shared" si="973"/>
        <v>40956</v>
      </c>
      <c r="BF168" s="243">
        <f t="shared" si="973"/>
        <v>46329</v>
      </c>
      <c r="BG168" s="243">
        <f t="shared" ref="BG168" si="975">SUM(BG163:BG167)</f>
        <v>48287</v>
      </c>
      <c r="BH168" s="243">
        <f>SUM(BH163:BH167)</f>
        <v>49982</v>
      </c>
      <c r="BI168" s="243">
        <f t="shared" ref="BI168:BJ168" si="976">SUM(BI163:BI167)</f>
        <v>50294</v>
      </c>
      <c r="BJ168" s="243">
        <f t="shared" si="976"/>
        <v>56564</v>
      </c>
      <c r="BK168" s="243">
        <f t="shared" ref="BK168:BL168" si="977">SUM(BK163:BK167)</f>
        <v>54828</v>
      </c>
      <c r="BL168" s="243">
        <f t="shared" si="977"/>
        <v>55316</v>
      </c>
      <c r="BM168" s="243">
        <f t="shared" ref="BM168:BN168" si="978">SUM(BM163:BM167)</f>
        <v>55190</v>
      </c>
      <c r="BN168" s="243">
        <f t="shared" si="978"/>
        <v>56521</v>
      </c>
      <c r="BO168" s="243">
        <f t="shared" ref="BO168:BP168" si="979">SUM(BO163:BO167)</f>
        <v>54681</v>
      </c>
      <c r="BP168" s="243">
        <f t="shared" si="979"/>
        <v>54660</v>
      </c>
      <c r="BQ168" s="243">
        <f t="shared" ref="BQ168:BR168" si="980">SUM(BQ163:BQ167)</f>
        <v>57129</v>
      </c>
      <c r="BR168" s="243">
        <f t="shared" si="980"/>
        <v>58630</v>
      </c>
      <c r="CX168" s="243">
        <f t="shared" ref="CX168" si="981">SUM(CX163:CX167)</f>
        <v>107995</v>
      </c>
      <c r="CY168" s="243">
        <f t="shared" ref="CY168:DD168" si="982">SUM(CY163:CY167)</f>
        <v>103646</v>
      </c>
      <c r="CZ168" s="243">
        <f t="shared" si="982"/>
        <v>101367</v>
      </c>
      <c r="DA168" s="243">
        <f t="shared" si="982"/>
        <v>100525</v>
      </c>
      <c r="DB168" s="243">
        <f t="shared" si="982"/>
        <v>110574</v>
      </c>
      <c r="DC168" s="243">
        <f t="shared" si="982"/>
        <v>125100</v>
      </c>
      <c r="DD168" s="243">
        <f t="shared" si="982"/>
        <v>115277</v>
      </c>
      <c r="DG168" s="342">
        <f t="shared" ref="DG168" si="983">SUM(DG163:DG167)</f>
        <v>101946</v>
      </c>
      <c r="EF168" s="243"/>
      <c r="EG168" s="243">
        <f>SUM(EG163:EG167)</f>
        <v>31238</v>
      </c>
      <c r="EJ168" s="243">
        <f>SUM(EJ163:EJ167)</f>
        <v>44094</v>
      </c>
    </row>
    <row r="169" spans="2:140" ht="12.75" customHeight="1" x14ac:dyDescent="0.2">
      <c r="B169" t="s">
        <v>1452</v>
      </c>
      <c r="AM169" s="243"/>
      <c r="AN169" s="243"/>
      <c r="AO169" s="243"/>
      <c r="AP169" s="243"/>
      <c r="AQ169" s="243"/>
      <c r="AR169" s="243"/>
      <c r="AS169" s="243"/>
      <c r="AT169" s="243"/>
      <c r="AU169" s="243"/>
      <c r="AV169" s="243"/>
      <c r="AW169" s="243"/>
      <c r="AX169" s="243"/>
      <c r="AY169" s="243"/>
      <c r="AZ169" s="243"/>
      <c r="BA169" s="243"/>
      <c r="BB169" s="243"/>
      <c r="BC169" s="243"/>
      <c r="BD169" s="243"/>
      <c r="BE169" s="243">
        <v>3120</v>
      </c>
      <c r="BF169" s="243">
        <v>3120</v>
      </c>
      <c r="BG169" s="243">
        <v>3120</v>
      </c>
      <c r="BH169" s="243">
        <v>3120</v>
      </c>
      <c r="BI169" s="243">
        <v>3120</v>
      </c>
      <c r="BJ169" s="243">
        <v>3120</v>
      </c>
      <c r="BK169" s="243">
        <v>3120</v>
      </c>
      <c r="BL169" s="243">
        <v>3120</v>
      </c>
      <c r="BM169" s="243">
        <v>3120</v>
      </c>
      <c r="BN169" s="243">
        <v>3120</v>
      </c>
      <c r="BO169" s="243">
        <v>3120</v>
      </c>
      <c r="BP169" s="243">
        <v>3120</v>
      </c>
      <c r="BQ169" s="243">
        <v>3120</v>
      </c>
      <c r="BR169" s="243">
        <v>3120</v>
      </c>
      <c r="CX169" s="243">
        <v>3120</v>
      </c>
      <c r="CY169" s="243">
        <v>3120</v>
      </c>
      <c r="CZ169" s="243">
        <v>3120</v>
      </c>
      <c r="DA169" s="243">
        <v>3120</v>
      </c>
      <c r="DB169" s="243">
        <v>3120</v>
      </c>
      <c r="DC169" s="243">
        <v>3120</v>
      </c>
      <c r="DD169" s="243">
        <v>3120</v>
      </c>
      <c r="DG169" s="243">
        <v>3120</v>
      </c>
      <c r="EF169" s="243"/>
      <c r="EG169" s="243"/>
      <c r="EJ169" s="243"/>
    </row>
    <row r="170" spans="2:140" ht="12.75" customHeight="1" x14ac:dyDescent="0.2">
      <c r="B170" t="s">
        <v>1453</v>
      </c>
      <c r="AM170" s="243"/>
      <c r="AN170" s="243"/>
      <c r="AO170" s="243"/>
      <c r="AP170" s="243"/>
      <c r="AQ170" s="243"/>
      <c r="AR170" s="243"/>
      <c r="AS170" s="243"/>
      <c r="AT170" s="243"/>
      <c r="AU170" s="243"/>
      <c r="AV170" s="243"/>
      <c r="AW170" s="243"/>
      <c r="AX170" s="243"/>
      <c r="AY170" s="243"/>
      <c r="AZ170" s="243"/>
      <c r="BA170" s="243"/>
      <c r="BB170" s="243"/>
      <c r="BC170" s="243"/>
      <c r="BD170" s="243"/>
      <c r="BE170" s="243">
        <v>-2924</v>
      </c>
      <c r="BF170" s="243">
        <v>-3531</v>
      </c>
      <c r="BG170" s="243">
        <v>-2020</v>
      </c>
      <c r="BH170" s="243">
        <v>-1192</v>
      </c>
      <c r="BI170" s="243">
        <v>-3068</v>
      </c>
      <c r="BJ170" s="243">
        <v>-5632</v>
      </c>
      <c r="BK170" s="243">
        <v>-4540</v>
      </c>
      <c r="BL170" s="243">
        <v>-6204</v>
      </c>
      <c r="BM170" s="243">
        <v>-4925</v>
      </c>
      <c r="BN170" s="243">
        <v>-5810</v>
      </c>
      <c r="BO170" s="243">
        <v>-6689</v>
      </c>
      <c r="BP170" s="243">
        <v>-6810</v>
      </c>
      <c r="BQ170" s="243">
        <v>-5346</v>
      </c>
      <c r="BR170" s="243">
        <v>-2860</v>
      </c>
      <c r="CX170" s="243">
        <v>-13058</v>
      </c>
      <c r="CY170" s="243">
        <v>-13757</v>
      </c>
      <c r="CZ170" s="243">
        <v>-13843</v>
      </c>
      <c r="DA170" s="243">
        <v>-15292</v>
      </c>
      <c r="DB170" s="243">
        <v>-12967</v>
      </c>
      <c r="DC170" s="243">
        <v>-12626</v>
      </c>
      <c r="DD170" s="243">
        <v>-13135</v>
      </c>
      <c r="DG170" s="243">
        <v>-10768</v>
      </c>
      <c r="EF170" s="243"/>
      <c r="EG170" s="243"/>
      <c r="EJ170" s="243"/>
    </row>
    <row r="171" spans="2:140" ht="12.75" customHeight="1" x14ac:dyDescent="0.2">
      <c r="B171" t="s">
        <v>1454</v>
      </c>
      <c r="AM171" s="243"/>
      <c r="AN171" s="243"/>
      <c r="AO171" s="243"/>
      <c r="AP171" s="243"/>
      <c r="AQ171" s="243"/>
      <c r="AR171" s="243"/>
      <c r="AS171" s="243"/>
      <c r="AT171" s="243"/>
      <c r="AU171" s="243"/>
      <c r="AV171" s="243"/>
      <c r="AW171" s="243"/>
      <c r="AX171" s="243"/>
      <c r="AY171" s="243"/>
      <c r="AZ171" s="243"/>
      <c r="BA171" s="243"/>
      <c r="BB171" s="243"/>
      <c r="BC171" s="243"/>
      <c r="BD171" s="243"/>
      <c r="BE171" s="243">
        <v>77272</v>
      </c>
      <c r="BF171" s="243">
        <v>77773</v>
      </c>
      <c r="BG171" s="243">
        <v>79515</v>
      </c>
      <c r="BH171" s="243">
        <v>80836</v>
      </c>
      <c r="BI171" s="243">
        <v>82634</v>
      </c>
      <c r="BJ171" s="243">
        <v>81251</v>
      </c>
      <c r="BK171" s="243">
        <v>83103</v>
      </c>
      <c r="BL171" s="243">
        <v>83530</v>
      </c>
      <c r="BM171" s="243">
        <v>84880</v>
      </c>
      <c r="BN171" s="243">
        <v>85992</v>
      </c>
      <c r="BO171" s="243">
        <v>87242</v>
      </c>
      <c r="BP171" s="243">
        <v>89449</v>
      </c>
      <c r="BQ171" s="243">
        <v>87703</v>
      </c>
      <c r="BR171" s="243">
        <v>89493</v>
      </c>
      <c r="CX171" s="243">
        <v>123060</v>
      </c>
      <c r="CY171" s="243">
        <v>124380</v>
      </c>
      <c r="CZ171" s="243">
        <v>126216</v>
      </c>
      <c r="DA171" s="243">
        <v>127917</v>
      </c>
      <c r="DB171" s="243">
        <v>128345</v>
      </c>
      <c r="DC171" s="243">
        <v>124558</v>
      </c>
      <c r="DD171" s="243">
        <v>129381</v>
      </c>
      <c r="DG171" s="243">
        <v>153378</v>
      </c>
      <c r="EF171" s="243"/>
      <c r="EG171" s="243"/>
      <c r="EJ171" s="243"/>
    </row>
    <row r="172" spans="2:140" ht="12.75" customHeight="1" x14ac:dyDescent="0.2">
      <c r="B172" t="s">
        <v>1455</v>
      </c>
      <c r="AM172" s="243"/>
      <c r="AN172" s="243"/>
      <c r="AO172" s="243"/>
      <c r="AP172" s="243"/>
      <c r="AQ172" s="243"/>
      <c r="AR172" s="243"/>
      <c r="AS172" s="243"/>
      <c r="AT172" s="243"/>
      <c r="AU172" s="243"/>
      <c r="AV172" s="243"/>
      <c r="AW172" s="243"/>
      <c r="AX172" s="243"/>
      <c r="AY172" s="243"/>
      <c r="AZ172" s="243"/>
      <c r="BA172" s="243"/>
      <c r="BB172" s="243"/>
      <c r="BC172" s="243"/>
      <c r="BD172" s="243"/>
      <c r="BE172" s="243">
        <v>-20177</v>
      </c>
      <c r="BF172" s="243">
        <v>-20783</v>
      </c>
      <c r="BG172" s="243">
        <v>-20752</v>
      </c>
      <c r="BH172" s="243">
        <v>-20632</v>
      </c>
      <c r="BI172" s="243">
        <v>-21159</v>
      </c>
      <c r="BJ172" s="243">
        <v>-21659</v>
      </c>
      <c r="BK172" s="243">
        <v>-20317</v>
      </c>
      <c r="BL172" s="243">
        <v>-20012</v>
      </c>
      <c r="BM172" s="243">
        <v>-19314</v>
      </c>
      <c r="BN172" s="243">
        <v>-18476</v>
      </c>
      <c r="BO172" s="243">
        <v>-16818</v>
      </c>
      <c r="BP172" s="243">
        <v>-16094</v>
      </c>
      <c r="BQ172" s="243">
        <v>-15673</v>
      </c>
      <c r="BR172" s="243">
        <v>-15700</v>
      </c>
      <c r="CX172" s="243">
        <v>39099</v>
      </c>
      <c r="CY172" s="243">
        <v>39034</v>
      </c>
      <c r="CZ172" s="243">
        <v>39136</v>
      </c>
      <c r="DA172" s="243">
        <v>41146</v>
      </c>
      <c r="DB172" s="243">
        <v>41694</v>
      </c>
      <c r="DC172" s="243">
        <v>44183</v>
      </c>
      <c r="DD172" s="243">
        <v>44217</v>
      </c>
      <c r="DG172" s="243">
        <v>75710</v>
      </c>
      <c r="EF172" s="243"/>
      <c r="EG172" s="243"/>
      <c r="EJ172" s="243"/>
    </row>
    <row r="173" spans="2:140" ht="12.75" customHeight="1" x14ac:dyDescent="0.2">
      <c r="B173" t="s">
        <v>388</v>
      </c>
      <c r="AM173" s="243">
        <v>41123</v>
      </c>
      <c r="AN173" s="243"/>
      <c r="AO173" s="243"/>
      <c r="AP173" s="243">
        <v>39318</v>
      </c>
      <c r="AQ173" s="243">
        <v>40925</v>
      </c>
      <c r="AR173" s="243">
        <v>43122</v>
      </c>
      <c r="AS173" s="243">
        <v>43573</v>
      </c>
      <c r="AT173" s="243">
        <v>43319</v>
      </c>
      <c r="AU173" s="243">
        <v>45625</v>
      </c>
      <c r="AV173" s="243">
        <v>46435</v>
      </c>
      <c r="AW173" s="243">
        <v>45734</v>
      </c>
      <c r="AX173" s="243">
        <v>42511</v>
      </c>
      <c r="AY173" s="243">
        <v>43791</v>
      </c>
      <c r="AZ173" s="243">
        <v>46247</v>
      </c>
      <c r="BA173" s="243">
        <v>50384</v>
      </c>
      <c r="BB173" s="243">
        <v>50588</v>
      </c>
      <c r="BC173" s="243">
        <v>52914</v>
      </c>
      <c r="BD173" s="243">
        <v>52851</v>
      </c>
      <c r="BE173" s="243">
        <f t="shared" ref="BE173:BR173" si="984">SUM(BE169:BE172)</f>
        <v>57291</v>
      </c>
      <c r="BF173" s="243">
        <f t="shared" si="984"/>
        <v>56579</v>
      </c>
      <c r="BG173" s="243">
        <f t="shared" si="984"/>
        <v>59863</v>
      </c>
      <c r="BH173" s="243">
        <f t="shared" si="984"/>
        <v>62132</v>
      </c>
      <c r="BI173" s="243">
        <f t="shared" si="984"/>
        <v>61527</v>
      </c>
      <c r="BJ173" s="243">
        <f t="shared" si="984"/>
        <v>57080</v>
      </c>
      <c r="BK173" s="243">
        <f t="shared" si="984"/>
        <v>61366</v>
      </c>
      <c r="BL173" s="243">
        <f t="shared" si="984"/>
        <v>60434</v>
      </c>
      <c r="BM173" s="243">
        <f t="shared" si="984"/>
        <v>63761</v>
      </c>
      <c r="BN173" s="243">
        <f t="shared" si="984"/>
        <v>64826</v>
      </c>
      <c r="BO173" s="243">
        <f t="shared" si="984"/>
        <v>66855</v>
      </c>
      <c r="BP173" s="243">
        <f t="shared" si="984"/>
        <v>69665</v>
      </c>
      <c r="BQ173" s="243">
        <f t="shared" si="984"/>
        <v>69804</v>
      </c>
      <c r="BR173" s="243">
        <f t="shared" si="984"/>
        <v>74053</v>
      </c>
      <c r="CX173" s="243">
        <f t="shared" ref="CX173" si="985">+CX171-CX172+CX169+CX170</f>
        <v>74023</v>
      </c>
      <c r="CY173" s="243">
        <f>+CY171-CY172+CY169+CY170</f>
        <v>74709</v>
      </c>
      <c r="CZ173" s="243">
        <v>76357</v>
      </c>
      <c r="DA173" s="243">
        <v>74599</v>
      </c>
      <c r="DB173" s="243">
        <v>76804</v>
      </c>
      <c r="DC173" s="243">
        <v>70869</v>
      </c>
      <c r="DD173" s="243">
        <f>75149+1260</f>
        <v>76409</v>
      </c>
      <c r="DG173" s="243">
        <v>70020</v>
      </c>
      <c r="EF173" s="243"/>
      <c r="EG173" s="243">
        <f>EG155-EG168</f>
        <v>39318</v>
      </c>
      <c r="EJ173" s="243">
        <v>50558</v>
      </c>
    </row>
    <row r="174" spans="2:140" ht="12.75" customHeight="1" x14ac:dyDescent="0.2">
      <c r="B174" t="s">
        <v>364</v>
      </c>
      <c r="AM174" s="243">
        <f>AM173+AM168</f>
        <v>62133</v>
      </c>
      <c r="AN174" s="243"/>
      <c r="AO174" s="243"/>
      <c r="AP174" s="243">
        <v>70556</v>
      </c>
      <c r="AQ174" s="243">
        <v>73066</v>
      </c>
      <c r="AR174" s="243">
        <v>74683</v>
      </c>
      <c r="AS174" s="243">
        <v>78665</v>
      </c>
      <c r="AT174" s="243">
        <v>80954</v>
      </c>
      <c r="AU174" s="243">
        <v>85995</v>
      </c>
      <c r="AV174" s="243">
        <v>88113</v>
      </c>
      <c r="AW174" s="243">
        <f t="shared" ref="AW174:BB174" si="986">AW173+AW168</f>
        <v>87724</v>
      </c>
      <c r="AX174" s="243">
        <f t="shared" si="986"/>
        <v>84912</v>
      </c>
      <c r="AY174" s="243">
        <f t="shared" si="986"/>
        <v>86100</v>
      </c>
      <c r="AZ174" s="243">
        <f t="shared" si="986"/>
        <v>87438</v>
      </c>
      <c r="BA174" s="243">
        <f t="shared" si="986"/>
        <v>91558</v>
      </c>
      <c r="BB174" s="243">
        <f t="shared" si="986"/>
        <v>94682</v>
      </c>
      <c r="BC174" s="243">
        <f>BC173+BC168</f>
        <v>93441</v>
      </c>
      <c r="BD174" s="243">
        <f t="shared" ref="BD174" si="987">BD173+BD168</f>
        <v>92300</v>
      </c>
      <c r="BE174" s="243">
        <f t="shared" ref="BE174:BR174" si="988">BE173+BE168</f>
        <v>98247</v>
      </c>
      <c r="BF174" s="243">
        <f t="shared" si="988"/>
        <v>102908</v>
      </c>
      <c r="BG174" s="243">
        <f t="shared" si="988"/>
        <v>108150</v>
      </c>
      <c r="BH174" s="243">
        <f t="shared" si="988"/>
        <v>112114</v>
      </c>
      <c r="BI174" s="243">
        <f t="shared" si="988"/>
        <v>111821</v>
      </c>
      <c r="BJ174" s="243">
        <f t="shared" si="988"/>
        <v>113644</v>
      </c>
      <c r="BK174" s="243">
        <f t="shared" si="988"/>
        <v>116194</v>
      </c>
      <c r="BL174" s="243">
        <f t="shared" si="988"/>
        <v>115750</v>
      </c>
      <c r="BM174" s="243">
        <f t="shared" si="988"/>
        <v>118951</v>
      </c>
      <c r="BN174" s="243">
        <f t="shared" si="988"/>
        <v>121347</v>
      </c>
      <c r="BO174" s="243">
        <f t="shared" si="988"/>
        <v>121536</v>
      </c>
      <c r="BP174" s="243">
        <f t="shared" si="988"/>
        <v>124325</v>
      </c>
      <c r="BQ174" s="243">
        <f t="shared" si="988"/>
        <v>126933</v>
      </c>
      <c r="BR174" s="243">
        <f t="shared" si="988"/>
        <v>132683</v>
      </c>
      <c r="CX174" s="243">
        <f t="shared" ref="CX174" si="989">+CX173+CX168</f>
        <v>182018</v>
      </c>
      <c r="CY174" s="243">
        <f t="shared" ref="CY174:DG174" si="990">+CY173+CY168</f>
        <v>178355</v>
      </c>
      <c r="CZ174" s="243">
        <f t="shared" si="990"/>
        <v>177724</v>
      </c>
      <c r="DA174" s="243">
        <f t="shared" si="990"/>
        <v>175124</v>
      </c>
      <c r="DB174" s="243">
        <f t="shared" si="990"/>
        <v>187378</v>
      </c>
      <c r="DC174" s="243">
        <f t="shared" si="990"/>
        <v>195969</v>
      </c>
      <c r="DD174" s="243">
        <f t="shared" si="990"/>
        <v>191686</v>
      </c>
      <c r="DE174" s="243">
        <f t="shared" si="990"/>
        <v>0</v>
      </c>
      <c r="DF174" s="243">
        <f t="shared" si="990"/>
        <v>0</v>
      </c>
      <c r="DG174" s="243">
        <f t="shared" si="990"/>
        <v>171966</v>
      </c>
      <c r="EF174" s="294"/>
      <c r="EG174" s="294">
        <f>EG72/EG173</f>
        <v>0.28315275446360444</v>
      </c>
      <c r="EJ174" s="294">
        <f>EJ72/EJ173</f>
        <v>0.33186637129633295</v>
      </c>
    </row>
    <row r="175" spans="2:140" ht="12.75" customHeight="1" x14ac:dyDescent="0.2">
      <c r="B175" t="s">
        <v>389</v>
      </c>
      <c r="AM175" s="294">
        <f>AM72/AM173*4</f>
        <v>0.32507355980837976</v>
      </c>
      <c r="AP175" s="294">
        <f t="shared" ref="AP175:BR175" si="991">AP72/AP173*4</f>
        <v>0.24263696017091407</v>
      </c>
      <c r="AQ175" s="294">
        <f t="shared" si="991"/>
        <v>0.33524740378741602</v>
      </c>
      <c r="AR175" s="294">
        <f t="shared" si="991"/>
        <v>0.28681415518760728</v>
      </c>
      <c r="AS175" s="294">
        <f t="shared" si="991"/>
        <v>0.28544447249443461</v>
      </c>
      <c r="AT175" s="294">
        <f t="shared" si="991"/>
        <v>0.26704429926821949</v>
      </c>
      <c r="AU175" s="294">
        <f t="shared" si="991"/>
        <v>0.31544109589041097</v>
      </c>
      <c r="AV175" s="294">
        <f t="shared" si="991"/>
        <v>0.2900398406374502</v>
      </c>
      <c r="AW175" s="294">
        <f t="shared" si="991"/>
        <v>0.28950015305899329</v>
      </c>
      <c r="AX175" s="294">
        <f t="shared" si="991"/>
        <v>0.2470889887323281</v>
      </c>
      <c r="AY175" s="294">
        <f t="shared" si="991"/>
        <v>0.32033979584846201</v>
      </c>
      <c r="AZ175" s="294">
        <f t="shared" si="991"/>
        <v>0.27746664648517744</v>
      </c>
      <c r="BA175" s="294">
        <f t="shared" si="991"/>
        <v>0.26556049539536358</v>
      </c>
      <c r="BB175" s="294">
        <f t="shared" si="991"/>
        <v>0.2280382699454416</v>
      </c>
      <c r="BC175" s="294">
        <f t="shared" si="991"/>
        <v>0.2733492081490721</v>
      </c>
      <c r="BD175" s="294">
        <f t="shared" si="991"/>
        <v>0.26043026622012827</v>
      </c>
      <c r="BE175" s="294">
        <f t="shared" si="991"/>
        <v>0.23857150337749386</v>
      </c>
      <c r="BF175" s="294">
        <f t="shared" si="991"/>
        <v>0.20247795118330122</v>
      </c>
      <c r="BG175" s="294">
        <f t="shared" si="991"/>
        <v>0.28525132385613816</v>
      </c>
      <c r="BH175" s="294">
        <f t="shared" si="991"/>
        <v>0.21663555011910127</v>
      </c>
      <c r="BI175" s="294">
        <f t="shared" si="991"/>
        <v>0.20816877143367951</v>
      </c>
      <c r="BJ175" s="294">
        <f t="shared" si="991"/>
        <v>0.39908899789768748</v>
      </c>
      <c r="BK175" s="294">
        <f t="shared" si="991"/>
        <v>0.254864257080468</v>
      </c>
      <c r="BL175" s="294">
        <f t="shared" si="991"/>
        <v>0.23966641294635471</v>
      </c>
      <c r="BM175" s="294">
        <f t="shared" si="991"/>
        <v>0.21624504007151707</v>
      </c>
      <c r="BN175" s="294">
        <f t="shared" si="991"/>
        <v>0.17616388486101256</v>
      </c>
      <c r="BO175" s="294">
        <f t="shared" si="991"/>
        <v>0.21563084286889536</v>
      </c>
      <c r="BP175" s="294">
        <f t="shared" si="991"/>
        <v>0.24947965262326849</v>
      </c>
      <c r="BQ175" s="294">
        <f t="shared" si="991"/>
        <v>0.22823906939430405</v>
      </c>
      <c r="BR175" s="294">
        <f t="shared" si="991"/>
        <v>0.19707803870201071</v>
      </c>
    </row>
    <row r="176" spans="2:140" ht="12.75" customHeight="1" x14ac:dyDescent="0.2">
      <c r="B176" t="s">
        <v>1445</v>
      </c>
      <c r="AM176" s="294"/>
      <c r="AP176" s="294"/>
      <c r="AQ176" s="294"/>
      <c r="AR176" s="294"/>
      <c r="AS176" s="294"/>
      <c r="AT176" s="294">
        <f t="shared" ref="AT176:BE176" si="992">AT173/AP173-1</f>
        <v>0.10176000813876596</v>
      </c>
      <c r="AU176" s="294">
        <f t="shared" si="992"/>
        <v>0.11484422724496035</v>
      </c>
      <c r="AV176" s="294">
        <f t="shared" si="992"/>
        <v>7.6828532999396959E-2</v>
      </c>
      <c r="AW176" s="294">
        <f t="shared" si="992"/>
        <v>4.9594932641773504E-2</v>
      </c>
      <c r="AX176" s="294">
        <f t="shared" si="992"/>
        <v>-1.8652323460837006E-2</v>
      </c>
      <c r="AY176" s="294">
        <f t="shared" si="992"/>
        <v>-4.0197260273972635E-2</v>
      </c>
      <c r="AZ176" s="294">
        <f t="shared" si="992"/>
        <v>-4.0486701841283557E-3</v>
      </c>
      <c r="BA176" s="294">
        <f t="shared" si="992"/>
        <v>0.10167490269821133</v>
      </c>
      <c r="BB176" s="294">
        <f t="shared" si="992"/>
        <v>0.18999788290089614</v>
      </c>
      <c r="BC176" s="294">
        <f t="shared" si="992"/>
        <v>0.20833047886552025</v>
      </c>
      <c r="BD176" s="294">
        <f t="shared" si="992"/>
        <v>0.14279845179146755</v>
      </c>
      <c r="BE176" s="294">
        <f t="shared" si="992"/>
        <v>0.13708717053032715</v>
      </c>
      <c r="BF176" s="294">
        <f t="shared" ref="BF176:BR176" si="993">BF173/BB173-1</f>
        <v>0.11842729501067439</v>
      </c>
      <c r="BG176" s="294">
        <f t="shared" si="993"/>
        <v>0.1313263030577918</v>
      </c>
      <c r="BH176" s="294">
        <f t="shared" si="993"/>
        <v>0.17560689485534797</v>
      </c>
      <c r="BI176" s="294">
        <f t="shared" si="993"/>
        <v>7.39383149185735E-2</v>
      </c>
      <c r="BJ176" s="294">
        <f t="shared" si="993"/>
        <v>8.8548754838366772E-3</v>
      </c>
      <c r="BK176" s="294">
        <f t="shared" si="993"/>
        <v>2.5107328399846418E-2</v>
      </c>
      <c r="BL176" s="294">
        <f t="shared" si="993"/>
        <v>-2.7328912637610281E-2</v>
      </c>
      <c r="BM176" s="294">
        <f t="shared" si="993"/>
        <v>3.630926260015932E-2</v>
      </c>
      <c r="BN176" s="294">
        <f t="shared" si="993"/>
        <v>0.13570427470217239</v>
      </c>
      <c r="BO176" s="294">
        <f t="shared" si="993"/>
        <v>8.9446925007333089E-2</v>
      </c>
      <c r="BP176" s="294">
        <f t="shared" si="993"/>
        <v>0.15274514346228951</v>
      </c>
      <c r="BQ176" s="294">
        <f t="shared" si="993"/>
        <v>9.4775803390787505E-2</v>
      </c>
      <c r="BR176" s="294">
        <f t="shared" si="993"/>
        <v>0.1423348656403296</v>
      </c>
      <c r="DB176" s="294">
        <f>DB173/CX173-1</f>
        <v>3.75694041041299E-2</v>
      </c>
      <c r="DC176" s="294">
        <f>DC173/CY173-1</f>
        <v>-5.1399429787575834E-2</v>
      </c>
      <c r="DD176" s="294">
        <f>DD173/CZ173-1</f>
        <v>6.8101156410027563E-4</v>
      </c>
      <c r="DE176" s="294">
        <f>DE173/DA173-1</f>
        <v>-1</v>
      </c>
      <c r="DF176" s="294">
        <f>DF173/DB173-1</f>
        <v>-1</v>
      </c>
      <c r="DG176" s="294">
        <f>DG173/DC173-1</f>
        <v>-1.197985014604408E-2</v>
      </c>
    </row>
    <row r="177" spans="2:169" ht="12.75" customHeight="1" x14ac:dyDescent="0.2">
      <c r="AM177" s="294"/>
      <c r="AP177" s="294"/>
      <c r="AQ177" s="294"/>
      <c r="AR177" s="294"/>
      <c r="AS177" s="294"/>
      <c r="AT177" s="294"/>
      <c r="AU177" s="294"/>
      <c r="AV177" s="294"/>
      <c r="AW177" s="294"/>
      <c r="AX177" s="294"/>
      <c r="AY177" s="294"/>
      <c r="AZ177" s="294"/>
      <c r="BA177" s="294"/>
      <c r="BB177" s="294"/>
      <c r="BC177" s="294"/>
      <c r="BD177" s="294"/>
      <c r="BE177" s="294"/>
      <c r="BF177" s="294"/>
      <c r="BG177" s="294"/>
      <c r="BH177" s="294"/>
      <c r="BI177" s="294"/>
      <c r="BN177" s="294"/>
      <c r="BO177" s="294"/>
      <c r="BP177" s="294"/>
      <c r="BQ177" s="294"/>
    </row>
    <row r="178" spans="2:169" ht="12.75" customHeight="1" x14ac:dyDescent="0.2">
      <c r="B178" t="s">
        <v>1568</v>
      </c>
      <c r="AM178" s="294"/>
      <c r="AP178" s="294"/>
      <c r="AQ178" s="294"/>
      <c r="AR178" s="294"/>
      <c r="AS178" s="294"/>
      <c r="AT178" s="294"/>
      <c r="AU178" s="294"/>
      <c r="AV178" s="294"/>
      <c r="AW178" s="294"/>
      <c r="AX178" s="294"/>
      <c r="AY178" s="294"/>
      <c r="AZ178" s="294"/>
      <c r="BA178" s="294"/>
      <c r="BB178" s="294"/>
      <c r="BC178" s="294"/>
      <c r="BD178" s="294"/>
      <c r="BE178" s="294"/>
      <c r="BF178" s="294"/>
      <c r="BG178" s="294"/>
      <c r="BH178" s="294"/>
      <c r="BI178" s="294"/>
      <c r="BJ178" s="243">
        <v>3119.8429999999998</v>
      </c>
      <c r="BK178" s="243">
        <v>3119.8429999999998</v>
      </c>
      <c r="BL178" s="243">
        <v>3119.8429999999998</v>
      </c>
      <c r="BM178" s="243">
        <v>3119.8429999999998</v>
      </c>
      <c r="BN178" s="243">
        <v>3119.8429999999998</v>
      </c>
      <c r="BO178" s="243">
        <v>3119.8429999999998</v>
      </c>
      <c r="BP178" s="243">
        <v>3119.8429999999998</v>
      </c>
      <c r="BQ178" s="243">
        <v>3119.8429999999998</v>
      </c>
      <c r="BR178" s="243">
        <v>3119.8429999999998</v>
      </c>
      <c r="DB178" s="243">
        <v>3119.8429999999998</v>
      </c>
      <c r="DC178" s="243">
        <v>3119.8429999999998</v>
      </c>
      <c r="DD178" s="243">
        <v>3119.8429999999998</v>
      </c>
      <c r="DG178" s="243">
        <v>3119.8429999999998</v>
      </c>
    </row>
    <row r="179" spans="2:169" ht="12.75" customHeight="1" x14ac:dyDescent="0.2">
      <c r="B179" t="s">
        <v>1455</v>
      </c>
      <c r="AM179" s="294"/>
      <c r="AP179" s="294"/>
      <c r="AQ179" s="294"/>
      <c r="AR179" s="294"/>
      <c r="AS179" s="294"/>
      <c r="AT179" s="294"/>
      <c r="AU179" s="294"/>
      <c r="AV179" s="294"/>
      <c r="AW179" s="294"/>
      <c r="AX179" s="294"/>
      <c r="AY179" s="294"/>
      <c r="AZ179" s="294"/>
      <c r="BA179" s="294"/>
      <c r="BB179" s="294"/>
      <c r="BC179" s="294"/>
      <c r="BD179" s="294"/>
      <c r="BE179" s="294"/>
      <c r="BF179" s="294"/>
      <c r="BG179" s="294"/>
      <c r="BH179" s="294"/>
      <c r="BI179" s="294"/>
      <c r="BJ179" s="243">
        <v>395.48</v>
      </c>
      <c r="BK179" s="243">
        <v>374.12200000000001</v>
      </c>
      <c r="BL179" s="243">
        <v>369.28399999999999</v>
      </c>
      <c r="BM179" s="243">
        <v>357.28500000000003</v>
      </c>
      <c r="BN179" s="243">
        <v>341.35399999999998</v>
      </c>
      <c r="BO179" s="243">
        <v>316.67899999999997</v>
      </c>
      <c r="BP179" s="243">
        <v>305.65499999999997</v>
      </c>
      <c r="BQ179" s="243">
        <v>299.18400000000003</v>
      </c>
      <c r="BR179" s="243">
        <v>299.21499999999997</v>
      </c>
      <c r="DB179" s="337">
        <v>506.24599999999998</v>
      </c>
      <c r="DC179" s="337">
        <v>521.51900000000001</v>
      </c>
      <c r="DD179" s="243">
        <v>521.70000000000005</v>
      </c>
      <c r="DG179" s="243">
        <v>713.12</v>
      </c>
    </row>
    <row r="180" spans="2:169" ht="12.75" customHeight="1" x14ac:dyDescent="0.2">
      <c r="B180" t="s">
        <v>1569</v>
      </c>
      <c r="AM180" s="294"/>
      <c r="AP180" s="294"/>
      <c r="AQ180" s="294"/>
      <c r="AR180" s="294"/>
      <c r="AS180" s="294"/>
      <c r="AT180" s="294"/>
      <c r="AU180" s="294"/>
      <c r="AV180" s="294"/>
      <c r="AW180" s="294"/>
      <c r="AX180" s="294"/>
      <c r="AY180" s="294"/>
      <c r="AZ180" s="294"/>
      <c r="BA180" s="294"/>
      <c r="BB180" s="294"/>
      <c r="BC180" s="294"/>
      <c r="BD180" s="294"/>
      <c r="BE180" s="294"/>
      <c r="BF180" s="294"/>
      <c r="BG180" s="294"/>
      <c r="BH180" s="294"/>
      <c r="BI180" s="294"/>
      <c r="BJ180" s="243">
        <f t="shared" ref="BJ180:BR180" si="994">+BJ178-BJ179</f>
        <v>2724.3629999999998</v>
      </c>
      <c r="BK180" s="243">
        <f t="shared" si="994"/>
        <v>2745.721</v>
      </c>
      <c r="BL180" s="243">
        <f t="shared" si="994"/>
        <v>2750.5589999999997</v>
      </c>
      <c r="BM180" s="243">
        <f t="shared" si="994"/>
        <v>2762.558</v>
      </c>
      <c r="BN180" s="243">
        <f t="shared" si="994"/>
        <v>2778.489</v>
      </c>
      <c r="BO180" s="243">
        <f t="shared" si="994"/>
        <v>2803.1639999999998</v>
      </c>
      <c r="BP180" s="243">
        <f t="shared" si="994"/>
        <v>2814.1880000000001</v>
      </c>
      <c r="BQ180" s="243">
        <f t="shared" si="994"/>
        <v>2820.6589999999997</v>
      </c>
      <c r="BR180" s="243">
        <f t="shared" si="994"/>
        <v>2820.6279999999997</v>
      </c>
      <c r="DB180" s="243">
        <f>DB178-DB179</f>
        <v>2613.5969999999998</v>
      </c>
      <c r="DC180" s="243">
        <f>DC178-DC179</f>
        <v>2598.3239999999996</v>
      </c>
      <c r="DD180" s="243">
        <f>DD178-DD179</f>
        <v>2598.143</v>
      </c>
      <c r="DG180" s="243">
        <f>DG178-DG179</f>
        <v>2406.723</v>
      </c>
    </row>
    <row r="181" spans="2:169" ht="12.75" customHeight="1" x14ac:dyDescent="0.2">
      <c r="AM181" s="243"/>
    </row>
    <row r="182" spans="2:169" ht="12.75" customHeight="1" x14ac:dyDescent="0.2">
      <c r="B182" t="s">
        <v>1494</v>
      </c>
      <c r="AM182" s="243"/>
      <c r="BD182" s="243">
        <f t="shared" ref="BD182:BG182" si="995">SUM(BA183:BD183)</f>
        <v>17908</v>
      </c>
      <c r="BE182" s="243">
        <f t="shared" si="995"/>
        <v>17848</v>
      </c>
      <c r="BF182" s="243">
        <f t="shared" si="995"/>
        <v>16385</v>
      </c>
      <c r="BG182" s="243">
        <f t="shared" si="995"/>
        <v>15011</v>
      </c>
      <c r="BH182" s="243">
        <f>SUM(BE183:BH183)</f>
        <v>15083</v>
      </c>
      <c r="BI182" s="243">
        <f>SUM(BF183:BI183)</f>
        <v>14671</v>
      </c>
      <c r="BJ182" s="243">
        <f t="shared" ref="BJ182:BR182" si="996">SUM(BG183:BJ183)</f>
        <v>10847</v>
      </c>
      <c r="BK182" s="243">
        <f t="shared" si="996"/>
        <v>8531</v>
      </c>
      <c r="BL182" s="243">
        <f t="shared" si="996"/>
        <v>4622</v>
      </c>
      <c r="BM182" s="243">
        <f t="shared" si="996"/>
        <v>0</v>
      </c>
      <c r="BN182" s="243">
        <f t="shared" si="996"/>
        <v>0</v>
      </c>
      <c r="BO182" s="243">
        <f t="shared" si="996"/>
        <v>2277</v>
      </c>
      <c r="BP182" s="243">
        <f t="shared" si="996"/>
        <v>7328</v>
      </c>
      <c r="BQ182" s="243">
        <f t="shared" si="996"/>
        <v>13275</v>
      </c>
      <c r="BR182" s="243">
        <f t="shared" si="996"/>
        <v>17414</v>
      </c>
    </row>
    <row r="183" spans="2:169" ht="12.75" customHeight="1" x14ac:dyDescent="0.2">
      <c r="B183" t="s">
        <v>390</v>
      </c>
      <c r="AI183" s="243">
        <f>SUM(AI185:AI199)</f>
        <v>2635</v>
      </c>
      <c r="AM183" s="243">
        <f>SUM(AM185:AM199)</f>
        <v>3474</v>
      </c>
      <c r="AQ183" s="243">
        <v>3837</v>
      </c>
      <c r="AR183" s="243">
        <f>6734-AQ183</f>
        <v>2897</v>
      </c>
      <c r="AS183" s="243">
        <f>10925-AR183-AQ183</f>
        <v>4191</v>
      </c>
      <c r="AT183" s="243">
        <f>15249-AS183-AR183-AQ183</f>
        <v>4324</v>
      </c>
      <c r="AU183" s="243">
        <v>3236</v>
      </c>
      <c r="AV183" s="243">
        <f>6078-AU183</f>
        <v>2842</v>
      </c>
      <c r="AW183" s="243">
        <f>10971-AV183-AU183</f>
        <v>4893</v>
      </c>
      <c r="AX183" s="243">
        <f>14972-AW183-AV183-AU183</f>
        <v>4001</v>
      </c>
      <c r="AY183" s="243">
        <v>2827</v>
      </c>
      <c r="AZ183" s="243">
        <v>3363</v>
      </c>
      <c r="BA183" s="243">
        <v>5094</v>
      </c>
      <c r="BB183" s="243">
        <v>5287</v>
      </c>
      <c r="BC183" s="243">
        <v>3690</v>
      </c>
      <c r="BD183" s="243">
        <v>3837</v>
      </c>
      <c r="BE183" s="243">
        <v>5034</v>
      </c>
      <c r="BF183" s="243">
        <f>16385-BE183-BD183-BC183</f>
        <v>3824</v>
      </c>
      <c r="BG183" s="243">
        <v>2316</v>
      </c>
      <c r="BH183" s="243">
        <f>6225-BG183</f>
        <v>3909</v>
      </c>
      <c r="BI183" s="243">
        <f>10847-BH183-BG183</f>
        <v>4622</v>
      </c>
      <c r="BO183" s="243">
        <v>2277</v>
      </c>
      <c r="BP183" s="243">
        <f>7328-BO183</f>
        <v>5051</v>
      </c>
      <c r="BQ183" s="243">
        <f>13275-BP183-BO183</f>
        <v>5947</v>
      </c>
      <c r="BR183" s="243">
        <f>17414-BQ183-BP183-BO183</f>
        <v>4139</v>
      </c>
      <c r="DO183" s="300"/>
    </row>
    <row r="184" spans="2:169" ht="12.75" customHeight="1" x14ac:dyDescent="0.2">
      <c r="B184" t="s">
        <v>371</v>
      </c>
      <c r="AI184" s="243">
        <f>AI183+AI202</f>
        <v>2238</v>
      </c>
      <c r="AM184" s="243">
        <f>AM183+AM202</f>
        <v>3028</v>
      </c>
      <c r="AQ184" s="243">
        <f t="shared" ref="AQ184:AW184" si="997">AQ183+AQ202</f>
        <v>3391</v>
      </c>
      <c r="AR184" s="243">
        <f t="shared" si="997"/>
        <v>2298</v>
      </c>
      <c r="AS184" s="243">
        <f t="shared" si="997"/>
        <v>3532</v>
      </c>
      <c r="AT184" s="243">
        <f t="shared" si="997"/>
        <v>3086</v>
      </c>
      <c r="AU184" s="243">
        <f t="shared" si="997"/>
        <v>2757</v>
      </c>
      <c r="AV184" s="243">
        <f t="shared" si="997"/>
        <v>2155</v>
      </c>
      <c r="AW184" s="243">
        <f t="shared" si="997"/>
        <v>4121</v>
      </c>
      <c r="AX184" s="243">
        <f>AX183+AX202</f>
        <v>2873</v>
      </c>
      <c r="AY184" s="243">
        <f t="shared" ref="AY184:BB184" si="998">AY183+AY202</f>
        <v>2392</v>
      </c>
      <c r="AZ184" s="243">
        <f t="shared" si="998"/>
        <v>2796</v>
      </c>
      <c r="BA184" s="243">
        <f t="shared" si="998"/>
        <v>4575</v>
      </c>
      <c r="BB184" s="243">
        <f t="shared" si="998"/>
        <v>4443</v>
      </c>
      <c r="BC184" s="243">
        <f>BC183+BC202</f>
        <v>3293</v>
      </c>
      <c r="BD184" s="243">
        <f t="shared" ref="BD184:BE184" si="999">BD183+BD202</f>
        <v>3337</v>
      </c>
      <c r="BE184" s="243">
        <f t="shared" si="999"/>
        <v>4506</v>
      </c>
      <c r="BF184" s="243">
        <f>BF183+BF202</f>
        <v>2865</v>
      </c>
      <c r="BG184" s="243">
        <f>BG183+BG202</f>
        <v>2001</v>
      </c>
      <c r="BH184" s="243">
        <f t="shared" ref="BH184:BR184" si="1000">BH183+BH202</f>
        <v>3313</v>
      </c>
      <c r="BI184" s="243">
        <f t="shared" si="1000"/>
        <v>4489</v>
      </c>
      <c r="BJ184" s="243">
        <f t="shared" si="1000"/>
        <v>0</v>
      </c>
      <c r="BK184" s="243">
        <f t="shared" si="1000"/>
        <v>0</v>
      </c>
      <c r="BL184" s="243">
        <f t="shared" si="1000"/>
        <v>0</v>
      </c>
      <c r="BM184" s="243">
        <f t="shared" si="1000"/>
        <v>0</v>
      </c>
      <c r="BN184" s="243">
        <f t="shared" si="1000"/>
        <v>0</v>
      </c>
      <c r="BO184" s="243">
        <f t="shared" si="1000"/>
        <v>1691</v>
      </c>
      <c r="BP184" s="243">
        <f t="shared" si="1000"/>
        <v>4280</v>
      </c>
      <c r="BQ184" s="243">
        <f t="shared" si="1000"/>
        <v>5138</v>
      </c>
      <c r="BR184" s="243">
        <f t="shared" si="1000"/>
        <v>2710</v>
      </c>
      <c r="DO184" s="300"/>
    </row>
    <row r="185" spans="2:169" ht="12.75" customHeight="1" x14ac:dyDescent="0.2">
      <c r="B185" t="s">
        <v>1324</v>
      </c>
      <c r="AI185" s="243"/>
      <c r="AM185" s="243"/>
      <c r="AP185" s="243"/>
      <c r="AQ185" s="243">
        <f t="shared" ref="AQ185:AZ185" si="1001">+AQ141-AP141</f>
        <v>1004</v>
      </c>
      <c r="AR185" s="243">
        <f t="shared" si="1001"/>
        <v>994</v>
      </c>
      <c r="AS185" s="243">
        <f t="shared" si="1001"/>
        <v>926</v>
      </c>
      <c r="AT185" s="243">
        <f t="shared" si="1001"/>
        <v>-651</v>
      </c>
      <c r="AU185" s="243">
        <f t="shared" si="1001"/>
        <v>-49</v>
      </c>
      <c r="AV185" s="243">
        <f t="shared" si="1001"/>
        <v>-596</v>
      </c>
      <c r="AW185" s="243">
        <f t="shared" si="1001"/>
        <v>1026</v>
      </c>
      <c r="AX185" s="243">
        <f t="shared" si="1001"/>
        <v>800</v>
      </c>
      <c r="AY185" s="243">
        <f t="shared" si="1001"/>
        <v>-1085</v>
      </c>
      <c r="AZ185" s="243">
        <f t="shared" si="1001"/>
        <v>1244</v>
      </c>
      <c r="BA185" s="243">
        <f t="shared" ref="BA185:BI185" si="1002">+BA141-AZ141</f>
        <v>1636</v>
      </c>
      <c r="BB185" s="243">
        <f t="shared" si="1002"/>
        <v>2128</v>
      </c>
      <c r="BC185" s="243">
        <f t="shared" si="1002"/>
        <v>1023</v>
      </c>
      <c r="BD185" s="243">
        <f t="shared" si="1002"/>
        <v>1342</v>
      </c>
      <c r="BE185" s="243">
        <f t="shared" si="1002"/>
        <v>2852</v>
      </c>
      <c r="BF185" s="243">
        <f t="shared" si="1002"/>
        <v>784</v>
      </c>
      <c r="BG185" s="243">
        <f t="shared" si="1002"/>
        <v>-1848</v>
      </c>
      <c r="BH185" s="243">
        <f t="shared" si="1002"/>
        <v>1919</v>
      </c>
      <c r="BI185" s="243">
        <f t="shared" si="1002"/>
        <v>1614</v>
      </c>
      <c r="BJ185" s="243">
        <f t="shared" ref="BJ185" si="1003">+BJ141-BI141</f>
        <v>64</v>
      </c>
      <c r="BK185" s="243">
        <f t="shared" ref="BK185" si="1004">+BK141-BJ141</f>
        <v>1764</v>
      </c>
      <c r="BL185" s="243">
        <f t="shared" ref="BL185" si="1005">+BL141-BK141</f>
        <v>-15048</v>
      </c>
      <c r="BM185" s="243">
        <f t="shared" ref="BM185" si="1006">+BM141-BL141</f>
        <v>3570</v>
      </c>
      <c r="BN185" s="243">
        <f t="shared" ref="BN185" si="1007">+BN141-BM141</f>
        <v>2004</v>
      </c>
      <c r="BO185" s="243">
        <f t="shared" ref="BO185" si="1008">+BO141-BN141</f>
        <v>852</v>
      </c>
      <c r="BP185" s="243">
        <f t="shared" ref="BP185" si="1009">+BP141-BO141</f>
        <v>4371</v>
      </c>
      <c r="BQ185" s="243">
        <f t="shared" ref="BQ185" si="1010">+BQ141-BP141</f>
        <v>-26</v>
      </c>
      <c r="BR185" s="243">
        <f t="shared" ref="BR185" si="1011">+BR141-BQ141</f>
        <v>905</v>
      </c>
    </row>
    <row r="186" spans="2:169" ht="12.75" customHeight="1" x14ac:dyDescent="0.2">
      <c r="AM186" s="243"/>
      <c r="AQ186" s="243"/>
      <c r="AR186" s="243"/>
      <c r="AS186" s="243"/>
      <c r="AT186" s="243"/>
      <c r="AU186" s="243"/>
      <c r="AV186" s="243"/>
    </row>
    <row r="187" spans="2:169" s="1" customFormat="1" ht="12.75" customHeight="1" x14ac:dyDescent="0.2">
      <c r="B187" s="1" t="s">
        <v>1325</v>
      </c>
      <c r="C187" s="166"/>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278">
        <v>2839</v>
      </c>
      <c r="AJ187" s="166"/>
      <c r="AK187" s="166"/>
      <c r="AL187" s="166"/>
      <c r="AM187" s="278">
        <v>3305</v>
      </c>
      <c r="AN187" s="166"/>
      <c r="AO187" s="166"/>
      <c r="AP187" s="166"/>
      <c r="AQ187" s="278">
        <f t="shared" ref="AQ187:BR187" si="1012">AQ72</f>
        <v>3430</v>
      </c>
      <c r="AR187" s="278">
        <f t="shared" si="1012"/>
        <v>3092</v>
      </c>
      <c r="AS187" s="278">
        <f t="shared" si="1012"/>
        <v>3109.4179999999997</v>
      </c>
      <c r="AT187" s="278">
        <f t="shared" si="1012"/>
        <v>2892.0230000000001</v>
      </c>
      <c r="AU187" s="278">
        <f t="shared" si="1012"/>
        <v>3598</v>
      </c>
      <c r="AV187" s="278">
        <f t="shared" si="1012"/>
        <v>3367</v>
      </c>
      <c r="AW187" s="278">
        <f t="shared" si="1012"/>
        <v>3310</v>
      </c>
      <c r="AX187" s="278">
        <f t="shared" si="1012"/>
        <v>2626</v>
      </c>
      <c r="AY187" s="278">
        <f t="shared" si="1012"/>
        <v>3507</v>
      </c>
      <c r="AZ187" s="278">
        <f t="shared" si="1012"/>
        <v>3208</v>
      </c>
      <c r="BA187" s="278">
        <f t="shared" si="1012"/>
        <v>3345</v>
      </c>
      <c r="BB187" s="278">
        <f t="shared" si="1012"/>
        <v>2884</v>
      </c>
      <c r="BC187" s="278">
        <f t="shared" si="1012"/>
        <v>3616</v>
      </c>
      <c r="BD187" s="278">
        <f t="shared" si="1012"/>
        <v>3441</v>
      </c>
      <c r="BE187" s="278">
        <f t="shared" si="1012"/>
        <v>3417</v>
      </c>
      <c r="BF187" s="278">
        <f t="shared" si="1012"/>
        <v>2864</v>
      </c>
      <c r="BG187" s="278">
        <f t="shared" si="1012"/>
        <v>4269</v>
      </c>
      <c r="BH187" s="278">
        <f t="shared" si="1012"/>
        <v>3365</v>
      </c>
      <c r="BI187" s="278">
        <f t="shared" si="1012"/>
        <v>3202</v>
      </c>
      <c r="BJ187" s="278">
        <f t="shared" si="1012"/>
        <v>5695</v>
      </c>
      <c r="BK187" s="278">
        <f t="shared" si="1012"/>
        <v>3910</v>
      </c>
      <c r="BL187" s="278">
        <f t="shared" si="1012"/>
        <v>3621</v>
      </c>
      <c r="BM187" s="278">
        <f t="shared" si="1012"/>
        <v>3447</v>
      </c>
      <c r="BN187" s="278">
        <f t="shared" si="1012"/>
        <v>2855</v>
      </c>
      <c r="BO187" s="278">
        <f t="shared" si="1012"/>
        <v>3604</v>
      </c>
      <c r="BP187" s="278">
        <f t="shared" si="1012"/>
        <v>4345</v>
      </c>
      <c r="BQ187" s="278">
        <f t="shared" si="1012"/>
        <v>3983</v>
      </c>
      <c r="BR187" s="278">
        <f t="shared" si="1012"/>
        <v>3648.5549999999998</v>
      </c>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c r="CS187" s="166"/>
      <c r="CT187" s="166"/>
      <c r="CU187" s="166"/>
      <c r="CV187" s="166"/>
      <c r="CW187" s="166"/>
      <c r="CX187" s="166"/>
      <c r="CY187" s="278">
        <f>+CY72</f>
        <v>5927</v>
      </c>
      <c r="CZ187" s="278">
        <f t="shared" ref="CZ187:DG187" si="1013">+CZ72</f>
        <v>7021</v>
      </c>
      <c r="DA187" s="278">
        <f t="shared" si="1013"/>
        <v>11179</v>
      </c>
      <c r="DB187" s="278">
        <f t="shared" si="1013"/>
        <v>6391</v>
      </c>
      <c r="DC187" s="278">
        <f t="shared" si="1013"/>
        <v>5036</v>
      </c>
      <c r="DD187" s="278">
        <f t="shared" si="1013"/>
        <v>5383</v>
      </c>
      <c r="DE187" s="278">
        <f t="shared" si="1013"/>
        <v>4783</v>
      </c>
      <c r="DF187" s="278">
        <f t="shared" si="1013"/>
        <v>5772</v>
      </c>
      <c r="DG187" s="278">
        <f t="shared" si="1013"/>
        <v>6579</v>
      </c>
      <c r="DH187" s="166"/>
      <c r="DI187" s="166"/>
      <c r="DJ187" s="166"/>
      <c r="DK187" s="166"/>
      <c r="DL187" s="166"/>
      <c r="DM187" s="166"/>
      <c r="DN187" s="166"/>
      <c r="DO187" s="301"/>
      <c r="DP187" s="166"/>
      <c r="DQ187" s="166"/>
      <c r="DR187" s="166"/>
      <c r="DS187" s="166"/>
      <c r="DT187" s="166"/>
      <c r="DU187" s="166"/>
      <c r="DV187" s="166"/>
      <c r="DW187" s="166"/>
      <c r="DX187" s="166"/>
      <c r="DY187" s="166"/>
      <c r="DZ187" s="166"/>
      <c r="EA187" s="166"/>
      <c r="EB187" s="166"/>
      <c r="EC187" s="166"/>
      <c r="ED187" s="166"/>
      <c r="EE187" s="166"/>
      <c r="EF187" s="166"/>
      <c r="EG187" s="166"/>
      <c r="EH187" s="166"/>
      <c r="EI187" s="166"/>
      <c r="EJ187" s="166"/>
      <c r="EK187" s="166"/>
      <c r="EL187" s="166"/>
      <c r="EM187" s="166"/>
      <c r="EN187" s="166"/>
      <c r="EO187" s="166"/>
      <c r="EP187" s="166"/>
      <c r="EQ187" s="166"/>
      <c r="ER187" s="166"/>
      <c r="ES187" s="166"/>
      <c r="ET187" s="166"/>
      <c r="EU187" s="166"/>
      <c r="FM187" s="301"/>
    </row>
    <row r="188" spans="2:169" s="1" customFormat="1" ht="12.75" customHeight="1" x14ac:dyDescent="0.2">
      <c r="B188" s="1" t="s">
        <v>344</v>
      </c>
      <c r="C188" s="166"/>
      <c r="D188" s="166"/>
      <c r="E188" s="166"/>
      <c r="F188" s="166"/>
      <c r="G188" s="166"/>
      <c r="H188" s="166"/>
      <c r="I188" s="16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278"/>
      <c r="AJ188" s="166"/>
      <c r="AK188" s="166"/>
      <c r="AL188" s="166"/>
      <c r="AM188" s="278"/>
      <c r="AN188" s="166"/>
      <c r="AO188" s="166"/>
      <c r="AP188" s="166"/>
      <c r="AQ188" s="278"/>
      <c r="AR188" s="278"/>
      <c r="AS188" s="278"/>
      <c r="AT188" s="278"/>
      <c r="AU188" s="278"/>
      <c r="AV188" s="278"/>
      <c r="AW188" s="278"/>
      <c r="AX188" s="278"/>
      <c r="AY188" s="278">
        <v>3507</v>
      </c>
      <c r="AZ188" s="278">
        <f>6715-AY188</f>
        <v>3208</v>
      </c>
      <c r="BA188" s="278">
        <f>10060-AZ188-AY188</f>
        <v>3345</v>
      </c>
      <c r="BB188" s="278">
        <f>12266-BA188-AZ188-AY188</f>
        <v>2206</v>
      </c>
      <c r="BC188" s="278">
        <v>4526</v>
      </c>
      <c r="BD188" s="278">
        <f>7975-BC188</f>
        <v>3449</v>
      </c>
      <c r="BE188" s="278">
        <f>11392-BD188-BC188</f>
        <v>3417</v>
      </c>
      <c r="BF188" s="278">
        <f>13334-BE188-BD188-BC188</f>
        <v>1942</v>
      </c>
      <c r="BG188" s="278">
        <v>3476</v>
      </c>
      <c r="BH188" s="278">
        <f>6252-BG188</f>
        <v>2776</v>
      </c>
      <c r="BI188" s="278">
        <f>9454-BH188-BG188</f>
        <v>3202</v>
      </c>
      <c r="BJ188" s="166"/>
      <c r="BK188" s="166"/>
      <c r="BL188" s="166"/>
      <c r="BM188" s="166"/>
      <c r="BN188" s="166"/>
      <c r="BO188" s="278">
        <v>3497</v>
      </c>
      <c r="BP188" s="278">
        <f>7330-BO188</f>
        <v>3833</v>
      </c>
      <c r="BQ188" s="278">
        <f>10312-BP188-BO188</f>
        <v>2982</v>
      </c>
      <c r="BR188" s="278">
        <f>13831-BQ188-BP188-BO188</f>
        <v>3519</v>
      </c>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c r="CS188" s="166"/>
      <c r="CT188" s="166"/>
      <c r="CU188" s="166"/>
      <c r="CV188" s="166"/>
      <c r="CW188" s="166"/>
      <c r="CX188" s="166"/>
      <c r="CY188" s="278">
        <v>5149</v>
      </c>
      <c r="CZ188" s="278">
        <f>9963-CY188</f>
        <v>4814</v>
      </c>
      <c r="DA188" s="166"/>
      <c r="DB188" s="278">
        <f>17941-DA188-CZ188-CY188</f>
        <v>7978</v>
      </c>
      <c r="DC188" s="278">
        <v>-68</v>
      </c>
      <c r="DD188" s="278">
        <f>5076-DC188</f>
        <v>5144</v>
      </c>
      <c r="DE188" s="166"/>
      <c r="DF188" s="166"/>
      <c r="DG188" s="278">
        <v>3255</v>
      </c>
      <c r="DH188" s="166"/>
      <c r="DI188" s="166"/>
      <c r="DJ188" s="166"/>
      <c r="DK188" s="166"/>
      <c r="DL188" s="166"/>
      <c r="DM188" s="166"/>
      <c r="DN188" s="166"/>
      <c r="DO188" s="301"/>
      <c r="DP188" s="166"/>
      <c r="DQ188" s="166"/>
      <c r="DR188" s="166"/>
      <c r="DS188" s="166"/>
      <c r="DT188" s="166"/>
      <c r="DU188" s="166"/>
      <c r="DV188" s="166"/>
      <c r="DW188" s="166"/>
      <c r="DX188" s="166"/>
      <c r="DY188" s="166"/>
      <c r="DZ188" s="166"/>
      <c r="EA188" s="166"/>
      <c r="EB188" s="166"/>
      <c r="EC188" s="166"/>
      <c r="ED188" s="166"/>
      <c r="EE188" s="166"/>
      <c r="EF188" s="166"/>
      <c r="EG188" s="166"/>
      <c r="EH188" s="166"/>
      <c r="EI188" s="166"/>
      <c r="EJ188" s="166"/>
      <c r="EK188" s="166"/>
      <c r="EL188" s="166"/>
      <c r="EM188" s="166"/>
      <c r="EN188" s="166"/>
      <c r="EO188" s="166"/>
      <c r="EP188" s="166"/>
      <c r="EQ188" s="166"/>
      <c r="ER188" s="166"/>
      <c r="ES188" s="166"/>
      <c r="ET188" s="166"/>
      <c r="EU188" s="166"/>
      <c r="FM188" s="301"/>
    </row>
    <row r="189" spans="2:169" ht="12.75" customHeight="1" x14ac:dyDescent="0.2">
      <c r="B189" t="s">
        <v>391</v>
      </c>
      <c r="AI189" s="76">
        <v>515</v>
      </c>
      <c r="AM189" s="76">
        <v>521</v>
      </c>
      <c r="AQ189" s="243">
        <v>622</v>
      </c>
      <c r="AR189" s="243">
        <f>1305-AQ189</f>
        <v>683</v>
      </c>
      <c r="AS189" s="243">
        <f>1902-AR189-AQ189</f>
        <v>597</v>
      </c>
      <c r="AT189" s="243">
        <f>2777-AS189-AR189-AQ189</f>
        <v>875</v>
      </c>
      <c r="AU189" s="243">
        <v>666</v>
      </c>
      <c r="AV189" s="243">
        <f>1349-AU189</f>
        <v>683</v>
      </c>
      <c r="AW189" s="243">
        <f>2117-AV189-AU189</f>
        <v>768</v>
      </c>
      <c r="AX189" s="243">
        <f>2832-AW189-AV189-AU189</f>
        <v>715</v>
      </c>
      <c r="AY189" s="243">
        <v>676</v>
      </c>
      <c r="AZ189" s="243">
        <f>1355-AY189</f>
        <v>679</v>
      </c>
      <c r="BA189" s="243">
        <f>2030-AZ189-AY189</f>
        <v>675</v>
      </c>
      <c r="BB189" s="243">
        <f>2774-BA189-AZ189-AY189</f>
        <v>744</v>
      </c>
      <c r="BC189" s="243">
        <v>734</v>
      </c>
      <c r="BD189" s="243">
        <f>1445-BC189</f>
        <v>711</v>
      </c>
      <c r="BE189" s="243">
        <f>2170-BD189-BC189</f>
        <v>725</v>
      </c>
      <c r="BF189" s="243">
        <f>2939-BE189-BD189-BC189</f>
        <v>769</v>
      </c>
      <c r="BG189" s="243">
        <v>755</v>
      </c>
      <c r="BH189" s="243">
        <f>1532-BG189</f>
        <v>777</v>
      </c>
      <c r="BI189" s="243">
        <f>2315-BH189-BG189</f>
        <v>783</v>
      </c>
      <c r="BO189" s="243">
        <v>1036</v>
      </c>
      <c r="BP189" s="243">
        <f>2026-BO189</f>
        <v>990</v>
      </c>
      <c r="BQ189" s="243">
        <f>3002-BP189-BO189</f>
        <v>976</v>
      </c>
      <c r="BR189" s="243">
        <f>4104-BQ189-BP189-BO189</f>
        <v>1102</v>
      </c>
      <c r="CY189" s="243">
        <v>1769</v>
      </c>
      <c r="CZ189" s="243">
        <f>3513-CY189</f>
        <v>1744</v>
      </c>
      <c r="DB189" s="243">
        <f>6970-DA189-CZ189-CY189</f>
        <v>3457</v>
      </c>
      <c r="DC189" s="243">
        <v>1880</v>
      </c>
      <c r="DD189" s="243">
        <f>3814-DC189</f>
        <v>1934</v>
      </c>
      <c r="DG189" s="243">
        <v>1815</v>
      </c>
    </row>
    <row r="190" spans="2:169" ht="12.75" customHeight="1" x14ac:dyDescent="0.2">
      <c r="B190" t="s">
        <v>392</v>
      </c>
      <c r="AI190" s="76">
        <v>135</v>
      </c>
      <c r="AM190" s="243">
        <v>153</v>
      </c>
      <c r="AQ190" s="243">
        <v>164</v>
      </c>
      <c r="AR190" s="243">
        <f>360-AQ190</f>
        <v>196</v>
      </c>
      <c r="AS190" s="243">
        <f>537-AR190-AQ190</f>
        <v>177</v>
      </c>
      <c r="AT190" s="243">
        <f>698-AS190-AR190-AQ190</f>
        <v>161</v>
      </c>
      <c r="AU190" s="243">
        <v>163</v>
      </c>
      <c r="AV190" s="243">
        <f>356-AU190</f>
        <v>193</v>
      </c>
      <c r="AW190" s="243">
        <f>524-AV190-AU190</f>
        <v>168</v>
      </c>
      <c r="AX190" s="243">
        <f>627-AW190-AV190-AU190</f>
        <v>103</v>
      </c>
      <c r="AY190" s="243">
        <v>159</v>
      </c>
      <c r="AZ190" s="243">
        <f>341-AY190</f>
        <v>182</v>
      </c>
      <c r="BA190" s="243">
        <f>499-AZ190-AY190</f>
        <v>158</v>
      </c>
      <c r="BB190" s="243">
        <f>628-BA190-AZ190-AY190</f>
        <v>129</v>
      </c>
      <c r="BC190" s="243">
        <v>157</v>
      </c>
      <c r="BD190" s="243">
        <f>305-BC190</f>
        <v>148</v>
      </c>
      <c r="BE190" s="243">
        <f>474-BD190-BC190</f>
        <v>169</v>
      </c>
      <c r="BF190" s="243">
        <f>614-BE190-BD190-BC190</f>
        <v>140</v>
      </c>
      <c r="BG190" s="243">
        <v>152</v>
      </c>
      <c r="BH190" s="243">
        <f>339-BG190</f>
        <v>187</v>
      </c>
      <c r="BI190" s="243">
        <f>484-BH190-BG190</f>
        <v>145</v>
      </c>
      <c r="BO190" s="243">
        <v>194</v>
      </c>
      <c r="BP190" s="243">
        <f>423-BO190</f>
        <v>229</v>
      </c>
      <c r="BQ190" s="243">
        <f>584-BP190-BO190</f>
        <v>161</v>
      </c>
      <c r="BR190" s="243">
        <f>728-BQ190-BP190-BO190</f>
        <v>144</v>
      </c>
      <c r="CY190" s="243">
        <v>278</v>
      </c>
      <c r="CZ190" s="243">
        <f>644-CY190</f>
        <v>366</v>
      </c>
      <c r="DB190" s="243">
        <f>1138-DA190-CZ190-CY190</f>
        <v>494</v>
      </c>
      <c r="DC190" s="243">
        <v>306</v>
      </c>
      <c r="DD190" s="243">
        <f>688-DC190</f>
        <v>382</v>
      </c>
      <c r="DG190" s="243">
        <v>302</v>
      </c>
    </row>
    <row r="191" spans="2:169" ht="12.75" customHeight="1" x14ac:dyDescent="0.2">
      <c r="B191" t="s">
        <v>393</v>
      </c>
      <c r="AI191" s="76">
        <v>0</v>
      </c>
      <c r="AM191" s="243">
        <v>37</v>
      </c>
      <c r="AQ191" s="243">
        <v>807</v>
      </c>
      <c r="AR191" s="243">
        <f>807-AQ191</f>
        <v>0</v>
      </c>
      <c r="AS191" s="243">
        <f>807-AR191-AQ191</f>
        <v>0</v>
      </c>
      <c r="AT191" s="243">
        <f>807-AS191-AR191-AQ191</f>
        <v>0</v>
      </c>
      <c r="AU191" s="243">
        <v>0</v>
      </c>
      <c r="AV191" s="243">
        <f>40-AU191</f>
        <v>40</v>
      </c>
      <c r="AW191" s="243">
        <v>0</v>
      </c>
      <c r="AX191" s="243">
        <f>181-AW191-AV191-AU191</f>
        <v>141</v>
      </c>
      <c r="AY191" s="243">
        <v>0</v>
      </c>
      <c r="AZ191" s="243">
        <v>0</v>
      </c>
      <c r="BA191" s="76">
        <v>0</v>
      </c>
      <c r="BB191" s="76">
        <v>0</v>
      </c>
      <c r="BC191" s="76">
        <v>960</v>
      </c>
      <c r="BD191" s="76">
        <f>0-BC191</f>
        <v>-960</v>
      </c>
      <c r="BE191" s="76">
        <f>0-BD191-BC191</f>
        <v>0</v>
      </c>
      <c r="BF191" s="76">
        <f>0-BE191-BD191-BC191</f>
        <v>0</v>
      </c>
      <c r="BG191" s="76">
        <v>0</v>
      </c>
      <c r="BH191" s="76">
        <v>0</v>
      </c>
      <c r="BI191" s="76">
        <v>0</v>
      </c>
      <c r="BO191" s="76">
        <f>108+69</f>
        <v>177</v>
      </c>
      <c r="BP191" s="76">
        <f>108+69-BO191-401</f>
        <v>-401</v>
      </c>
      <c r="BQ191" s="76">
        <f>108+247-380-BP191-BO191</f>
        <v>199</v>
      </c>
      <c r="BR191" s="76">
        <f>108+739-417-BQ191-BP191-BO191</f>
        <v>455</v>
      </c>
      <c r="CY191" s="243">
        <v>610</v>
      </c>
      <c r="CZ191" s="243">
        <f>747-CY191</f>
        <v>137</v>
      </c>
      <c r="DB191" s="243">
        <f>1216-DA191-CZ191-CY191</f>
        <v>469</v>
      </c>
      <c r="DC191" s="243">
        <v>426</v>
      </c>
      <c r="DD191" s="243">
        <f>388-DC191</f>
        <v>-38</v>
      </c>
      <c r="DG191" s="243">
        <v>185</v>
      </c>
    </row>
    <row r="192" spans="2:169" ht="12.75" customHeight="1" x14ac:dyDescent="0.2">
      <c r="B192" t="s">
        <v>1892</v>
      </c>
      <c r="AM192" s="243"/>
      <c r="AQ192" s="243"/>
      <c r="AR192" s="243"/>
      <c r="AS192" s="243"/>
      <c r="AT192" s="243"/>
      <c r="AU192" s="243"/>
      <c r="AV192" s="243"/>
      <c r="AW192" s="243"/>
      <c r="AX192" s="243"/>
      <c r="AY192" s="243"/>
      <c r="AZ192" s="243"/>
      <c r="CY192" s="243">
        <v>-168</v>
      </c>
      <c r="CZ192" s="243">
        <f>-213-CY192</f>
        <v>-45</v>
      </c>
      <c r="DB192" s="243">
        <f>-380-DA192-CZ192-CY192</f>
        <v>-167</v>
      </c>
      <c r="DC192" s="243">
        <v>-8</v>
      </c>
      <c r="DD192" s="243">
        <f>-47-DC192</f>
        <v>-39</v>
      </c>
      <c r="DG192" s="243">
        <v>0</v>
      </c>
    </row>
    <row r="193" spans="2:151" ht="12.75" customHeight="1" x14ac:dyDescent="0.2">
      <c r="B193" t="s">
        <v>394</v>
      </c>
      <c r="AI193" s="76">
        <v>53</v>
      </c>
      <c r="AM193" s="243">
        <v>-153</v>
      </c>
      <c r="AQ193" s="243">
        <v>-5</v>
      </c>
      <c r="AR193" s="243">
        <f>-405-AQ193</f>
        <v>-400</v>
      </c>
      <c r="AS193" s="243">
        <f>-900-AR193-AQ193</f>
        <v>-495</v>
      </c>
      <c r="AT193" s="243">
        <f>-1762-AS193-AR193-AQ193</f>
        <v>-862</v>
      </c>
      <c r="AU193" s="243">
        <v>-27</v>
      </c>
      <c r="AV193" s="243">
        <f>-322-AU193</f>
        <v>-295</v>
      </c>
      <c r="AW193" s="243">
        <f>-354-AU193-AV193</f>
        <v>-32</v>
      </c>
      <c r="AX193" s="243">
        <f>22-AW193-AV193-AU193</f>
        <v>376</v>
      </c>
      <c r="AY193" s="243">
        <v>1212</v>
      </c>
      <c r="AZ193" s="243">
        <f>645-AY193</f>
        <v>-567</v>
      </c>
      <c r="BA193" s="243">
        <f>541-AZ193-AY193</f>
        <v>-104</v>
      </c>
      <c r="BB193" s="243">
        <f>-436-BA193-AZ193-AY193</f>
        <v>-977</v>
      </c>
      <c r="BC193" s="243">
        <v>78</v>
      </c>
      <c r="BD193" s="243">
        <f>604-BC193</f>
        <v>526</v>
      </c>
      <c r="BE193" s="243">
        <f>644-BD193-BC193</f>
        <v>40</v>
      </c>
      <c r="BF193" s="243">
        <f>356-BE193-BD193-BC193</f>
        <v>-288</v>
      </c>
      <c r="BG193" s="243">
        <v>-4</v>
      </c>
      <c r="BH193" s="243">
        <f>-504-BG193</f>
        <v>-500</v>
      </c>
      <c r="BI193" s="243">
        <f>-849-BH193-BG193</f>
        <v>-345</v>
      </c>
      <c r="BO193" s="243">
        <v>365</v>
      </c>
      <c r="BP193" s="243">
        <f>92-BO193</f>
        <v>-273</v>
      </c>
      <c r="BQ193" s="243">
        <f>-224-BP193-BO193</f>
        <v>-316</v>
      </c>
      <c r="BR193" s="243">
        <f>-607-BQ193-BP193-BO193</f>
        <v>-383</v>
      </c>
      <c r="CY193" s="243">
        <v>-926</v>
      </c>
      <c r="CZ193" s="243">
        <f>-2349-CY193</f>
        <v>-1423</v>
      </c>
      <c r="DB193" s="243">
        <f>-1663-DA193-CZ193-CY193</f>
        <v>686</v>
      </c>
      <c r="DC193" s="243">
        <v>-1543</v>
      </c>
      <c r="DD193" s="243">
        <f>-2342-DC193</f>
        <v>-799</v>
      </c>
      <c r="DG193" s="243">
        <v>-1562</v>
      </c>
    </row>
    <row r="194" spans="2:151" ht="12.75" customHeight="1" x14ac:dyDescent="0.2">
      <c r="B194" t="s">
        <v>395</v>
      </c>
      <c r="AI194" s="76">
        <v>22</v>
      </c>
      <c r="AM194" s="243">
        <v>-4</v>
      </c>
      <c r="AQ194" s="243">
        <v>3</v>
      </c>
      <c r="AR194" s="243">
        <f>1-AQ194</f>
        <v>-2</v>
      </c>
      <c r="AS194" s="243">
        <f>13-AR194-AQ194</f>
        <v>12</v>
      </c>
      <c r="AT194" s="243">
        <f>22-AS194-AR194-AQ194</f>
        <v>9</v>
      </c>
      <c r="AU194" s="243">
        <v>12</v>
      </c>
      <c r="AV194" s="243">
        <f>15-AU194</f>
        <v>3</v>
      </c>
      <c r="AW194" s="243">
        <f>62-AV194-AU194</f>
        <v>47</v>
      </c>
      <c r="AX194" s="243">
        <f>86-AW194-AV194-AU194</f>
        <v>24</v>
      </c>
      <c r="AY194" s="243">
        <v>22</v>
      </c>
      <c r="AZ194" s="243">
        <f>52-AY194</f>
        <v>30</v>
      </c>
      <c r="BA194" s="243">
        <f>39-AZ194-AY194</f>
        <v>-13</v>
      </c>
      <c r="BB194" s="243">
        <f>58-BA194-AZ194-AY194</f>
        <v>19</v>
      </c>
      <c r="BC194" s="243">
        <v>-529</v>
      </c>
      <c r="BD194" s="243">
        <f>46-BC194</f>
        <v>575</v>
      </c>
      <c r="BE194" s="243">
        <f>30-BD194-BC194</f>
        <v>-16</v>
      </c>
      <c r="BF194" s="243">
        <f>12-BE194-BD194-BC194</f>
        <v>-18</v>
      </c>
      <c r="BG194" s="243">
        <v>-16</v>
      </c>
      <c r="BH194" s="243">
        <f>-33-BG194</f>
        <v>-17</v>
      </c>
      <c r="BI194" s="243">
        <f>-21-BH194-BG194</f>
        <v>12</v>
      </c>
      <c r="BO194" s="243">
        <v>-11</v>
      </c>
      <c r="BP194" s="243">
        <f>-29-BO194</f>
        <v>-18</v>
      </c>
      <c r="BQ194" s="243">
        <f>-32-BP194-BO194</f>
        <v>-3</v>
      </c>
      <c r="BR194" s="243">
        <f>-131-BQ194-BP194-BO194</f>
        <v>-99</v>
      </c>
      <c r="CY194" s="243">
        <v>6</v>
      </c>
      <c r="CZ194" s="243">
        <f>-3-CY194</f>
        <v>-9</v>
      </c>
      <c r="DB194" s="243">
        <f>-17-DA194-CZ194-CY194</f>
        <v>-14</v>
      </c>
      <c r="DC194" s="243">
        <v>1</v>
      </c>
      <c r="DD194" s="243">
        <f>0-DC194</f>
        <v>-1</v>
      </c>
      <c r="DG194" s="243">
        <v>0</v>
      </c>
    </row>
    <row r="195" spans="2:151" ht="12.75" customHeight="1" x14ac:dyDescent="0.2">
      <c r="B195" t="s">
        <v>396</v>
      </c>
      <c r="AI195" s="76">
        <v>-639</v>
      </c>
      <c r="AM195" s="243">
        <v>-568</v>
      </c>
      <c r="AQ195" s="243">
        <v>-562</v>
      </c>
      <c r="AR195" s="243">
        <f>-659-AQ195</f>
        <v>-97</v>
      </c>
      <c r="AS195" s="243">
        <f>-407-AR195-AQ195</f>
        <v>252</v>
      </c>
      <c r="AT195" s="243">
        <f>-416-AS195-AR195-AQ195</f>
        <v>-9</v>
      </c>
      <c r="AU195" s="243">
        <v>-517</v>
      </c>
      <c r="AV195" s="243">
        <f>-732-AU195</f>
        <v>-215</v>
      </c>
      <c r="AW195" s="243">
        <f>-790-AU195-AV195</f>
        <v>-58</v>
      </c>
      <c r="AX195" s="243">
        <f>-736-AW195-AV195-AU195</f>
        <v>54</v>
      </c>
      <c r="AY195" s="243">
        <v>-86</v>
      </c>
      <c r="AZ195" s="243">
        <f>-225-AY195</f>
        <v>-139</v>
      </c>
      <c r="BA195" s="243">
        <f>-61-AZ195-AY195</f>
        <v>164</v>
      </c>
      <c r="BB195" s="243">
        <f>453-BA195-AZ195-AY195</f>
        <v>514</v>
      </c>
      <c r="BC195" s="243">
        <v>-193</v>
      </c>
      <c r="BD195" s="243">
        <f>-555-BC195</f>
        <v>-362</v>
      </c>
      <c r="BE195" s="243">
        <f>-585-BD195-BC195</f>
        <v>-30</v>
      </c>
      <c r="BF195" s="243">
        <f>-207-BE195-BD195-BC195</f>
        <v>378</v>
      </c>
      <c r="BG195" s="243">
        <v>-609</v>
      </c>
      <c r="BH195" s="243">
        <f>-576-BG195</f>
        <v>33</v>
      </c>
      <c r="BI195" s="243">
        <f>-489-BH195-BG195</f>
        <v>87</v>
      </c>
      <c r="BO195" s="243">
        <v>-434</v>
      </c>
      <c r="BP195" s="243">
        <f>-647-BO195</f>
        <v>-213</v>
      </c>
      <c r="BQ195" s="243">
        <f>-971-BP195-BO195</f>
        <v>-324</v>
      </c>
      <c r="BR195" s="243">
        <f>-632-BQ195-BP195-BO195</f>
        <v>339</v>
      </c>
      <c r="CY195" s="243">
        <v>-427</v>
      </c>
      <c r="CZ195" s="243">
        <f>-1386-CY195</f>
        <v>-959</v>
      </c>
      <c r="DB195" s="243">
        <f>-1290-DA195-CZ195-CY195</f>
        <v>96</v>
      </c>
      <c r="DC195" s="243">
        <v>-54</v>
      </c>
      <c r="DD195" s="243">
        <f>-599-DC195</f>
        <v>-545</v>
      </c>
      <c r="DG195" s="243">
        <v>-279</v>
      </c>
    </row>
    <row r="196" spans="2:151" ht="12.75" customHeight="1" x14ac:dyDescent="0.2">
      <c r="B196" t="s">
        <v>464</v>
      </c>
      <c r="AI196" s="76">
        <v>-140</v>
      </c>
      <c r="AM196" s="243">
        <v>-219</v>
      </c>
      <c r="AQ196" s="243">
        <v>-120</v>
      </c>
      <c r="AR196" s="243">
        <f>-190-AQ196</f>
        <v>-70</v>
      </c>
      <c r="AS196" s="243">
        <f>-309-AR196-AQ196</f>
        <v>-119</v>
      </c>
      <c r="AT196" s="243">
        <f>14-AS196-AR196-AQ196</f>
        <v>323</v>
      </c>
      <c r="AU196" s="243">
        <v>-259</v>
      </c>
      <c r="AV196" s="243">
        <f>-379-AU196</f>
        <v>-120</v>
      </c>
      <c r="AW196" s="243">
        <f>-348-AV196-AU196</f>
        <v>31</v>
      </c>
      <c r="AX196" s="243">
        <f>-101-AW196-AV196-AU196</f>
        <v>247</v>
      </c>
      <c r="AY196" s="243">
        <v>-336</v>
      </c>
      <c r="AZ196" s="243">
        <f>-339-AY196</f>
        <v>-3</v>
      </c>
      <c r="BA196" s="243">
        <f>-250-AZ196-AY196</f>
        <v>89</v>
      </c>
      <c r="BB196" s="243">
        <f>95-BA196-AZ196-AY196</f>
        <v>345</v>
      </c>
      <c r="BC196" s="243">
        <v>-1651</v>
      </c>
      <c r="BD196" s="243">
        <f>-88-BC196</f>
        <v>1563</v>
      </c>
      <c r="BE196" s="243">
        <f>-197-BD196-BC196</f>
        <v>-109</v>
      </c>
      <c r="BF196" s="243">
        <f>-196-BE196-BD196-BC196</f>
        <v>1</v>
      </c>
      <c r="BG196" s="243">
        <v>-452</v>
      </c>
      <c r="BH196" s="243">
        <f>-620-BG196</f>
        <v>-168</v>
      </c>
      <c r="BI196" s="243">
        <f>-787-BH196-BG196</f>
        <v>-167</v>
      </c>
      <c r="BO196" s="243">
        <v>-288</v>
      </c>
      <c r="BP196" s="243">
        <f>-547-BO196</f>
        <v>-259</v>
      </c>
      <c r="BQ196" s="243">
        <f>-799-BP196-BO196</f>
        <v>-252</v>
      </c>
      <c r="BR196" s="243">
        <f>-622-BQ196-BP196-BO196</f>
        <v>177</v>
      </c>
      <c r="CY196" s="243">
        <v>-600</v>
      </c>
      <c r="CZ196" s="243">
        <f>-1257-CY196</f>
        <v>-657</v>
      </c>
      <c r="DB196" s="243">
        <f>-2527-DA196-CZ196-CY196</f>
        <v>-1270</v>
      </c>
      <c r="DC196" s="243">
        <v>-524</v>
      </c>
      <c r="DD196" s="243">
        <f>-741-DC196</f>
        <v>-217</v>
      </c>
      <c r="DG196" s="243">
        <v>-348</v>
      </c>
    </row>
    <row r="197" spans="2:151" ht="12.75" customHeight="1" x14ac:dyDescent="0.2">
      <c r="B197" t="s">
        <v>465</v>
      </c>
      <c r="AI197" s="76">
        <v>-1509</v>
      </c>
      <c r="AM197" s="243">
        <v>-633</v>
      </c>
      <c r="AQ197" s="243">
        <v>-229</v>
      </c>
      <c r="AR197" s="243">
        <f>-306-AQ197</f>
        <v>-77</v>
      </c>
      <c r="AS197" s="243">
        <f>933-AR197-AQ197</f>
        <v>1239</v>
      </c>
      <c r="AT197" s="243">
        <f>2642-AS197-AR197-AQ197</f>
        <v>1709</v>
      </c>
      <c r="AU197" s="243">
        <v>-273</v>
      </c>
      <c r="AV197" s="243">
        <f>-1160-AU197</f>
        <v>-887</v>
      </c>
      <c r="AW197" s="243">
        <f>-1103-AV197-AU197</f>
        <v>57</v>
      </c>
      <c r="AX197" s="243">
        <f>-272-AW197-AV197-AU197</f>
        <v>831</v>
      </c>
      <c r="AY197" s="243">
        <v>-2155</v>
      </c>
      <c r="AZ197" s="243">
        <f>-1897-AY197</f>
        <v>258</v>
      </c>
      <c r="BA197" s="243">
        <f>-1830-AZ197-AY197</f>
        <v>67</v>
      </c>
      <c r="BB197" s="243">
        <f>-507-BA197-AZ197-AY197</f>
        <v>1323</v>
      </c>
      <c r="BC197" s="243">
        <v>-1088</v>
      </c>
      <c r="BD197" s="243">
        <f>-1719-BC197</f>
        <v>-631</v>
      </c>
      <c r="BE197" s="243">
        <f>-1552-BD197-BC197</f>
        <v>167</v>
      </c>
      <c r="BF197" s="243">
        <f>20-BE197-BD197-BC197</f>
        <v>1572</v>
      </c>
      <c r="BG197" s="243">
        <v>-1127</v>
      </c>
      <c r="BH197" s="243">
        <f>-444-BG197</f>
        <v>683</v>
      </c>
      <c r="BI197" s="243">
        <f>-100-BH197-BG197</f>
        <v>344</v>
      </c>
      <c r="BO197" s="243">
        <v>-1459</v>
      </c>
      <c r="BP197" s="243">
        <f>-715-BO197</f>
        <v>744</v>
      </c>
      <c r="BQ197" s="243">
        <f>589-BP197-BO197</f>
        <v>1304</v>
      </c>
      <c r="BR197" s="243">
        <f>1821-BQ197-BP197-BO197</f>
        <v>1232</v>
      </c>
      <c r="CY197" s="243">
        <v>-2817</v>
      </c>
      <c r="CZ197" s="243">
        <f>-1170-CY197</f>
        <v>1647</v>
      </c>
      <c r="DB197" s="243">
        <f>1098-DA197-CZ197-CY197</f>
        <v>2268</v>
      </c>
      <c r="DC197" s="243">
        <v>-2572</v>
      </c>
      <c r="DD197" s="243">
        <f>-1061-DC197</f>
        <v>1511</v>
      </c>
      <c r="DG197" s="243">
        <v>-2483</v>
      </c>
    </row>
    <row r="198" spans="2:151" ht="12.75" customHeight="1" x14ac:dyDescent="0.2">
      <c r="B198" t="s">
        <v>466</v>
      </c>
      <c r="AI198" s="76">
        <v>235</v>
      </c>
      <c r="AM198" s="243">
        <v>-207</v>
      </c>
      <c r="AQ198" s="243">
        <v>-373</v>
      </c>
      <c r="AR198" s="243">
        <f>-424-AQ198</f>
        <v>-51</v>
      </c>
      <c r="AS198" s="243">
        <f>-1007-AR198-AQ198</f>
        <v>-583</v>
      </c>
      <c r="AT198" s="243">
        <f>-1351-AS198-AR198-AQ198</f>
        <v>-344</v>
      </c>
      <c r="AU198" s="243">
        <v>-1112</v>
      </c>
      <c r="AV198" s="243">
        <f>-756-AU198</f>
        <v>356</v>
      </c>
      <c r="AW198" s="243">
        <f>-2-AV198-AU198</f>
        <v>754</v>
      </c>
      <c r="AX198" s="243">
        <f>-1600-AW198-AV198-AU198</f>
        <v>-1598</v>
      </c>
      <c r="AY198" s="243">
        <v>-39</v>
      </c>
      <c r="AZ198" s="243">
        <f>-28-AY198</f>
        <v>11</v>
      </c>
      <c r="BA198" s="243">
        <f>-35-AZ198-AY198</f>
        <v>-7</v>
      </c>
      <c r="BB198" s="243">
        <f>1209-BA198-AZ198-AY198</f>
        <v>1244</v>
      </c>
      <c r="BC198" s="243">
        <v>696</v>
      </c>
      <c r="BD198" s="243">
        <f>-704-BC198</f>
        <v>-1400</v>
      </c>
      <c r="BE198" s="243">
        <f>-310-BD198-BC198</f>
        <v>394</v>
      </c>
      <c r="BF198" s="243">
        <f>-574-BE198-BD198-BC198</f>
        <v>-264</v>
      </c>
      <c r="BG198" s="243">
        <v>-970</v>
      </c>
      <c r="BH198" s="243">
        <f>-920-BG198</f>
        <v>50</v>
      </c>
      <c r="BI198" s="243">
        <f>-906-BH198-BG198</f>
        <v>14</v>
      </c>
      <c r="BO198" s="243">
        <v>-608</v>
      </c>
      <c r="BP198" s="243">
        <f>-437-BO198</f>
        <v>171</v>
      </c>
      <c r="BQ198" s="243">
        <f>-403-BP198-BO198</f>
        <v>34</v>
      </c>
      <c r="BR198" s="243">
        <f>-1806-BQ198-BP198-BO198</f>
        <v>-1403</v>
      </c>
      <c r="CY198" s="243">
        <v>995</v>
      </c>
      <c r="CZ198" s="243">
        <f>3527-CY198</f>
        <v>2532</v>
      </c>
      <c r="DB198" s="243">
        <f>687-DA198-CZ198-CY198</f>
        <v>-2840</v>
      </c>
      <c r="DC198" s="243">
        <v>-915</v>
      </c>
      <c r="DD198" s="243">
        <f>-1144-DC198</f>
        <v>-229</v>
      </c>
      <c r="DG198" s="243">
        <v>3199</v>
      </c>
    </row>
    <row r="199" spans="2:151" ht="12.75" customHeight="1" x14ac:dyDescent="0.2">
      <c r="B199" t="s">
        <v>467</v>
      </c>
      <c r="AI199" s="76">
        <v>1124</v>
      </c>
      <c r="AM199" s="243">
        <v>1242</v>
      </c>
      <c r="AQ199" s="243">
        <v>957</v>
      </c>
      <c r="AR199" s="243">
        <f>591-AQ199</f>
        <v>-366</v>
      </c>
      <c r="AS199" s="243">
        <f>1154-AR199-AQ199</f>
        <v>563</v>
      </c>
      <c r="AT199" s="243">
        <f>564-AS199-AR199-AQ199</f>
        <v>-590</v>
      </c>
      <c r="AU199" s="243">
        <v>985</v>
      </c>
      <c r="AV199" s="243">
        <f>742-AU199</f>
        <v>-243</v>
      </c>
      <c r="AW199" s="243">
        <f>590-AV199-AU199</f>
        <v>-152</v>
      </c>
      <c r="AX199" s="243">
        <f>984-AW199-AV199-AU199</f>
        <v>394</v>
      </c>
      <c r="AY199" s="243">
        <v>-133</v>
      </c>
      <c r="AZ199" s="243">
        <f>-429-AY199</f>
        <v>-296</v>
      </c>
      <c r="BA199" s="243">
        <f>291-AZ199-AY199</f>
        <v>720</v>
      </c>
      <c r="BB199" s="243">
        <f>31-BA199-AZ199-AY199</f>
        <v>-260</v>
      </c>
      <c r="BC199" s="243">
        <v>0</v>
      </c>
      <c r="BD199" s="243">
        <f>218-BC199</f>
        <v>218</v>
      </c>
      <c r="BE199" s="243">
        <f>495-BD199-BC199</f>
        <v>277</v>
      </c>
      <c r="BF199" s="243">
        <f>87-BE199-BD199-BC199</f>
        <v>-408</v>
      </c>
      <c r="BG199" s="243">
        <v>1111</v>
      </c>
      <c r="BH199" s="243">
        <f>1199-BG199</f>
        <v>88</v>
      </c>
      <c r="BI199" s="243">
        <f>1746-BH199-BG199</f>
        <v>547</v>
      </c>
      <c r="BO199" s="243">
        <v>-192</v>
      </c>
      <c r="BP199" s="243">
        <f>56-BO199</f>
        <v>248</v>
      </c>
      <c r="BQ199" s="243">
        <f>1242-BP199-BO199</f>
        <v>1186</v>
      </c>
      <c r="BR199" s="243">
        <f>298-BQ199-BP199-BO199</f>
        <v>-944</v>
      </c>
      <c r="CY199" s="243">
        <v>110</v>
      </c>
      <c r="CZ199" s="243">
        <f>-2456-CY199</f>
        <v>-2566</v>
      </c>
      <c r="DB199" s="243">
        <f>-1979-DA199-CZ199-CY199</f>
        <v>477</v>
      </c>
      <c r="DC199" s="243">
        <v>6328</v>
      </c>
      <c r="DD199" s="243">
        <f>3407-DC199</f>
        <v>-2921</v>
      </c>
      <c r="DG199" s="243">
        <v>-427</v>
      </c>
    </row>
    <row r="200" spans="2:151" s="1" customFormat="1" ht="12.75" customHeight="1" x14ac:dyDescent="0.2">
      <c r="B200" s="1" t="s">
        <v>390</v>
      </c>
      <c r="C200" s="166"/>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278"/>
      <c r="AN200" s="166"/>
      <c r="AO200" s="166"/>
      <c r="AP200" s="166"/>
      <c r="AQ200" s="278"/>
      <c r="AR200" s="278"/>
      <c r="AS200" s="278"/>
      <c r="AT200" s="278"/>
      <c r="AU200" s="278"/>
      <c r="AV200" s="278"/>
      <c r="AW200" s="278"/>
      <c r="AX200" s="278"/>
      <c r="AY200" s="278">
        <f t="shared" ref="AY200:BI200" si="1014">SUM(AY188:AY199)</f>
        <v>2827</v>
      </c>
      <c r="AZ200" s="278">
        <f t="shared" si="1014"/>
        <v>3363</v>
      </c>
      <c r="BA200" s="278">
        <f t="shared" si="1014"/>
        <v>5094</v>
      </c>
      <c r="BB200" s="278">
        <f t="shared" si="1014"/>
        <v>5287</v>
      </c>
      <c r="BC200" s="278">
        <f t="shared" si="1014"/>
        <v>3690</v>
      </c>
      <c r="BD200" s="278">
        <f t="shared" si="1014"/>
        <v>3837</v>
      </c>
      <c r="BE200" s="278">
        <f t="shared" si="1014"/>
        <v>5034</v>
      </c>
      <c r="BF200" s="278">
        <f t="shared" si="1014"/>
        <v>3824</v>
      </c>
      <c r="BG200" s="278">
        <f t="shared" si="1014"/>
        <v>2316</v>
      </c>
      <c r="BH200" s="278">
        <f t="shared" si="1014"/>
        <v>3909</v>
      </c>
      <c r="BI200" s="278">
        <f t="shared" si="1014"/>
        <v>4622</v>
      </c>
      <c r="BJ200" s="278"/>
      <c r="BK200" s="166"/>
      <c r="BL200" s="166"/>
      <c r="BM200" s="166"/>
      <c r="BN200" s="166"/>
      <c r="BO200" s="278">
        <f t="shared" ref="BO200:BP200" si="1015">SUM(BO188:BO199)</f>
        <v>2277</v>
      </c>
      <c r="BP200" s="278">
        <f t="shared" si="1015"/>
        <v>5051</v>
      </c>
      <c r="BQ200" s="278">
        <f t="shared" ref="BQ200:BR200" si="1016">SUM(BQ188:BQ199)</f>
        <v>5947</v>
      </c>
      <c r="BR200" s="278">
        <f t="shared" si="1016"/>
        <v>4139</v>
      </c>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c r="CS200" s="166"/>
      <c r="CT200" s="166"/>
      <c r="CU200" s="166"/>
      <c r="CV200" s="166"/>
      <c r="CW200" s="166"/>
      <c r="CX200" s="166"/>
      <c r="CY200" s="278">
        <f>SUM(CY188:CY199)</f>
        <v>3979</v>
      </c>
      <c r="CZ200" s="278">
        <f t="shared" ref="CZ200:DG200" si="1017">SUM(CZ188:CZ199)</f>
        <v>5581</v>
      </c>
      <c r="DA200" s="278">
        <f t="shared" si="1017"/>
        <v>0</v>
      </c>
      <c r="DB200" s="278">
        <f t="shared" si="1017"/>
        <v>11634</v>
      </c>
      <c r="DC200" s="278">
        <f t="shared" si="1017"/>
        <v>3257</v>
      </c>
      <c r="DD200" s="278">
        <f t="shared" si="1017"/>
        <v>4182</v>
      </c>
      <c r="DE200" s="278">
        <f t="shared" si="1017"/>
        <v>0</v>
      </c>
      <c r="DF200" s="278">
        <f t="shared" si="1017"/>
        <v>0</v>
      </c>
      <c r="DG200" s="278">
        <f t="shared" si="1017"/>
        <v>3657</v>
      </c>
      <c r="DH200" s="166"/>
      <c r="DI200" s="166"/>
      <c r="DJ200" s="166"/>
      <c r="DK200" s="166"/>
      <c r="DL200" s="166"/>
      <c r="DM200" s="166"/>
      <c r="DN200" s="166"/>
      <c r="DP200" s="166"/>
      <c r="DQ200" s="166"/>
      <c r="DR200" s="166"/>
      <c r="DS200" s="166"/>
      <c r="DT200" s="166"/>
      <c r="DU200" s="166"/>
      <c r="DV200" s="166"/>
      <c r="DW200" s="166"/>
      <c r="DX200" s="166"/>
      <c r="DY200" s="166"/>
      <c r="DZ200" s="166"/>
      <c r="EA200" s="166"/>
      <c r="EB200" s="166"/>
      <c r="EC200" s="166"/>
      <c r="ED200" s="166"/>
      <c r="EE200" s="166"/>
      <c r="EF200" s="166"/>
      <c r="EG200" s="166"/>
      <c r="EH200" s="166"/>
      <c r="EI200" s="166"/>
      <c r="EJ200" s="166"/>
      <c r="EK200" s="166"/>
      <c r="EL200" s="166"/>
      <c r="EM200" s="166"/>
      <c r="EN200" s="166"/>
      <c r="EO200" s="166"/>
      <c r="EP200" s="166"/>
      <c r="EQ200" s="166"/>
      <c r="ER200" s="166"/>
      <c r="ES200" s="166"/>
      <c r="ET200" s="166"/>
      <c r="EU200" s="166"/>
    </row>
    <row r="201" spans="2:151" s="1" customFormat="1" ht="12.75" customHeight="1" x14ac:dyDescent="0.2">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278"/>
      <c r="AN201" s="166"/>
      <c r="AO201" s="166"/>
      <c r="AP201" s="166"/>
      <c r="AQ201" s="278"/>
      <c r="AR201" s="278"/>
      <c r="AS201" s="278"/>
      <c r="AT201" s="278"/>
      <c r="AU201" s="278"/>
      <c r="AV201" s="278"/>
      <c r="AW201" s="278"/>
      <c r="AX201" s="278"/>
      <c r="AY201" s="278"/>
      <c r="AZ201" s="278"/>
      <c r="BA201" s="278"/>
      <c r="BB201" s="278"/>
      <c r="BC201" s="278"/>
      <c r="BD201" s="278"/>
      <c r="BE201" s="278"/>
      <c r="BF201" s="278"/>
      <c r="BG201" s="278"/>
      <c r="BH201" s="278"/>
      <c r="BI201" s="278"/>
      <c r="BJ201" s="278"/>
      <c r="BK201" s="166"/>
      <c r="BL201" s="166"/>
      <c r="BM201" s="166"/>
      <c r="BN201" s="166"/>
      <c r="BO201" s="278"/>
      <c r="BP201" s="278"/>
      <c r="BQ201" s="278"/>
      <c r="BR201" s="278"/>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c r="CS201" s="166"/>
      <c r="CT201" s="166"/>
      <c r="CU201" s="166"/>
      <c r="CV201" s="166"/>
      <c r="CW201" s="166"/>
      <c r="CX201" s="166"/>
      <c r="CY201" s="278"/>
      <c r="CZ201" s="166"/>
      <c r="DA201" s="166"/>
      <c r="DB201" s="166"/>
      <c r="DC201" s="166"/>
      <c r="DD201" s="166"/>
      <c r="DE201" s="166"/>
      <c r="DF201" s="166"/>
      <c r="DG201" s="166"/>
      <c r="DH201" s="166"/>
      <c r="DI201" s="166"/>
      <c r="DJ201" s="166"/>
      <c r="DK201" s="166"/>
      <c r="DL201" s="166"/>
      <c r="DM201" s="166"/>
      <c r="DN201" s="166"/>
      <c r="DP201" s="166"/>
      <c r="DQ201" s="166"/>
      <c r="DR201" s="166"/>
      <c r="DS201" s="166"/>
      <c r="DT201" s="166"/>
      <c r="DU201" s="166"/>
      <c r="DV201" s="166"/>
      <c r="DW201" s="166"/>
      <c r="DX201" s="166"/>
      <c r="DY201" s="166"/>
      <c r="DZ201" s="166"/>
      <c r="EA201" s="166"/>
      <c r="EB201" s="166"/>
      <c r="EC201" s="166"/>
      <c r="ED201" s="166"/>
      <c r="EE201" s="166"/>
      <c r="EF201" s="166"/>
      <c r="EG201" s="166"/>
      <c r="EH201" s="166"/>
      <c r="EI201" s="166"/>
      <c r="EJ201" s="166"/>
      <c r="EK201" s="166"/>
      <c r="EL201" s="166"/>
      <c r="EM201" s="166"/>
      <c r="EN201" s="166"/>
      <c r="EO201" s="166"/>
      <c r="EP201" s="166"/>
      <c r="EQ201" s="166"/>
      <c r="ER201" s="166"/>
      <c r="ES201" s="166"/>
      <c r="ET201" s="166"/>
      <c r="EU201" s="166"/>
    </row>
    <row r="202" spans="2:151" s="79" customFormat="1" ht="12.75" customHeight="1" x14ac:dyDescent="0.2">
      <c r="B202" s="79" t="s">
        <v>468</v>
      </c>
      <c r="C202" s="243"/>
      <c r="D202" s="243"/>
      <c r="E202" s="243"/>
      <c r="F202" s="243"/>
      <c r="G202" s="243"/>
      <c r="H202" s="243"/>
      <c r="I202" s="243"/>
      <c r="J202" s="243"/>
      <c r="K202" s="243"/>
      <c r="L202" s="243"/>
      <c r="M202" s="243"/>
      <c r="N202" s="243"/>
      <c r="O202" s="243"/>
      <c r="P202" s="243"/>
      <c r="Q202" s="243"/>
      <c r="R202" s="243"/>
      <c r="S202" s="243"/>
      <c r="T202" s="243"/>
      <c r="U202" s="243"/>
      <c r="V202" s="243"/>
      <c r="W202" s="243"/>
      <c r="X202" s="243"/>
      <c r="Y202" s="243"/>
      <c r="Z202" s="243"/>
      <c r="AA202" s="243"/>
      <c r="AB202" s="243"/>
      <c r="AC202" s="243"/>
      <c r="AD202" s="243"/>
      <c r="AE202" s="243"/>
      <c r="AF202" s="243"/>
      <c r="AG202" s="243"/>
      <c r="AH202" s="243"/>
      <c r="AI202" s="243">
        <v>-397</v>
      </c>
      <c r="AJ202" s="243"/>
      <c r="AK202" s="243"/>
      <c r="AL202" s="243"/>
      <c r="AM202" s="243">
        <v>-446</v>
      </c>
      <c r="AN202" s="243"/>
      <c r="AO202" s="243"/>
      <c r="AP202" s="243"/>
      <c r="AQ202" s="243">
        <v>-446</v>
      </c>
      <c r="AR202" s="243">
        <f>-1045-AQ202</f>
        <v>-599</v>
      </c>
      <c r="AS202" s="243">
        <f>-1704-AR202-AQ202</f>
        <v>-659</v>
      </c>
      <c r="AT202" s="243">
        <f>-2942-AS202-AR202-AQ202</f>
        <v>-1238</v>
      </c>
      <c r="AU202" s="243">
        <v>-479</v>
      </c>
      <c r="AV202" s="243">
        <f>-1166-AU202</f>
        <v>-687</v>
      </c>
      <c r="AW202" s="243">
        <f>-1938-AV202-AU202</f>
        <v>-772</v>
      </c>
      <c r="AX202" s="243">
        <f>-3066-AW202-AV202-AU202</f>
        <v>-1128</v>
      </c>
      <c r="AY202" s="243">
        <v>-435</v>
      </c>
      <c r="AZ202" s="243">
        <f>-1002-AY202</f>
        <v>-567</v>
      </c>
      <c r="BA202" s="243">
        <f>-1521-AZ202-AY202</f>
        <v>-519</v>
      </c>
      <c r="BB202" s="243">
        <f>-2365-BA202-AZ202-AY202</f>
        <v>-844</v>
      </c>
      <c r="BC202" s="243">
        <v>-397</v>
      </c>
      <c r="BD202" s="243">
        <f>-897-BC202</f>
        <v>-500</v>
      </c>
      <c r="BE202" s="243">
        <f>-1425-BD202-BC202</f>
        <v>-528</v>
      </c>
      <c r="BF202" s="243">
        <f>-2384-BE202-BD202-BC202</f>
        <v>-959</v>
      </c>
      <c r="BG202" s="243">
        <f>-436+121</f>
        <v>-315</v>
      </c>
      <c r="BH202" s="243">
        <f>-1054-BG202+143</f>
        <v>-596</v>
      </c>
      <c r="BI202" s="243">
        <f>-1765-BH202-BG202+721</f>
        <v>-133</v>
      </c>
      <c r="BJ202" s="243"/>
      <c r="BK202" s="243"/>
      <c r="BL202" s="243"/>
      <c r="BM202" s="243"/>
      <c r="BN202" s="243"/>
      <c r="BO202" s="243">
        <v>-586</v>
      </c>
      <c r="BP202" s="243">
        <f>-1357-BO202</f>
        <v>-771</v>
      </c>
      <c r="BQ202" s="243">
        <f>-2166-BP202-BO202</f>
        <v>-809</v>
      </c>
      <c r="BR202" s="243">
        <f>-3595-BQ202-BP202-BO202</f>
        <v>-1429</v>
      </c>
      <c r="BS202" s="243"/>
      <c r="BT202" s="243"/>
      <c r="BU202" s="243"/>
      <c r="BV202" s="243"/>
      <c r="BW202" s="243"/>
      <c r="BX202" s="243"/>
      <c r="BY202" s="243"/>
      <c r="BZ202" s="243"/>
      <c r="CA202" s="243"/>
      <c r="CB202" s="243"/>
      <c r="CC202" s="243"/>
      <c r="CD202" s="243"/>
      <c r="CE202" s="243"/>
      <c r="CF202" s="243"/>
      <c r="CG202" s="243"/>
      <c r="CH202" s="243"/>
      <c r="CI202" s="243"/>
      <c r="CJ202" s="243"/>
      <c r="CK202" s="243"/>
      <c r="CL202" s="243"/>
      <c r="CM202" s="243"/>
      <c r="CN202" s="243"/>
      <c r="CO202" s="243"/>
      <c r="CP202" s="243"/>
      <c r="CQ202" s="243"/>
      <c r="CR202" s="243"/>
      <c r="CS202" s="243"/>
      <c r="CT202" s="243"/>
      <c r="CU202" s="243"/>
      <c r="CV202" s="243"/>
      <c r="CW202" s="243"/>
      <c r="CX202" s="243"/>
      <c r="CY202" s="243">
        <v>-607</v>
      </c>
      <c r="CZ202" s="243">
        <f>-1470-CY202</f>
        <v>-863</v>
      </c>
      <c r="DA202" s="243"/>
      <c r="DB202" s="243">
        <f>-4009+543-DA202-CZ202-CY202</f>
        <v>-1996</v>
      </c>
      <c r="DC202" s="243">
        <v>-863</v>
      </c>
      <c r="DD202" s="243">
        <f>-1987-DC202</f>
        <v>-1124</v>
      </c>
      <c r="DE202" s="243"/>
      <c r="DF202" s="243"/>
      <c r="DG202" s="243">
        <v>-807</v>
      </c>
      <c r="DH202" s="243"/>
      <c r="DI202" s="243"/>
      <c r="DJ202" s="243"/>
      <c r="DK202" s="243"/>
      <c r="DL202" s="243"/>
      <c r="DM202" s="243"/>
      <c r="DN202" s="243"/>
      <c r="DP202" s="243"/>
      <c r="DQ202" s="243"/>
      <c r="DR202" s="243"/>
      <c r="DS202" s="243"/>
      <c r="DT202" s="243"/>
      <c r="DU202" s="243"/>
      <c r="DV202" s="243"/>
      <c r="DW202" s="243"/>
      <c r="DX202" s="243"/>
      <c r="DY202" s="243"/>
      <c r="DZ202" s="243"/>
      <c r="EA202" s="243"/>
      <c r="EB202" s="243"/>
      <c r="EC202" s="243"/>
      <c r="ED202" s="243"/>
      <c r="EE202" s="243"/>
      <c r="EF202" s="243"/>
      <c r="EG202" s="243"/>
      <c r="EH202" s="243"/>
      <c r="EI202" s="243"/>
      <c r="EJ202" s="243"/>
      <c r="EK202" s="243"/>
      <c r="EL202" s="243"/>
      <c r="EM202" s="243"/>
      <c r="EN202" s="243"/>
      <c r="EO202" s="243"/>
      <c r="EP202" s="243"/>
      <c r="EQ202" s="243"/>
      <c r="ER202" s="243"/>
      <c r="ES202" s="243"/>
      <c r="ET202" s="243"/>
      <c r="EU202" s="243"/>
    </row>
    <row r="203" spans="2:151" s="79" customFormat="1" ht="12.75" customHeight="1" x14ac:dyDescent="0.2">
      <c r="B203" s="79" t="s">
        <v>1952</v>
      </c>
      <c r="C203" s="243"/>
      <c r="D203" s="243"/>
      <c r="E203" s="243"/>
      <c r="F203" s="243"/>
      <c r="G203" s="243"/>
      <c r="H203" s="243"/>
      <c r="I203" s="243"/>
      <c r="J203" s="243"/>
      <c r="K203" s="243"/>
      <c r="L203" s="243"/>
      <c r="M203" s="243"/>
      <c r="N203" s="243"/>
      <c r="O203" s="243"/>
      <c r="P203" s="243"/>
      <c r="Q203" s="243"/>
      <c r="R203" s="243"/>
      <c r="S203" s="243"/>
      <c r="T203" s="243"/>
      <c r="U203" s="243"/>
      <c r="V203" s="243"/>
      <c r="W203" s="243"/>
      <c r="X203" s="243"/>
      <c r="Y203" s="243"/>
      <c r="Z203" s="243"/>
      <c r="AA203" s="243"/>
      <c r="AB203" s="243"/>
      <c r="AC203" s="243"/>
      <c r="AD203" s="243"/>
      <c r="AE203" s="243"/>
      <c r="AF203" s="243"/>
      <c r="AG203" s="243"/>
      <c r="AH203" s="243"/>
      <c r="AI203" s="243"/>
      <c r="AJ203" s="243"/>
      <c r="AK203" s="243"/>
      <c r="AL203" s="243"/>
      <c r="AM203" s="243"/>
      <c r="AN203" s="243"/>
      <c r="AO203" s="243"/>
      <c r="AP203" s="243"/>
      <c r="AQ203" s="243"/>
      <c r="AR203" s="243"/>
      <c r="AS203" s="243"/>
      <c r="AT203" s="243"/>
      <c r="AU203" s="243"/>
      <c r="AV203" s="243"/>
      <c r="AW203" s="243"/>
      <c r="AX203" s="243"/>
      <c r="AY203" s="243"/>
      <c r="AZ203" s="243"/>
      <c r="BA203" s="243"/>
      <c r="BB203" s="243"/>
      <c r="BC203" s="243"/>
      <c r="BD203" s="243"/>
      <c r="BE203" s="243"/>
      <c r="BF203" s="243"/>
      <c r="BG203" s="243"/>
      <c r="BH203" s="243"/>
      <c r="BI203" s="243"/>
      <c r="BJ203" s="243"/>
      <c r="BK203" s="243"/>
      <c r="BL203" s="243"/>
      <c r="BM203" s="243"/>
      <c r="BN203" s="243"/>
      <c r="BO203" s="243"/>
      <c r="BP203" s="243"/>
      <c r="BQ203" s="243"/>
      <c r="BR203" s="243"/>
      <c r="BS203" s="243"/>
      <c r="BT203" s="243"/>
      <c r="BU203" s="243"/>
      <c r="BV203" s="243"/>
      <c r="BW203" s="243"/>
      <c r="BX203" s="243"/>
      <c r="BY203" s="243"/>
      <c r="BZ203" s="243"/>
      <c r="CA203" s="243"/>
      <c r="CB203" s="243"/>
      <c r="CC203" s="243"/>
      <c r="CD203" s="243"/>
      <c r="CE203" s="243"/>
      <c r="CF203" s="243"/>
      <c r="CG203" s="243"/>
      <c r="CH203" s="243"/>
      <c r="CI203" s="243"/>
      <c r="CJ203" s="243"/>
      <c r="CK203" s="243"/>
      <c r="CL203" s="243"/>
      <c r="CM203" s="243"/>
      <c r="CN203" s="243"/>
      <c r="CO203" s="243"/>
      <c r="CP203" s="243"/>
      <c r="CQ203" s="243"/>
      <c r="CR203" s="243"/>
      <c r="CS203" s="243"/>
      <c r="CT203" s="243"/>
      <c r="CU203" s="243"/>
      <c r="CV203" s="243"/>
      <c r="CW203" s="243"/>
      <c r="CX203" s="243"/>
      <c r="CY203" s="243"/>
      <c r="CZ203" s="243">
        <v>314</v>
      </c>
      <c r="DA203" s="243"/>
      <c r="DB203" s="243"/>
      <c r="DC203" s="243">
        <f>40</f>
        <v>40</v>
      </c>
      <c r="DD203" s="243">
        <f t="shared" ref="DD203" si="1018">116-DC203</f>
        <v>76</v>
      </c>
      <c r="DE203" s="243"/>
      <c r="DF203" s="243"/>
      <c r="DG203" s="243">
        <v>210</v>
      </c>
      <c r="DH203" s="243"/>
      <c r="DI203" s="243"/>
      <c r="DJ203" s="243"/>
      <c r="DK203" s="243"/>
      <c r="DL203" s="243"/>
      <c r="DM203" s="243"/>
      <c r="DN203" s="243"/>
      <c r="DP203" s="243"/>
      <c r="DQ203" s="243"/>
      <c r="DR203" s="243"/>
      <c r="DS203" s="243"/>
      <c r="DT203" s="243"/>
      <c r="DU203" s="243"/>
      <c r="DV203" s="243"/>
      <c r="DW203" s="243"/>
      <c r="DX203" s="243"/>
      <c r="DY203" s="243"/>
      <c r="DZ203" s="243"/>
      <c r="EA203" s="243"/>
      <c r="EB203" s="243"/>
      <c r="EC203" s="243"/>
      <c r="ED203" s="243"/>
      <c r="EE203" s="243"/>
      <c r="EF203" s="243"/>
      <c r="EG203" s="243"/>
      <c r="EH203" s="243"/>
      <c r="EI203" s="243"/>
      <c r="EJ203" s="243"/>
      <c r="EK203" s="243"/>
      <c r="EL203" s="243"/>
      <c r="EM203" s="243"/>
      <c r="EN203" s="243"/>
      <c r="EO203" s="243"/>
      <c r="EP203" s="243"/>
      <c r="EQ203" s="243"/>
      <c r="ER203" s="243"/>
      <c r="ES203" s="243"/>
      <c r="ET203" s="243"/>
      <c r="EU203" s="243"/>
    </row>
    <row r="204" spans="2:151" s="79" customFormat="1" ht="12.75" customHeight="1" x14ac:dyDescent="0.2">
      <c r="B204" s="79" t="s">
        <v>248</v>
      </c>
      <c r="C204" s="243"/>
      <c r="D204" s="243"/>
      <c r="E204" s="243"/>
      <c r="F204" s="243"/>
      <c r="G204" s="243"/>
      <c r="H204" s="243"/>
      <c r="I204" s="243"/>
      <c r="J204" s="243"/>
      <c r="K204" s="243"/>
      <c r="L204" s="243"/>
      <c r="M204" s="243"/>
      <c r="N204" s="243"/>
      <c r="O204" s="243"/>
      <c r="P204" s="243"/>
      <c r="Q204" s="243"/>
      <c r="R204" s="243"/>
      <c r="S204" s="243"/>
      <c r="T204" s="243"/>
      <c r="U204" s="243"/>
      <c r="V204" s="243"/>
      <c r="W204" s="243"/>
      <c r="X204" s="243"/>
      <c r="Y204" s="243"/>
      <c r="Z204" s="243"/>
      <c r="AA204" s="243"/>
      <c r="AB204" s="243"/>
      <c r="AC204" s="243"/>
      <c r="AD204" s="243"/>
      <c r="AE204" s="243"/>
      <c r="AF204" s="243"/>
      <c r="AG204" s="243"/>
      <c r="AH204" s="243"/>
      <c r="AI204" s="243"/>
      <c r="AJ204" s="243"/>
      <c r="AK204" s="243"/>
      <c r="AL204" s="243"/>
      <c r="AM204" s="243"/>
      <c r="AN204" s="243"/>
      <c r="AO204" s="243"/>
      <c r="AP204" s="243"/>
      <c r="AQ204" s="243">
        <v>-1368</v>
      </c>
      <c r="AR204" s="243">
        <v>0</v>
      </c>
      <c r="AS204" s="243">
        <f>-1378-AR204-AQ204</f>
        <v>-10</v>
      </c>
      <c r="AT204" s="243">
        <f>-1388-AS204-AR204-AQ204</f>
        <v>-10</v>
      </c>
      <c r="AU204" s="243">
        <f>34-8</f>
        <v>26</v>
      </c>
      <c r="AV204" s="243">
        <f>47-46-AU204</f>
        <v>-25</v>
      </c>
      <c r="AW204" s="243">
        <f>-400+56-AU204-AV204</f>
        <v>-345</v>
      </c>
      <c r="AX204" s="243">
        <f>-1214+785-AW204-AV204-AU204</f>
        <v>-85</v>
      </c>
      <c r="AY204" s="243">
        <v>-1291</v>
      </c>
      <c r="AZ204" s="243">
        <f>-1291-AY204</f>
        <v>0</v>
      </c>
      <c r="BA204" s="243">
        <f>-2337-AZ204-AY204</f>
        <v>-1046</v>
      </c>
      <c r="BB204" s="243">
        <f>-2470-BA204-AZ204-AY204</f>
        <v>-133</v>
      </c>
      <c r="BC204" s="243">
        <v>-772</v>
      </c>
      <c r="BD204" s="243">
        <f>-6695-BC204</f>
        <v>-5923</v>
      </c>
      <c r="BE204" s="243">
        <f>-1269-BD204-BC204</f>
        <v>5426</v>
      </c>
      <c r="BF204" s="243">
        <f>-1269-BE204-BD204-BC204</f>
        <v>0</v>
      </c>
      <c r="BG204" s="243">
        <v>-2049</v>
      </c>
      <c r="BH204" s="243">
        <f>-2049-BG204</f>
        <v>0</v>
      </c>
      <c r="BI204" s="243">
        <f>-2469-BH204-BG204</f>
        <v>-420</v>
      </c>
      <c r="BJ204" s="243"/>
      <c r="BK204" s="243"/>
      <c r="BL204" s="243"/>
      <c r="BM204" s="243"/>
      <c r="BN204" s="243"/>
      <c r="BO204" s="243">
        <v>-168</v>
      </c>
      <c r="BP204" s="243">
        <f>-174-BO204</f>
        <v>-6</v>
      </c>
      <c r="BQ204" s="243">
        <f>-819-BP204-BO204</f>
        <v>-645</v>
      </c>
      <c r="BR204" s="243">
        <f>-835-BQ204-BP204-BO204</f>
        <v>-16</v>
      </c>
      <c r="BS204" s="243"/>
      <c r="BT204" s="243"/>
      <c r="BU204" s="243"/>
      <c r="BV204" s="243"/>
      <c r="BW204" s="243"/>
      <c r="BX204" s="243"/>
      <c r="BY204" s="243"/>
      <c r="BZ204" s="243"/>
      <c r="CA204" s="243"/>
      <c r="CB204" s="243"/>
      <c r="CC204" s="243"/>
      <c r="CD204" s="243"/>
      <c r="CE204" s="243"/>
      <c r="CF204" s="243"/>
      <c r="CG204" s="243"/>
      <c r="CH204" s="243"/>
      <c r="CI204" s="243"/>
      <c r="CJ204" s="243"/>
      <c r="CK204" s="243"/>
      <c r="CL204" s="243"/>
      <c r="CM204" s="243"/>
      <c r="CN204" s="243"/>
      <c r="CO204" s="243"/>
      <c r="CP204" s="243"/>
      <c r="CQ204" s="243"/>
      <c r="CR204" s="243"/>
      <c r="CS204" s="243"/>
      <c r="CT204" s="243"/>
      <c r="CU204" s="243"/>
      <c r="CV204" s="243"/>
      <c r="CW204" s="243"/>
      <c r="CX204" s="243"/>
      <c r="CY204" s="243">
        <f>248-252</f>
        <v>-4</v>
      </c>
      <c r="CZ204" s="243">
        <f>-523-CY204</f>
        <v>-519</v>
      </c>
      <c r="DA204" s="243"/>
      <c r="DB204" s="243">
        <f>-17652-DA204-CZ204-CY204</f>
        <v>-17129</v>
      </c>
      <c r="DC204" s="243">
        <v>0</v>
      </c>
      <c r="DD204" s="243">
        <v>0</v>
      </c>
      <c r="DE204" s="243"/>
      <c r="DF204" s="243"/>
      <c r="DG204" s="243">
        <v>-1811</v>
      </c>
      <c r="DH204" s="243"/>
      <c r="DI204" s="243"/>
      <c r="DJ204" s="243"/>
      <c r="DK204" s="243"/>
      <c r="DL204" s="243"/>
      <c r="DM204" s="243"/>
      <c r="DN204" s="243"/>
      <c r="DP204" s="243"/>
      <c r="DQ204" s="243"/>
      <c r="DR204" s="243"/>
      <c r="DS204" s="243"/>
      <c r="DT204" s="243"/>
      <c r="DU204" s="243"/>
      <c r="DV204" s="243"/>
      <c r="DW204" s="243"/>
      <c r="DX204" s="243"/>
      <c r="DY204" s="243"/>
      <c r="DZ204" s="243"/>
      <c r="EA204" s="243"/>
      <c r="EB204" s="243"/>
      <c r="EC204" s="243"/>
      <c r="ED204" s="243"/>
      <c r="EE204" s="243"/>
      <c r="EF204" s="243"/>
      <c r="EG204" s="243"/>
      <c r="EH204" s="243"/>
      <c r="EI204" s="243"/>
      <c r="EJ204" s="243"/>
      <c r="EK204" s="243"/>
      <c r="EL204" s="243"/>
      <c r="EM204" s="243"/>
      <c r="EN204" s="243"/>
      <c r="EO204" s="243"/>
      <c r="EP204" s="243"/>
      <c r="EQ204" s="243"/>
      <c r="ER204" s="243"/>
      <c r="ES204" s="243"/>
      <c r="ET204" s="243"/>
      <c r="EU204" s="243"/>
    </row>
    <row r="205" spans="2:151" s="79" customFormat="1" ht="12.75" customHeight="1" x14ac:dyDescent="0.2">
      <c r="B205" s="79" t="s">
        <v>1893</v>
      </c>
      <c r="C205" s="243"/>
      <c r="D205" s="243"/>
      <c r="E205" s="243"/>
      <c r="F205" s="243"/>
      <c r="G205" s="243"/>
      <c r="H205" s="243"/>
      <c r="I205" s="243"/>
      <c r="J205" s="243"/>
      <c r="K205" s="243"/>
      <c r="L205" s="243"/>
      <c r="M205" s="243"/>
      <c r="N205" s="243"/>
      <c r="O205" s="243"/>
      <c r="P205" s="243"/>
      <c r="Q205" s="243"/>
      <c r="R205" s="243"/>
      <c r="S205" s="243"/>
      <c r="T205" s="243"/>
      <c r="U205" s="243"/>
      <c r="V205" s="243"/>
      <c r="W205" s="243"/>
      <c r="X205" s="243"/>
      <c r="Y205" s="243"/>
      <c r="Z205" s="243"/>
      <c r="AA205" s="243"/>
      <c r="AB205" s="243"/>
      <c r="AC205" s="243"/>
      <c r="AD205" s="243"/>
      <c r="AE205" s="243"/>
      <c r="AF205" s="243"/>
      <c r="AG205" s="243"/>
      <c r="AH205" s="243"/>
      <c r="AI205" s="243"/>
      <c r="AJ205" s="243"/>
      <c r="AK205" s="243"/>
      <c r="AL205" s="243"/>
      <c r="AM205" s="243"/>
      <c r="AN205" s="243"/>
      <c r="AO205" s="243"/>
      <c r="AP205" s="243"/>
      <c r="AQ205" s="243"/>
      <c r="AR205" s="243"/>
      <c r="AS205" s="243"/>
      <c r="AT205" s="243"/>
      <c r="AU205" s="243"/>
      <c r="AV205" s="243"/>
      <c r="AW205" s="243"/>
      <c r="AX205" s="243"/>
      <c r="AY205" s="243"/>
      <c r="AZ205" s="243"/>
      <c r="BA205" s="243"/>
      <c r="BB205" s="243"/>
      <c r="BC205" s="243"/>
      <c r="BD205" s="243"/>
      <c r="BE205" s="243"/>
      <c r="BF205" s="243"/>
      <c r="BG205" s="243"/>
      <c r="BH205" s="243"/>
      <c r="BI205" s="243"/>
      <c r="BJ205" s="243"/>
      <c r="BK205" s="243"/>
      <c r="BL205" s="243"/>
      <c r="BM205" s="243"/>
      <c r="BN205" s="243"/>
      <c r="BO205" s="243"/>
      <c r="BP205" s="243"/>
      <c r="BQ205" s="243"/>
      <c r="BR205" s="243"/>
      <c r="BS205" s="243"/>
      <c r="BT205" s="243"/>
      <c r="BU205" s="243"/>
      <c r="BV205" s="243"/>
      <c r="BW205" s="243"/>
      <c r="BX205" s="243"/>
      <c r="BY205" s="243"/>
      <c r="BZ205" s="243"/>
      <c r="CA205" s="243"/>
      <c r="CB205" s="243"/>
      <c r="CC205" s="243"/>
      <c r="CD205" s="243"/>
      <c r="CE205" s="243"/>
      <c r="CF205" s="243"/>
      <c r="CG205" s="243"/>
      <c r="CH205" s="243"/>
      <c r="CI205" s="243"/>
      <c r="CJ205" s="243"/>
      <c r="CK205" s="243"/>
      <c r="CL205" s="243"/>
      <c r="CM205" s="243"/>
      <c r="CN205" s="243"/>
      <c r="CO205" s="243"/>
      <c r="CP205" s="243"/>
      <c r="CQ205" s="243"/>
      <c r="CR205" s="243"/>
      <c r="CS205" s="243"/>
      <c r="CT205" s="243"/>
      <c r="CU205" s="243"/>
      <c r="CV205" s="243"/>
      <c r="CW205" s="243"/>
      <c r="CX205" s="243"/>
      <c r="CY205" s="243">
        <f>-9018+6303</f>
        <v>-2715</v>
      </c>
      <c r="CZ205" s="243">
        <f>-22048+17634-CY205</f>
        <v>-1699</v>
      </c>
      <c r="DA205" s="243"/>
      <c r="DB205" s="243">
        <f>-32384+41609-DA205-CZ205-CY205</f>
        <v>13639</v>
      </c>
      <c r="DC205" s="243">
        <f>-3774+7766</f>
        <v>3992</v>
      </c>
      <c r="DD205" s="243">
        <f>-9688-DC205+11877</f>
        <v>-1803</v>
      </c>
      <c r="DE205" s="243"/>
      <c r="DF205" s="243"/>
      <c r="DG205" s="243">
        <f>-630+979</f>
        <v>349</v>
      </c>
      <c r="DH205" s="243"/>
      <c r="DI205" s="243"/>
      <c r="DJ205" s="243"/>
      <c r="DK205" s="243"/>
      <c r="DL205" s="243"/>
      <c r="DM205" s="243"/>
      <c r="DN205" s="243"/>
      <c r="DP205" s="243"/>
      <c r="DQ205" s="243"/>
      <c r="DR205" s="243"/>
      <c r="DS205" s="243"/>
      <c r="DT205" s="243"/>
      <c r="DU205" s="243"/>
      <c r="DV205" s="243"/>
      <c r="DW205" s="243"/>
      <c r="DX205" s="243"/>
      <c r="DY205" s="243"/>
      <c r="DZ205" s="243"/>
      <c r="EA205" s="243"/>
      <c r="EB205" s="243"/>
      <c r="EC205" s="243"/>
      <c r="ED205" s="243"/>
      <c r="EE205" s="243"/>
      <c r="EF205" s="243"/>
      <c r="EG205" s="243"/>
      <c r="EH205" s="243"/>
      <c r="EI205" s="243"/>
      <c r="EJ205" s="243"/>
      <c r="EK205" s="243"/>
      <c r="EL205" s="243"/>
      <c r="EM205" s="243"/>
      <c r="EN205" s="243"/>
      <c r="EO205" s="243"/>
      <c r="EP205" s="243"/>
      <c r="EQ205" s="243"/>
      <c r="ER205" s="243"/>
      <c r="ES205" s="243"/>
      <c r="ET205" s="243"/>
      <c r="EU205" s="243"/>
    </row>
    <row r="206" spans="2:151" ht="12.75" customHeight="1" x14ac:dyDescent="0.2">
      <c r="B206" s="79" t="s">
        <v>1894</v>
      </c>
      <c r="AQ206" s="243"/>
      <c r="AR206" s="243"/>
      <c r="AS206" s="243"/>
      <c r="AT206" s="243"/>
      <c r="AU206" s="243"/>
      <c r="AV206" s="243"/>
      <c r="AW206" s="243"/>
      <c r="AX206" s="243"/>
      <c r="AY206" s="243"/>
      <c r="AZ206" s="243"/>
      <c r="BA206" s="243"/>
      <c r="BB206" s="243"/>
      <c r="BC206" s="243"/>
      <c r="BD206" s="243"/>
      <c r="BE206" s="243"/>
      <c r="BF206" s="243"/>
      <c r="BG206" s="243"/>
      <c r="BH206" s="243"/>
      <c r="BI206" s="243"/>
      <c r="BO206" s="243"/>
      <c r="BP206" s="243"/>
      <c r="BQ206" s="243"/>
      <c r="BR206" s="243"/>
      <c r="CY206" s="76">
        <v>-249</v>
      </c>
      <c r="CZ206" s="76">
        <f>-10-CY206</f>
        <v>239</v>
      </c>
      <c r="DB206" s="76">
        <f>-249-DA206-CZ206-CY206</f>
        <v>-239</v>
      </c>
      <c r="DC206" s="76">
        <v>158</v>
      </c>
      <c r="DD206" s="76">
        <f>-798-DC206</f>
        <v>-956</v>
      </c>
      <c r="DG206" s="76">
        <v>1600</v>
      </c>
    </row>
    <row r="207" spans="2:151" ht="12.75" customHeight="1" x14ac:dyDescent="0.2">
      <c r="B207" s="79" t="s">
        <v>1895</v>
      </c>
      <c r="AQ207" s="243"/>
      <c r="AR207" s="243"/>
      <c r="AS207" s="243"/>
      <c r="AT207" s="243"/>
      <c r="AU207" s="243"/>
      <c r="AV207" s="243"/>
      <c r="AW207" s="243"/>
      <c r="AX207" s="243"/>
      <c r="AY207" s="243"/>
      <c r="AZ207" s="243"/>
      <c r="BA207" s="243"/>
      <c r="BB207" s="243"/>
      <c r="BC207" s="243"/>
      <c r="BD207" s="243"/>
      <c r="BE207" s="243"/>
      <c r="BF207" s="243"/>
      <c r="BG207" s="243"/>
      <c r="BH207" s="243"/>
      <c r="BI207" s="243"/>
      <c r="BO207" s="243"/>
      <c r="BP207" s="243"/>
      <c r="BQ207" s="243"/>
      <c r="BR207" s="243"/>
      <c r="CY207" s="76">
        <v>-59</v>
      </c>
      <c r="CZ207" s="76">
        <f>-170-CY207</f>
        <v>-111</v>
      </c>
      <c r="DB207" s="76">
        <f>-229--DA207-CZ207-CY207</f>
        <v>-59</v>
      </c>
      <c r="DC207" s="76">
        <v>-12</v>
      </c>
      <c r="DD207" s="76">
        <f>19-DC207</f>
        <v>31</v>
      </c>
      <c r="DG207" s="76">
        <v>-5</v>
      </c>
    </row>
    <row r="208" spans="2:151" ht="12.75" customHeight="1" x14ac:dyDescent="0.2">
      <c r="B208" s="79" t="s">
        <v>1896</v>
      </c>
      <c r="AQ208" s="243"/>
      <c r="AR208" s="243"/>
      <c r="AS208" s="243"/>
      <c r="AT208" s="243"/>
      <c r="AU208" s="243"/>
      <c r="AV208" s="243"/>
      <c r="AW208" s="243"/>
      <c r="AX208" s="243"/>
      <c r="AY208" s="243"/>
      <c r="AZ208" s="243"/>
      <c r="BA208" s="243"/>
      <c r="BB208" s="243"/>
      <c r="BC208" s="243"/>
      <c r="BD208" s="243"/>
      <c r="BE208" s="243"/>
      <c r="BF208" s="243"/>
      <c r="BG208" s="243"/>
      <c r="BH208" s="243"/>
      <c r="BI208" s="243"/>
      <c r="BO208" s="243"/>
      <c r="BP208" s="243"/>
      <c r="BQ208" s="243"/>
      <c r="BR208" s="243"/>
      <c r="CY208" s="243">
        <f>SUM(CY202:CY207)</f>
        <v>-3634</v>
      </c>
      <c r="CZ208" s="243">
        <f t="shared" ref="CZ208:DD208" si="1019">SUM(CZ202:CZ207)</f>
        <v>-2639</v>
      </c>
      <c r="DA208" s="243">
        <f t="shared" si="1019"/>
        <v>0</v>
      </c>
      <c r="DB208" s="243">
        <f t="shared" si="1019"/>
        <v>-5784</v>
      </c>
      <c r="DC208" s="243">
        <f t="shared" si="1019"/>
        <v>3315</v>
      </c>
      <c r="DD208" s="243">
        <f t="shared" si="1019"/>
        <v>-3776</v>
      </c>
      <c r="DG208" s="243">
        <f t="shared" ref="DG208" si="1020">SUM(DG202:DG207)</f>
        <v>-464</v>
      </c>
    </row>
    <row r="209" spans="2:151" ht="12.75" customHeight="1" x14ac:dyDescent="0.2">
      <c r="B209" s="79"/>
      <c r="AQ209" s="243"/>
      <c r="AR209" s="243"/>
      <c r="AS209" s="243"/>
      <c r="AT209" s="243"/>
      <c r="AU209" s="243"/>
      <c r="AV209" s="243"/>
      <c r="AW209" s="243"/>
      <c r="AX209" s="243"/>
      <c r="AY209" s="243"/>
      <c r="AZ209" s="243"/>
      <c r="BA209" s="243"/>
      <c r="BB209" s="243"/>
      <c r="BC209" s="243"/>
      <c r="BD209" s="243"/>
      <c r="BE209" s="243"/>
      <c r="BF209" s="243"/>
      <c r="BG209" s="243"/>
      <c r="BH209" s="243"/>
      <c r="BI209" s="243"/>
      <c r="BO209" s="243"/>
      <c r="BP209" s="243"/>
      <c r="BQ209" s="243"/>
      <c r="BR209" s="243"/>
    </row>
    <row r="210" spans="2:151" s="79" customFormat="1" ht="12.75" customHeight="1" x14ac:dyDescent="0.2">
      <c r="B210" s="79" t="s">
        <v>1240</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v>-1085</v>
      </c>
      <c r="AR210" s="243">
        <f>-2287-AQ210</f>
        <v>-1202</v>
      </c>
      <c r="AS210" s="243">
        <f>-3486-AR210-AQ210</f>
        <v>-1199</v>
      </c>
      <c r="AT210" s="243">
        <f>-4670-AS210-AR210-AQ210</f>
        <v>-1184</v>
      </c>
      <c r="AU210" s="243">
        <v>-1174</v>
      </c>
      <c r="AV210" s="243">
        <f>-2466-AU210</f>
        <v>-1292</v>
      </c>
      <c r="AW210" s="243">
        <f>-3750-AV210-AU210</f>
        <v>-1284</v>
      </c>
      <c r="AX210" s="243">
        <f>-5024-AW210-AV210-AU210</f>
        <v>-1274</v>
      </c>
      <c r="AY210" s="243">
        <v>-1273</v>
      </c>
      <c r="AZ210" s="243">
        <f>-2623-AY210</f>
        <v>-1350</v>
      </c>
      <c r="BA210" s="243">
        <f>-3974-AZ210-AY210</f>
        <v>-1351</v>
      </c>
      <c r="BB210" s="243">
        <f>-5327-BA210-AZ210-AY210</f>
        <v>-1353</v>
      </c>
      <c r="BC210" s="243">
        <v>-1350</v>
      </c>
      <c r="BD210" s="243">
        <f>-2839-BC210</f>
        <v>-1489</v>
      </c>
      <c r="BE210" s="243">
        <f>-4323-BD210-BC210</f>
        <v>-1484</v>
      </c>
      <c r="BF210" s="243">
        <f>-5804-BE210-BD210-BC210</f>
        <v>-1481</v>
      </c>
      <c r="BG210" s="243">
        <v>-1480</v>
      </c>
      <c r="BH210" s="243">
        <f>-3043-BG210</f>
        <v>-1563</v>
      </c>
      <c r="BI210" s="243">
        <f>-4601-BH210-BG210</f>
        <v>-1558</v>
      </c>
      <c r="BJ210" s="243"/>
      <c r="BK210" s="243"/>
      <c r="BL210" s="243"/>
      <c r="BM210" s="243"/>
      <c r="BN210" s="243"/>
      <c r="BO210" s="243">
        <v>-1706</v>
      </c>
      <c r="BP210" s="243">
        <f>-3562-BO210</f>
        <v>-1856</v>
      </c>
      <c r="BQ210" s="243">
        <f>-5424-BP210-BO210</f>
        <v>-1862</v>
      </c>
      <c r="BR210" s="243">
        <f>-7286-BQ210-BP210-BO210</f>
        <v>-1862</v>
      </c>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v>-2787</v>
      </c>
      <c r="CZ210" s="243">
        <f>-5758-CY210</f>
        <v>-2971</v>
      </c>
      <c r="DA210" s="243"/>
      <c r="DB210" s="243">
        <f>-11682-DA210-CZ210-CY210</f>
        <v>-5924</v>
      </c>
      <c r="DC210" s="243">
        <v>-2942</v>
      </c>
      <c r="DD210" s="243">
        <f>-6034-DC210</f>
        <v>-3092</v>
      </c>
      <c r="DE210" s="243"/>
      <c r="DF210" s="243"/>
      <c r="DG210" s="243">
        <v>-2869</v>
      </c>
      <c r="DH210" s="243"/>
      <c r="DI210" s="243"/>
      <c r="DJ210" s="243"/>
      <c r="DK210" s="243"/>
      <c r="DL210" s="243"/>
      <c r="DM210" s="243"/>
      <c r="DN210" s="243"/>
      <c r="DP210" s="243"/>
      <c r="DQ210" s="243"/>
      <c r="DR210" s="243"/>
      <c r="DS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c r="EN210" s="243"/>
      <c r="EO210" s="243"/>
      <c r="EP210" s="243"/>
      <c r="EQ210" s="243"/>
      <c r="ER210" s="243"/>
      <c r="ES210" s="243"/>
      <c r="ET210" s="243"/>
      <c r="EU210" s="243"/>
    </row>
    <row r="211" spans="2:151" s="79" customFormat="1" ht="12.75" customHeight="1" x14ac:dyDescent="0.2">
      <c r="B211" s="79" t="s">
        <v>469</v>
      </c>
      <c r="C211" s="243"/>
      <c r="D211" s="243"/>
      <c r="E211" s="243"/>
      <c r="F211" s="243"/>
      <c r="G211" s="243"/>
      <c r="H211" s="243"/>
      <c r="I211" s="243"/>
      <c r="J211" s="243"/>
      <c r="K211" s="243"/>
      <c r="L211" s="243"/>
      <c r="M211" s="243"/>
      <c r="N211" s="243"/>
      <c r="O211" s="243"/>
      <c r="P211" s="243"/>
      <c r="Q211" s="243"/>
      <c r="R211" s="243"/>
      <c r="S211" s="243"/>
      <c r="T211" s="243"/>
      <c r="U211" s="243"/>
      <c r="V211" s="243"/>
      <c r="W211" s="243"/>
      <c r="X211" s="243"/>
      <c r="Y211" s="243"/>
      <c r="Z211" s="243"/>
      <c r="AA211" s="243"/>
      <c r="AB211" s="243"/>
      <c r="AC211" s="243"/>
      <c r="AD211" s="243"/>
      <c r="AE211" s="243"/>
      <c r="AF211" s="243"/>
      <c r="AG211" s="243"/>
      <c r="AH211" s="243"/>
      <c r="AI211" s="243">
        <v>654</v>
      </c>
      <c r="AJ211" s="243"/>
      <c r="AK211" s="243"/>
      <c r="AL211" s="243"/>
      <c r="AM211" s="243">
        <v>401</v>
      </c>
      <c r="AN211" s="243"/>
      <c r="AO211" s="243"/>
      <c r="AP211" s="243"/>
      <c r="AQ211" s="243">
        <v>-295</v>
      </c>
      <c r="AR211" s="243">
        <f>-739-AQ211</f>
        <v>-444</v>
      </c>
      <c r="AS211" s="243">
        <f>-2581-AR211-AQ211</f>
        <v>-1842</v>
      </c>
      <c r="AT211" s="243">
        <f>-5607-AS211-AR211-AQ211</f>
        <v>-3026</v>
      </c>
      <c r="AU211" s="243">
        <v>-1779</v>
      </c>
      <c r="AV211" s="243">
        <f>-3617-AU211</f>
        <v>-1838</v>
      </c>
      <c r="AW211" s="243">
        <f>-5773-AV211-AU211</f>
        <v>-2156</v>
      </c>
      <c r="AX211" s="243">
        <f>-6651-AW211-AV211-AU211</f>
        <v>-878</v>
      </c>
      <c r="AY211" s="243">
        <v>-834</v>
      </c>
      <c r="AZ211" s="243">
        <f>-1123-AY211</f>
        <v>-289</v>
      </c>
      <c r="BA211" s="243">
        <f>-1172-AZ211-AY211</f>
        <v>-49</v>
      </c>
      <c r="BB211" s="243">
        <f>-2130-BA211-AZ211-AY211</f>
        <v>-958</v>
      </c>
      <c r="BC211" s="243">
        <v>-383</v>
      </c>
      <c r="BD211" s="243">
        <f>-780-BC211</f>
        <v>-397</v>
      </c>
      <c r="BE211" s="243">
        <f>-1512-BD211-BC211</f>
        <v>-732</v>
      </c>
      <c r="BF211" s="243">
        <f>-2797-BE211-BD211-BC211</f>
        <v>-1285</v>
      </c>
      <c r="BG211" s="243">
        <v>-435</v>
      </c>
      <c r="BH211" s="243">
        <f>-929-BG211</f>
        <v>-494</v>
      </c>
      <c r="BI211" s="243">
        <f>-1672-BH211-BG211</f>
        <v>-743</v>
      </c>
      <c r="BJ211" s="243"/>
      <c r="BK211" s="243"/>
      <c r="BL211" s="243"/>
      <c r="BM211" s="243"/>
      <c r="BN211" s="243"/>
      <c r="BO211" s="243">
        <v>0</v>
      </c>
      <c r="BP211" s="243">
        <v>0</v>
      </c>
      <c r="BQ211" s="243">
        <f>-3050-BP211-BO211</f>
        <v>-3050</v>
      </c>
      <c r="BR211" s="243">
        <f>-3538-BQ211-BP211-BO211</f>
        <v>-488</v>
      </c>
      <c r="BS211" s="243"/>
      <c r="BT211" s="243"/>
      <c r="BU211" s="243"/>
      <c r="BV211" s="243"/>
      <c r="BW211" s="243"/>
      <c r="BX211" s="243"/>
      <c r="BY211" s="243"/>
      <c r="BZ211" s="243"/>
      <c r="CA211" s="243"/>
      <c r="CB211" s="243"/>
      <c r="CC211" s="243"/>
      <c r="CD211" s="243"/>
      <c r="CE211" s="243"/>
      <c r="CF211" s="243"/>
      <c r="CG211" s="243"/>
      <c r="CH211" s="243"/>
      <c r="CI211" s="243"/>
      <c r="CJ211" s="243"/>
      <c r="CK211" s="243"/>
      <c r="CL211" s="243"/>
      <c r="CM211" s="243"/>
      <c r="CN211" s="243"/>
      <c r="CO211" s="243"/>
      <c r="CP211" s="243"/>
      <c r="CQ211" s="243"/>
      <c r="CR211" s="243"/>
      <c r="CS211" s="243"/>
      <c r="CT211" s="243"/>
      <c r="CU211" s="243"/>
      <c r="CV211" s="243"/>
      <c r="CW211" s="243"/>
      <c r="CX211" s="243"/>
      <c r="CY211" s="243">
        <v>-1577</v>
      </c>
      <c r="CZ211" s="243">
        <f>-2550-CY211</f>
        <v>-973</v>
      </c>
      <c r="DA211" s="243"/>
      <c r="DB211" s="243">
        <f>-6035-DA211-CZ211-CY211</f>
        <v>-3485</v>
      </c>
      <c r="DC211" s="243">
        <v>-3537</v>
      </c>
      <c r="DD211" s="243">
        <f>-3918-DC211</f>
        <v>-381</v>
      </c>
      <c r="DE211" s="243"/>
      <c r="DF211" s="243"/>
      <c r="DG211" s="243">
        <v>-1475</v>
      </c>
      <c r="DH211" s="243"/>
      <c r="DI211" s="243"/>
      <c r="DJ211" s="243"/>
      <c r="DK211" s="243"/>
      <c r="DL211" s="243"/>
      <c r="DM211" s="243"/>
      <c r="DN211" s="243"/>
      <c r="DP211" s="243"/>
      <c r="DQ211" s="243"/>
      <c r="DR211" s="243"/>
      <c r="DS211" s="243"/>
      <c r="DT211" s="243"/>
      <c r="DU211" s="243"/>
      <c r="DV211" s="243"/>
      <c r="DW211" s="243"/>
      <c r="DX211" s="243"/>
      <c r="DY211" s="243"/>
      <c r="DZ211" s="243"/>
      <c r="EA211" s="243"/>
      <c r="EB211" s="243"/>
      <c r="EC211" s="243"/>
      <c r="ED211" s="243"/>
      <c r="EE211" s="243"/>
      <c r="EF211" s="243"/>
      <c r="EG211" s="243"/>
      <c r="EH211" s="243"/>
      <c r="EI211" s="243"/>
      <c r="EJ211" s="243"/>
      <c r="EK211" s="243"/>
      <c r="EL211" s="243"/>
      <c r="EM211" s="243"/>
      <c r="EN211" s="243"/>
      <c r="EO211" s="243"/>
      <c r="EP211" s="243"/>
      <c r="EQ211" s="243"/>
      <c r="ER211" s="243"/>
      <c r="ES211" s="243"/>
      <c r="ET211" s="243"/>
      <c r="EU211" s="243"/>
    </row>
    <row r="212" spans="2:151" ht="12.75" customHeight="1" x14ac:dyDescent="0.2">
      <c r="B212" s="79" t="s">
        <v>264</v>
      </c>
      <c r="AM212" s="243"/>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76">
        <f>3019-856-2132</f>
        <v>31</v>
      </c>
      <c r="CZ212" s="76">
        <f>4371-2201+2-2132-CY212</f>
        <v>9</v>
      </c>
      <c r="DB212" s="243">
        <f>16134-6550+2-2134-DA212-CZ212-CY212</f>
        <v>7412</v>
      </c>
      <c r="DC212" s="243">
        <f>11094-5388+7674</f>
        <v>13380</v>
      </c>
      <c r="DD212" s="243">
        <f>12221-13611+7674-501-DC212</f>
        <v>-7597</v>
      </c>
      <c r="DG212" s="243">
        <f>5263-890+2-1</f>
        <v>4374</v>
      </c>
    </row>
    <row r="213" spans="2:151" ht="12.75" customHeight="1" x14ac:dyDescent="0.2">
      <c r="B213" s="79" t="s">
        <v>380</v>
      </c>
      <c r="AM213" s="243"/>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c r="CY213" s="76">
        <f>321-235-138</f>
        <v>-52</v>
      </c>
      <c r="CZ213" s="76">
        <f>820+813-11-CY213</f>
        <v>1674</v>
      </c>
      <c r="DB213" s="243">
        <f>1329-DA213-CZ213-CY213-28+93</f>
        <v>-228</v>
      </c>
      <c r="DC213" s="243">
        <f>-500-11-13-239</f>
        <v>-763</v>
      </c>
      <c r="DD213" s="243">
        <f>254-126+4241-53-DC213</f>
        <v>5079</v>
      </c>
      <c r="DG213" s="243">
        <f>195+228+93</f>
        <v>516</v>
      </c>
    </row>
    <row r="214" spans="2:151" ht="12.75" customHeight="1" x14ac:dyDescent="0.2">
      <c r="B214" t="s">
        <v>1898</v>
      </c>
      <c r="CY214" s="243">
        <f>SUM(CY210:CY213)</f>
        <v>-4385</v>
      </c>
      <c r="CZ214" s="243">
        <f t="shared" ref="CZ214:DC214" si="1021">SUM(CZ210:CZ213)</f>
        <v>-2261</v>
      </c>
      <c r="DA214" s="243">
        <f t="shared" si="1021"/>
        <v>0</v>
      </c>
      <c r="DB214" s="243">
        <f t="shared" si="1021"/>
        <v>-2225</v>
      </c>
      <c r="DC214" s="243">
        <f t="shared" si="1021"/>
        <v>6138</v>
      </c>
      <c r="DD214" s="243">
        <f>SUM(DD210:DD213)</f>
        <v>-5991</v>
      </c>
      <c r="DE214" s="243">
        <f>SUM(DE210:DE213)</f>
        <v>0</v>
      </c>
      <c r="DF214" s="243">
        <f>SUM(DF210:DF213)</f>
        <v>0</v>
      </c>
      <c r="DG214" s="243">
        <f>SUM(DG210:DG213)</f>
        <v>546</v>
      </c>
    </row>
    <row r="215" spans="2:151" ht="12.75" customHeight="1" x14ac:dyDescent="0.2">
      <c r="B215" t="s">
        <v>1897</v>
      </c>
      <c r="CY215" s="243">
        <v>16</v>
      </c>
      <c r="CZ215" s="243">
        <f>-145-CY215</f>
        <v>-161</v>
      </c>
      <c r="DA215" s="243"/>
      <c r="DB215" s="243">
        <f>-312-DA215-CZ215-CY215</f>
        <v>-167</v>
      </c>
      <c r="DC215" s="76">
        <v>28</v>
      </c>
      <c r="DD215" s="76">
        <f>-69-DC215</f>
        <v>-97</v>
      </c>
      <c r="DG215" s="243">
        <v>-125</v>
      </c>
    </row>
    <row r="216" spans="2:151" ht="12.75" customHeight="1" x14ac:dyDescent="0.2">
      <c r="B216" t="s">
        <v>1324</v>
      </c>
      <c r="CY216" s="243">
        <f t="shared" ref="CY216:DG216" si="1022">+CY200+CY208+CY214+CY215</f>
        <v>-4024</v>
      </c>
      <c r="CZ216" s="243">
        <f t="shared" si="1022"/>
        <v>520</v>
      </c>
      <c r="DA216" s="243">
        <f t="shared" si="1022"/>
        <v>0</v>
      </c>
      <c r="DB216" s="243">
        <f t="shared" si="1022"/>
        <v>3458</v>
      </c>
      <c r="DC216" s="243">
        <f t="shared" si="1022"/>
        <v>12738</v>
      </c>
      <c r="DD216" s="243">
        <f t="shared" si="1022"/>
        <v>-5682</v>
      </c>
      <c r="DE216" s="243">
        <f t="shared" si="1022"/>
        <v>0</v>
      </c>
      <c r="DF216" s="243">
        <f t="shared" si="1022"/>
        <v>0</v>
      </c>
      <c r="DG216" s="243">
        <f t="shared" si="1022"/>
        <v>3614</v>
      </c>
    </row>
    <row r="217" spans="2:151" s="79" customFormat="1" ht="12.75" customHeight="1" x14ac:dyDescent="0.2">
      <c r="B217" s="79" t="s">
        <v>371</v>
      </c>
      <c r="C217" s="243"/>
      <c r="D217" s="243"/>
      <c r="E217" s="243"/>
      <c r="F217" s="243"/>
      <c r="G217" s="243"/>
      <c r="H217" s="243"/>
      <c r="I217" s="243"/>
      <c r="J217" s="243"/>
      <c r="K217" s="243"/>
      <c r="L217" s="243"/>
      <c r="M217" s="243"/>
      <c r="N217" s="243"/>
      <c r="O217" s="243"/>
      <c r="P217" s="243"/>
      <c r="Q217" s="243"/>
      <c r="R217" s="243"/>
      <c r="S217" s="243"/>
      <c r="T217" s="243"/>
      <c r="U217" s="243"/>
      <c r="V217" s="243"/>
      <c r="W217" s="243"/>
      <c r="X217" s="243"/>
      <c r="Y217" s="243"/>
      <c r="Z217" s="243"/>
      <c r="AA217" s="243"/>
      <c r="AB217" s="243"/>
      <c r="AC217" s="243"/>
      <c r="AD217" s="243"/>
      <c r="AE217" s="243"/>
      <c r="AF217" s="243"/>
      <c r="AG217" s="243"/>
      <c r="AH217" s="243"/>
      <c r="AI217" s="243"/>
      <c r="AJ217" s="243"/>
      <c r="AK217" s="243"/>
      <c r="AL217" s="243"/>
      <c r="AM217" s="243"/>
      <c r="AN217" s="243"/>
      <c r="AO217" s="243"/>
      <c r="AP217" s="243"/>
      <c r="AQ217" s="243"/>
      <c r="AR217" s="243"/>
      <c r="AS217" s="243"/>
      <c r="AT217" s="243"/>
      <c r="AU217" s="243"/>
      <c r="AV217" s="243"/>
      <c r="AW217" s="243"/>
      <c r="AX217" s="243"/>
      <c r="AY217" s="243">
        <f t="shared" ref="AY217:BI217" si="1023">+AY202+AY200</f>
        <v>2392</v>
      </c>
      <c r="AZ217" s="243">
        <f t="shared" si="1023"/>
        <v>2796</v>
      </c>
      <c r="BA217" s="243">
        <f t="shared" si="1023"/>
        <v>4575</v>
      </c>
      <c r="BB217" s="243">
        <f t="shared" si="1023"/>
        <v>4443</v>
      </c>
      <c r="BC217" s="243">
        <f t="shared" si="1023"/>
        <v>3293</v>
      </c>
      <c r="BD217" s="243">
        <f t="shared" si="1023"/>
        <v>3337</v>
      </c>
      <c r="BE217" s="243">
        <f t="shared" si="1023"/>
        <v>4506</v>
      </c>
      <c r="BF217" s="243">
        <f t="shared" si="1023"/>
        <v>2865</v>
      </c>
      <c r="BG217" s="243">
        <f t="shared" si="1023"/>
        <v>2001</v>
      </c>
      <c r="BH217" s="243">
        <f t="shared" si="1023"/>
        <v>3313</v>
      </c>
      <c r="BI217" s="243">
        <f t="shared" si="1023"/>
        <v>4489</v>
      </c>
      <c r="BJ217" s="243"/>
      <c r="BK217" s="243"/>
      <c r="BL217" s="243"/>
      <c r="BM217" s="243"/>
      <c r="BN217" s="243"/>
      <c r="BO217" s="243">
        <f>+BO202+BO200</f>
        <v>1691</v>
      </c>
      <c r="BP217" s="243">
        <f>+BP202+BP200</f>
        <v>4280</v>
      </c>
      <c r="BQ217" s="243">
        <f>+BQ202+BQ200</f>
        <v>5138</v>
      </c>
      <c r="BR217" s="243">
        <f>+BR202+BR200</f>
        <v>2710</v>
      </c>
      <c r="BS217" s="243"/>
      <c r="BT217" s="243"/>
      <c r="BU217" s="243"/>
      <c r="BV217" s="243"/>
      <c r="BW217" s="243"/>
      <c r="BX217" s="243"/>
      <c r="BY217" s="243"/>
      <c r="BZ217" s="243"/>
      <c r="CA217" s="243"/>
      <c r="CB217" s="243"/>
      <c r="CC217" s="243"/>
      <c r="CD217" s="243"/>
      <c r="CE217" s="243"/>
      <c r="CF217" s="243"/>
      <c r="CG217" s="243"/>
      <c r="CH217" s="243"/>
      <c r="CI217" s="243"/>
      <c r="CJ217" s="243"/>
      <c r="CK217" s="243"/>
      <c r="CL217" s="243"/>
      <c r="CM217" s="243"/>
      <c r="CN217" s="243"/>
      <c r="CO217" s="243"/>
      <c r="CP217" s="243"/>
      <c r="CQ217" s="243"/>
      <c r="CR217" s="243"/>
      <c r="CS217" s="243"/>
      <c r="CT217" s="243"/>
      <c r="CU217" s="243"/>
      <c r="CV217" s="243"/>
      <c r="CW217" s="243"/>
      <c r="CX217" s="243"/>
      <c r="CY217" s="243"/>
      <c r="CZ217" s="243"/>
      <c r="DA217" s="243"/>
      <c r="DB217" s="243"/>
      <c r="DC217" s="243"/>
      <c r="DD217" s="243"/>
      <c r="DE217" s="243"/>
      <c r="DF217" s="243"/>
      <c r="DG217" s="243"/>
      <c r="DH217" s="243"/>
      <c r="DI217" s="243"/>
      <c r="DJ217" s="243"/>
      <c r="DK217" s="243"/>
      <c r="DL217" s="243"/>
      <c r="DM217" s="243"/>
      <c r="DN217" s="243"/>
      <c r="DP217" s="243"/>
      <c r="DQ217" s="243"/>
      <c r="DR217" s="243"/>
      <c r="DS217" s="243"/>
      <c r="DT217" s="243"/>
      <c r="DU217" s="243"/>
      <c r="DV217" s="243"/>
      <c r="DW217" s="243"/>
      <c r="DX217" s="243"/>
      <c r="DY217" s="243"/>
      <c r="DZ217" s="243"/>
      <c r="EA217" s="243"/>
      <c r="EB217" s="243"/>
      <c r="EC217" s="243"/>
      <c r="ED217" s="243"/>
      <c r="EE217" s="243"/>
      <c r="EF217" s="243"/>
      <c r="EG217" s="243"/>
      <c r="EH217" s="243"/>
      <c r="EI217" s="243"/>
      <c r="EJ217" s="243"/>
      <c r="EK217" s="243"/>
      <c r="EL217" s="243"/>
      <c r="EM217" s="243"/>
      <c r="EN217" s="243"/>
      <c r="EO217" s="243"/>
      <c r="EP217" s="243"/>
      <c r="EQ217" s="243"/>
      <c r="ER217" s="243"/>
      <c r="ES217" s="243"/>
      <c r="ET217" s="243"/>
      <c r="EU217" s="243"/>
    </row>
    <row r="218" spans="2:151" ht="12.75" customHeight="1" x14ac:dyDescent="0.2">
      <c r="DA218" s="243"/>
    </row>
    <row r="219" spans="2:151" s="302" customFormat="1" ht="12.75" customHeight="1" x14ac:dyDescent="0.2">
      <c r="B219" s="302" t="s">
        <v>470</v>
      </c>
      <c r="C219" s="303"/>
      <c r="D219" s="303"/>
      <c r="E219" s="303"/>
      <c r="F219" s="303"/>
      <c r="G219" s="303"/>
      <c r="H219" s="303"/>
      <c r="I219" s="303"/>
      <c r="J219" s="303"/>
      <c r="K219" s="303"/>
      <c r="L219" s="303"/>
      <c r="M219" s="303"/>
      <c r="N219" s="303"/>
      <c r="O219" s="303"/>
      <c r="P219" s="303"/>
      <c r="Q219" s="303"/>
      <c r="R219" s="303"/>
      <c r="S219" s="303"/>
      <c r="T219" s="303"/>
      <c r="U219" s="303"/>
      <c r="V219" s="303"/>
      <c r="W219" s="303"/>
      <c r="X219" s="303"/>
      <c r="Y219" s="303"/>
      <c r="Z219" s="303"/>
      <c r="AA219" s="303"/>
      <c r="AB219" s="303"/>
      <c r="AC219" s="303"/>
      <c r="AD219" s="303"/>
      <c r="AE219" s="303"/>
      <c r="AF219" s="303"/>
      <c r="AG219" s="303"/>
      <c r="AH219" s="303"/>
      <c r="AI219" s="303"/>
      <c r="AJ219" s="303"/>
      <c r="AK219" s="303"/>
      <c r="AL219" s="303"/>
      <c r="AM219" s="303"/>
      <c r="AN219" s="303"/>
      <c r="AO219" s="303"/>
      <c r="AP219" s="303"/>
      <c r="AQ219" s="303"/>
      <c r="AR219" s="303"/>
      <c r="AS219" s="303">
        <v>1</v>
      </c>
      <c r="AT219" s="303"/>
      <c r="AU219" s="303"/>
      <c r="AV219" s="303"/>
      <c r="AW219" s="303"/>
      <c r="AX219" s="303"/>
      <c r="AY219" s="303"/>
      <c r="AZ219" s="303"/>
      <c r="BA219" s="303"/>
      <c r="BB219" s="303"/>
      <c r="BC219" s="303"/>
      <c r="BD219" s="303"/>
      <c r="BE219" s="303"/>
      <c r="BF219" s="303"/>
      <c r="BG219" s="303"/>
      <c r="BH219" s="303"/>
      <c r="BI219" s="303"/>
      <c r="BJ219" s="303"/>
      <c r="BK219" s="303"/>
      <c r="BL219" s="303"/>
      <c r="BM219" s="303"/>
      <c r="BN219" s="303"/>
      <c r="BO219" s="303"/>
      <c r="BP219" s="303"/>
      <c r="BQ219" s="303"/>
      <c r="BR219" s="303"/>
      <c r="BS219" s="303"/>
      <c r="BT219" s="303"/>
      <c r="BU219" s="303"/>
      <c r="BV219" s="303"/>
      <c r="BW219" s="303"/>
      <c r="BX219" s="303"/>
      <c r="BY219" s="303"/>
      <c r="BZ219" s="303"/>
      <c r="CA219" s="303"/>
      <c r="CB219" s="303"/>
      <c r="CC219" s="303"/>
      <c r="CD219" s="303"/>
      <c r="CE219" s="303"/>
      <c r="CF219" s="303"/>
      <c r="CG219" s="303"/>
      <c r="CH219" s="303"/>
      <c r="CI219" s="303"/>
      <c r="CJ219" s="303"/>
      <c r="CK219" s="303"/>
      <c r="CL219" s="303"/>
      <c r="CM219" s="303"/>
      <c r="CN219" s="303"/>
      <c r="CO219" s="303"/>
      <c r="CP219" s="303"/>
      <c r="CQ219" s="303"/>
      <c r="CR219" s="303"/>
      <c r="CS219" s="303"/>
      <c r="CT219" s="303"/>
      <c r="CU219" s="303"/>
      <c r="CV219" s="303"/>
      <c r="CW219" s="303"/>
      <c r="CX219" s="303"/>
      <c r="CY219" s="303"/>
      <c r="CZ219" s="303"/>
      <c r="DA219" s="303"/>
      <c r="DB219" s="303"/>
      <c r="DC219" s="303"/>
      <c r="DD219" s="303"/>
      <c r="DE219" s="303"/>
      <c r="DF219" s="303"/>
      <c r="DG219" s="303"/>
      <c r="DH219" s="303"/>
      <c r="DI219" s="303"/>
      <c r="DJ219" s="303"/>
      <c r="DK219" s="303"/>
      <c r="DL219" s="303"/>
      <c r="DM219" s="303"/>
      <c r="DN219" s="303"/>
      <c r="DP219" s="303"/>
      <c r="DQ219" s="303"/>
      <c r="DR219" s="303"/>
      <c r="DS219" s="303"/>
      <c r="DT219" s="303"/>
      <c r="DU219" s="303"/>
      <c r="DV219" s="303"/>
      <c r="DW219" s="303"/>
      <c r="DX219" s="303"/>
      <c r="DY219" s="303"/>
      <c r="DZ219" s="303"/>
      <c r="EA219" s="303"/>
      <c r="EB219" s="303"/>
      <c r="EC219" s="303"/>
      <c r="ED219" s="303"/>
      <c r="EE219" s="303"/>
      <c r="EF219" s="303"/>
      <c r="EG219" s="303"/>
      <c r="EH219" s="303"/>
      <c r="EI219" s="303"/>
      <c r="EJ219" s="303"/>
      <c r="EK219" s="303"/>
      <c r="EL219" s="303"/>
      <c r="EM219" s="303"/>
      <c r="EN219" s="303"/>
      <c r="EO219" s="303"/>
      <c r="EP219" s="303"/>
      <c r="EQ219" s="303"/>
      <c r="ER219" s="303"/>
      <c r="ES219" s="303"/>
      <c r="ET219" s="303"/>
      <c r="EU219" s="303"/>
    </row>
    <row r="220" spans="2:151" ht="12.75" customHeight="1" x14ac:dyDescent="0.2">
      <c r="B220" t="s">
        <v>471</v>
      </c>
      <c r="AS220" s="243">
        <v>14850</v>
      </c>
    </row>
    <row r="221" spans="2:151" ht="12.75" customHeight="1" x14ac:dyDescent="0.2">
      <c r="AS221" s="76" t="s">
        <v>472</v>
      </c>
    </row>
    <row r="222" spans="2:151" ht="12.75" customHeight="1" x14ac:dyDescent="0.2">
      <c r="B222" t="s">
        <v>473</v>
      </c>
    </row>
    <row r="223" spans="2:151" ht="12.75" customHeight="1" x14ac:dyDescent="0.2">
      <c r="B223" t="s">
        <v>474</v>
      </c>
      <c r="DS223" s="294">
        <v>0.85</v>
      </c>
      <c r="DT223" s="294">
        <v>0.85</v>
      </c>
      <c r="DU223" s="294">
        <v>0.85</v>
      </c>
      <c r="DV223" s="294">
        <v>0.85</v>
      </c>
      <c r="DW223" s="294">
        <v>0.85</v>
      </c>
      <c r="DX223" s="294">
        <v>0.85</v>
      </c>
      <c r="DY223" s="294">
        <v>0.85</v>
      </c>
      <c r="DZ223" s="294">
        <v>0.85</v>
      </c>
      <c r="EA223" s="294">
        <v>0.85</v>
      </c>
      <c r="EB223" s="294">
        <v>0.85</v>
      </c>
      <c r="EC223" s="294">
        <v>0.85</v>
      </c>
      <c r="ED223" s="294">
        <v>0.85</v>
      </c>
      <c r="EE223" s="294">
        <v>0.85</v>
      </c>
      <c r="EF223" s="294">
        <v>0.85</v>
      </c>
      <c r="EG223" s="294">
        <v>0.85</v>
      </c>
      <c r="EH223" s="294">
        <v>0.85</v>
      </c>
      <c r="EI223" s="294">
        <v>0.85</v>
      </c>
      <c r="EJ223" s="294">
        <v>0.88</v>
      </c>
      <c r="EK223" s="294">
        <v>0.85</v>
      </c>
      <c r="EL223" s="294">
        <v>0.88</v>
      </c>
      <c r="EM223" s="294">
        <v>0.85</v>
      </c>
      <c r="EN223" s="294">
        <v>0.88</v>
      </c>
      <c r="EO223" s="294">
        <v>0.88</v>
      </c>
      <c r="EP223" s="294">
        <v>0.88</v>
      </c>
      <c r="EQ223" s="294">
        <v>0.88</v>
      </c>
      <c r="ER223" s="294"/>
      <c r="ES223" s="294"/>
      <c r="ET223" s="294"/>
      <c r="EU223" s="294"/>
    </row>
    <row r="224" spans="2:151" ht="12.75" customHeight="1" x14ac:dyDescent="0.2">
      <c r="B224" t="s">
        <v>475</v>
      </c>
      <c r="DS224" s="243">
        <f t="shared" ref="DS224:EQ224" si="1024">DS223*DS102</f>
        <v>3689</v>
      </c>
      <c r="DT224" s="243">
        <f t="shared" si="1024"/>
        <v>3816.5</v>
      </c>
      <c r="DU224" s="243">
        <f t="shared" si="1024"/>
        <v>4384.3</v>
      </c>
      <c r="DV224" s="243">
        <f t="shared" si="1024"/>
        <v>5332.9</v>
      </c>
      <c r="DW224" s="243">
        <f t="shared" si="1024"/>
        <v>6109.8</v>
      </c>
      <c r="DX224" s="243">
        <f t="shared" si="1024"/>
        <v>6541.5999999999995</v>
      </c>
      <c r="DY224" s="243">
        <f t="shared" si="1024"/>
        <v>7277.7</v>
      </c>
      <c r="DZ224" s="243">
        <f t="shared" si="1024"/>
        <v>9089.9</v>
      </c>
      <c r="EA224" s="243">
        <f t="shared" si="1024"/>
        <v>10160.9</v>
      </c>
      <c r="EB224" s="243">
        <f t="shared" si="1024"/>
        <v>12623.35</v>
      </c>
      <c r="EC224" s="243">
        <f t="shared" si="1024"/>
        <v>14578.35</v>
      </c>
      <c r="ED224" s="243">
        <f t="shared" si="1024"/>
        <v>16589.45</v>
      </c>
      <c r="EE224" s="243">
        <f t="shared" si="1024"/>
        <v>18808.8</v>
      </c>
      <c r="EF224" s="243">
        <f t="shared" si="1024"/>
        <v>18973.7</v>
      </c>
      <c r="EG224" s="243">
        <f t="shared" si="1024"/>
        <v>19776.95</v>
      </c>
      <c r="EH224" s="243">
        <f t="shared" si="1024"/>
        <v>21136.1</v>
      </c>
      <c r="EI224" s="243">
        <f t="shared" si="1024"/>
        <v>20881.95</v>
      </c>
      <c r="EJ224" s="243">
        <f t="shared" si="1024"/>
        <v>19817.599999999999</v>
      </c>
      <c r="EK224" s="243">
        <f t="shared" si="1024"/>
        <v>18924.399999999998</v>
      </c>
      <c r="EL224" s="243">
        <f t="shared" si="1024"/>
        <v>21443.84</v>
      </c>
      <c r="EM224" s="243">
        <f t="shared" si="1024"/>
        <v>21992.899999999998</v>
      </c>
      <c r="EN224" s="243">
        <f t="shared" si="1024"/>
        <v>24750</v>
      </c>
      <c r="EO224" s="243">
        <f t="shared" si="1024"/>
        <v>27612.288</v>
      </c>
      <c r="EP224" s="243">
        <f t="shared" si="1024"/>
        <v>27722.490399999999</v>
      </c>
      <c r="EQ224" s="243">
        <f t="shared" si="1024"/>
        <v>22149.421975999998</v>
      </c>
      <c r="ER224" s="243"/>
      <c r="ES224" s="243"/>
      <c r="ET224" s="243"/>
      <c r="EU224" s="243"/>
    </row>
    <row r="225" spans="2:151" ht="12.75" customHeight="1" x14ac:dyDescent="0.2">
      <c r="B225" t="s">
        <v>476</v>
      </c>
      <c r="DS225" s="294">
        <v>0.68</v>
      </c>
      <c r="DT225" s="294">
        <v>0.68</v>
      </c>
      <c r="DU225" s="294">
        <v>0.68</v>
      </c>
      <c r="DV225" s="294">
        <v>0.68</v>
      </c>
      <c r="DW225" s="294">
        <v>0.68</v>
      </c>
      <c r="DX225" s="294">
        <v>0.68</v>
      </c>
      <c r="DY225" s="294">
        <v>0.68</v>
      </c>
      <c r="DZ225" s="294">
        <v>0.68</v>
      </c>
      <c r="EA225" s="294">
        <v>0.68</v>
      </c>
      <c r="EB225" s="294">
        <v>0.68</v>
      </c>
      <c r="EC225" s="294">
        <v>0.68</v>
      </c>
      <c r="ED225" s="294">
        <v>0.68</v>
      </c>
      <c r="EE225" s="294">
        <v>0.68</v>
      </c>
      <c r="EF225" s="294">
        <v>0.68</v>
      </c>
      <c r="EG225" s="294">
        <v>0.68</v>
      </c>
      <c r="EH225" s="294">
        <v>0.68</v>
      </c>
      <c r="EI225" s="294">
        <v>0.68</v>
      </c>
      <c r="EJ225" s="294">
        <v>0.69</v>
      </c>
      <c r="EK225" s="294">
        <v>0.69</v>
      </c>
      <c r="EL225" s="294">
        <v>0.69</v>
      </c>
      <c r="EM225" s="294">
        <v>0.66</v>
      </c>
      <c r="EN225" s="294">
        <v>0.69</v>
      </c>
      <c r="EO225" s="294">
        <v>0.69</v>
      </c>
      <c r="EP225" s="294">
        <v>0.69</v>
      </c>
      <c r="EQ225" s="294">
        <v>0.69</v>
      </c>
      <c r="ER225" s="294"/>
      <c r="ES225" s="294"/>
      <c r="ET225" s="294"/>
      <c r="EU225" s="294"/>
    </row>
    <row r="226" spans="2:151" ht="12.75" customHeight="1" x14ac:dyDescent="0.2">
      <c r="B226" t="s">
        <v>477</v>
      </c>
      <c r="DS226" s="243">
        <f t="shared" ref="DS226:EQ226" si="1025">DS225*DS109</f>
        <v>3150.44</v>
      </c>
      <c r="DT226" s="243">
        <f t="shared" si="1025"/>
        <v>3280.32</v>
      </c>
      <c r="DU226" s="243">
        <f t="shared" si="1025"/>
        <v>3621.0000000000005</v>
      </c>
      <c r="DV226" s="243">
        <f t="shared" si="1025"/>
        <v>4581.1600000000008</v>
      </c>
      <c r="DW226" s="243">
        <f t="shared" si="1025"/>
        <v>5486.2400000000007</v>
      </c>
      <c r="DX226" s="243">
        <f t="shared" si="1025"/>
        <v>5735.8</v>
      </c>
      <c r="DY226" s="243">
        <f t="shared" si="1025"/>
        <v>5826.92</v>
      </c>
      <c r="DZ226" s="243">
        <f t="shared" si="1025"/>
        <v>6740.84</v>
      </c>
      <c r="EA226" s="243">
        <f t="shared" si="1025"/>
        <v>6991.0800000000008</v>
      </c>
      <c r="EB226" s="243">
        <f t="shared" si="1025"/>
        <v>7609.88</v>
      </c>
      <c r="EC226" s="243">
        <f t="shared" si="1025"/>
        <v>8557.8000000000011</v>
      </c>
      <c r="ED226" s="243">
        <f t="shared" si="1025"/>
        <v>10141.52</v>
      </c>
      <c r="EE226" s="243">
        <f t="shared" si="1025"/>
        <v>11483.160000000002</v>
      </c>
      <c r="EF226" s="243">
        <f t="shared" si="1025"/>
        <v>12985.28</v>
      </c>
      <c r="EG226" s="243">
        <f t="shared" si="1025"/>
        <v>13792.44</v>
      </c>
      <c r="EH226" s="243">
        <f t="shared" si="1025"/>
        <v>14780.480000000001</v>
      </c>
      <c r="EI226" s="243">
        <f t="shared" si="1025"/>
        <v>15725.68</v>
      </c>
      <c r="EJ226" s="243">
        <f t="shared" si="1025"/>
        <v>16266.06</v>
      </c>
      <c r="EK226" s="243">
        <f t="shared" si="1025"/>
        <v>16974.689999999999</v>
      </c>
      <c r="EL226" s="243">
        <f t="shared" si="1025"/>
        <v>17787.509999999998</v>
      </c>
      <c r="EM226" s="243">
        <f t="shared" si="1025"/>
        <v>18101.16</v>
      </c>
      <c r="EN226" s="243">
        <f t="shared" si="1025"/>
        <v>19658.099999999999</v>
      </c>
      <c r="EO226" s="243">
        <f t="shared" si="1025"/>
        <v>19926.430649999998</v>
      </c>
      <c r="EP226" s="243">
        <f t="shared" si="1025"/>
        <v>20202.036987749998</v>
      </c>
      <c r="EQ226" s="243">
        <f t="shared" si="1025"/>
        <v>20485.113759281252</v>
      </c>
      <c r="ER226" s="243"/>
      <c r="ES226" s="243"/>
      <c r="ET226" s="243"/>
      <c r="EU226" s="243"/>
    </row>
    <row r="227" spans="2:151" ht="12.75" customHeight="1" x14ac:dyDescent="0.2">
      <c r="B227" t="s">
        <v>478</v>
      </c>
      <c r="DS227" s="294">
        <v>0.5</v>
      </c>
      <c r="DT227" s="294">
        <v>0.5</v>
      </c>
      <c r="DU227" s="294">
        <v>0.5</v>
      </c>
      <c r="DV227" s="294">
        <v>0.5</v>
      </c>
      <c r="DW227" s="294">
        <v>0.5</v>
      </c>
      <c r="DX227" s="294">
        <v>0.5</v>
      </c>
      <c r="DY227" s="294">
        <v>0.5</v>
      </c>
      <c r="DZ227" s="294">
        <v>0.5</v>
      </c>
      <c r="EA227" s="294">
        <v>0.5</v>
      </c>
      <c r="EB227" s="294">
        <v>0.5</v>
      </c>
      <c r="EC227" s="294">
        <v>0.5</v>
      </c>
      <c r="ED227" s="294">
        <v>0.5</v>
      </c>
      <c r="EE227" s="294">
        <v>0.5</v>
      </c>
      <c r="EF227" s="294">
        <v>0.5</v>
      </c>
      <c r="EG227" s="294">
        <v>0.5</v>
      </c>
      <c r="EH227" s="294">
        <v>0.5</v>
      </c>
      <c r="EI227" s="294">
        <v>0.5</v>
      </c>
      <c r="EJ227" s="294">
        <v>0.52</v>
      </c>
      <c r="EK227" s="294">
        <v>0.51</v>
      </c>
      <c r="EL227" s="294">
        <v>0.52</v>
      </c>
      <c r="EM227" s="294">
        <v>0.53</v>
      </c>
      <c r="EN227" s="294">
        <v>0.52</v>
      </c>
      <c r="EO227" s="294">
        <v>0.52</v>
      </c>
      <c r="EP227" s="294">
        <v>0.52</v>
      </c>
      <c r="EQ227" s="294">
        <v>0.52</v>
      </c>
      <c r="ER227" s="294"/>
      <c r="ES227" s="294"/>
      <c r="ET227" s="294"/>
      <c r="EU227" s="294"/>
    </row>
    <row r="228" spans="2:151" ht="12.75" customHeight="1" x14ac:dyDescent="0.2">
      <c r="B228" t="s">
        <v>479</v>
      </c>
      <c r="DS228" s="243">
        <f t="shared" ref="DS228:EQ228" si="1026">DS227*DS116</f>
        <v>2390</v>
      </c>
      <c r="DT228" s="243">
        <f t="shared" si="1026"/>
        <v>2412</v>
      </c>
      <c r="DU228" s="243">
        <f t="shared" si="1026"/>
        <v>2625.5</v>
      </c>
      <c r="DV228" s="243">
        <f t="shared" si="1026"/>
        <v>2915.5</v>
      </c>
      <c r="DW228" s="243">
        <f t="shared" si="1026"/>
        <v>3182</v>
      </c>
      <c r="DX228" s="243">
        <f t="shared" si="1026"/>
        <v>3249</v>
      </c>
      <c r="DY228" s="243">
        <f t="shared" si="1026"/>
        <v>3263</v>
      </c>
      <c r="DZ228" s="243">
        <f t="shared" si="1026"/>
        <v>3432</v>
      </c>
      <c r="EA228" s="243">
        <f t="shared" si="1026"/>
        <v>3452</v>
      </c>
      <c r="EB228" s="243">
        <f t="shared" si="1026"/>
        <v>3481</v>
      </c>
      <c r="EC228" s="243">
        <f t="shared" si="1026"/>
        <v>3282</v>
      </c>
      <c r="ED228" s="243">
        <f t="shared" si="1026"/>
        <v>3715.5</v>
      </c>
      <c r="EE228" s="243">
        <f t="shared" si="1026"/>
        <v>4166.5</v>
      </c>
      <c r="EF228" s="243">
        <f t="shared" si="1026"/>
        <v>4548</v>
      </c>
      <c r="EG228" s="243">
        <f t="shared" si="1026"/>
        <v>4887</v>
      </c>
      <c r="EH228" s="243">
        <f t="shared" si="1026"/>
        <v>7246.5</v>
      </c>
      <c r="EI228" s="243">
        <f t="shared" si="1026"/>
        <v>8027</v>
      </c>
      <c r="EJ228" s="243">
        <f t="shared" si="1026"/>
        <v>8217.56</v>
      </c>
      <c r="EK228" s="243">
        <f t="shared" si="1026"/>
        <v>7440.9000000000005</v>
      </c>
      <c r="EL228" s="243">
        <f t="shared" si="1026"/>
        <v>7739.16</v>
      </c>
      <c r="EM228" s="243">
        <f t="shared" si="1026"/>
        <v>7656.9100000000008</v>
      </c>
      <c r="EN228" s="243">
        <f t="shared" si="1026"/>
        <v>7642.4400000000005</v>
      </c>
      <c r="EO228" s="243">
        <f t="shared" si="1026"/>
        <v>7795.2888000000003</v>
      </c>
      <c r="EP228" s="243">
        <f t="shared" si="1026"/>
        <v>7951.1945760000008</v>
      </c>
      <c r="EQ228" s="243">
        <f t="shared" si="1026"/>
        <v>8110.2184675200015</v>
      </c>
      <c r="ER228" s="243"/>
      <c r="ES228" s="243"/>
      <c r="ET228" s="243"/>
      <c r="EU228" s="243"/>
    </row>
    <row r="229" spans="2:151" ht="12.75" customHeight="1" x14ac:dyDescent="0.2">
      <c r="B229" t="s">
        <v>480</v>
      </c>
      <c r="DS229" s="243">
        <f t="shared" ref="DS229:EP229" si="1027">DS228+DS226+DS224</f>
        <v>9229.44</v>
      </c>
      <c r="DT229" s="243">
        <f t="shared" si="1027"/>
        <v>9508.82</v>
      </c>
      <c r="DU229" s="243">
        <f t="shared" si="1027"/>
        <v>10630.8</v>
      </c>
      <c r="DV229" s="243">
        <f t="shared" si="1027"/>
        <v>12829.560000000001</v>
      </c>
      <c r="DW229" s="243">
        <f t="shared" si="1027"/>
        <v>14778.04</v>
      </c>
      <c r="DX229" s="243">
        <f t="shared" si="1027"/>
        <v>15526.399999999998</v>
      </c>
      <c r="DY229" s="243">
        <f t="shared" si="1027"/>
        <v>16367.619999999999</v>
      </c>
      <c r="DZ229" s="243">
        <f t="shared" si="1027"/>
        <v>19262.739999999998</v>
      </c>
      <c r="EA229" s="243">
        <f t="shared" si="1027"/>
        <v>20603.980000000003</v>
      </c>
      <c r="EB229" s="243">
        <f t="shared" si="1027"/>
        <v>23714.230000000003</v>
      </c>
      <c r="EC229" s="243">
        <f t="shared" si="1027"/>
        <v>26418.15</v>
      </c>
      <c r="ED229" s="243">
        <f t="shared" si="1027"/>
        <v>30446.47</v>
      </c>
      <c r="EE229" s="243">
        <f t="shared" si="1027"/>
        <v>34458.46</v>
      </c>
      <c r="EF229" s="243">
        <f t="shared" si="1027"/>
        <v>36506.979999999996</v>
      </c>
      <c r="EG229" s="243">
        <f t="shared" si="1027"/>
        <v>38456.39</v>
      </c>
      <c r="EH229" s="243">
        <f t="shared" si="1027"/>
        <v>43163.08</v>
      </c>
      <c r="EI229" s="243">
        <f>EI228+EI226+EI224</f>
        <v>44634.630000000005</v>
      </c>
      <c r="EJ229" s="243">
        <f>EJ228+EJ226+EJ224</f>
        <v>44301.22</v>
      </c>
      <c r="EK229" s="243">
        <f t="shared" si="1027"/>
        <v>43339.99</v>
      </c>
      <c r="EL229" s="243">
        <f t="shared" si="1027"/>
        <v>46970.509999999995</v>
      </c>
      <c r="EM229" s="243">
        <f t="shared" si="1027"/>
        <v>47750.97</v>
      </c>
      <c r="EN229" s="243">
        <f t="shared" si="1027"/>
        <v>52050.54</v>
      </c>
      <c r="EO229" s="243">
        <f t="shared" si="1027"/>
        <v>55334.007449999997</v>
      </c>
      <c r="EP229" s="243">
        <f t="shared" si="1027"/>
        <v>55875.721963749995</v>
      </c>
      <c r="EQ229" s="243">
        <f>EQ228+EQ226+EQ224</f>
        <v>50744.754202801254</v>
      </c>
      <c r="ER229" s="243"/>
      <c r="ES229" s="243"/>
      <c r="ET229" s="243"/>
      <c r="EU229" s="243"/>
    </row>
    <row r="230" spans="2:151" ht="12.75" customHeight="1" x14ac:dyDescent="0.2">
      <c r="B230" t="s">
        <v>481</v>
      </c>
      <c r="DS230" s="243">
        <f t="shared" ref="DS230:EQ230" si="1028">DS63</f>
        <v>9075</v>
      </c>
      <c r="DT230" s="243">
        <f t="shared" si="1028"/>
        <v>9347</v>
      </c>
      <c r="DU230" s="243">
        <f t="shared" si="1028"/>
        <v>10435</v>
      </c>
      <c r="DV230" s="243">
        <f t="shared" si="1028"/>
        <v>12607</v>
      </c>
      <c r="DW230" s="243">
        <f t="shared" si="1028"/>
        <v>14602</v>
      </c>
      <c r="DX230" s="243">
        <f t="shared" si="1028"/>
        <v>15477</v>
      </c>
      <c r="DY230" s="243">
        <f t="shared" si="1028"/>
        <v>16221</v>
      </c>
      <c r="DZ230" s="243">
        <f t="shared" si="1028"/>
        <v>19029</v>
      </c>
      <c r="EA230" s="243">
        <f t="shared" si="1028"/>
        <v>20278</v>
      </c>
      <c r="EB230" s="243">
        <f t="shared" si="1028"/>
        <v>23468</v>
      </c>
      <c r="EC230" s="243">
        <f t="shared" si="1028"/>
        <v>26464.9</v>
      </c>
      <c r="ED230" s="243">
        <f t="shared" si="1028"/>
        <v>30189.4</v>
      </c>
      <c r="EE230" s="243">
        <f t="shared" si="1028"/>
        <v>34695</v>
      </c>
      <c r="EF230" s="243">
        <f t="shared" si="1028"/>
        <v>35544</v>
      </c>
      <c r="EG230" s="243">
        <f t="shared" si="1028"/>
        <v>38267</v>
      </c>
      <c r="EH230" s="243">
        <f t="shared" si="1028"/>
        <v>43344</v>
      </c>
      <c r="EI230" s="243">
        <f t="shared" si="1028"/>
        <v>45236</v>
      </c>
      <c r="EJ230" s="243">
        <f t="shared" si="1028"/>
        <v>43563</v>
      </c>
      <c r="EK230" s="243">
        <f t="shared" si="1028"/>
        <v>42663</v>
      </c>
      <c r="EL230" s="243">
        <f t="shared" si="1028"/>
        <v>48029</v>
      </c>
      <c r="EM230" s="243">
        <f t="shared" si="1028"/>
        <v>46089</v>
      </c>
      <c r="EN230" s="243">
        <f t="shared" si="1028"/>
        <v>48970</v>
      </c>
      <c r="EO230" s="243">
        <f t="shared" si="1028"/>
        <v>51920.723249999995</v>
      </c>
      <c r="EP230" s="243">
        <f t="shared" si="1028"/>
        <v>52489.613259749996</v>
      </c>
      <c r="EQ230" s="243">
        <f t="shared" si="1028"/>
        <v>48613.910215721247</v>
      </c>
      <c r="ER230" s="243"/>
      <c r="ES230" s="243"/>
      <c r="ET230" s="243"/>
      <c r="EU230" s="243"/>
    </row>
    <row r="231" spans="2:151" ht="12.75" customHeight="1" x14ac:dyDescent="0.2">
      <c r="DS231" s="294">
        <f t="shared" ref="DS231:EQ231" si="1029">DS229/DS230-1</f>
        <v>1.7018181818181821E-2</v>
      </c>
      <c r="DT231" s="294">
        <f t="shared" si="1029"/>
        <v>1.7312506686637308E-2</v>
      </c>
      <c r="DU231" s="294">
        <f t="shared" si="1029"/>
        <v>1.8763775754671697E-2</v>
      </c>
      <c r="DV231" s="294">
        <f t="shared" si="1029"/>
        <v>1.7653684461013786E-2</v>
      </c>
      <c r="DW231" s="294">
        <f t="shared" si="1029"/>
        <v>1.205588275578684E-2</v>
      </c>
      <c r="DX231" s="294">
        <f t="shared" si="1029"/>
        <v>3.1918330425790842E-3</v>
      </c>
      <c r="DY231" s="294">
        <f t="shared" si="1029"/>
        <v>9.0389001911101996E-3</v>
      </c>
      <c r="DZ231" s="294">
        <f t="shared" si="1029"/>
        <v>1.2283356981449334E-2</v>
      </c>
      <c r="EA231" s="294">
        <f t="shared" si="1029"/>
        <v>1.6075549856988003E-2</v>
      </c>
      <c r="EB231" s="294">
        <f t="shared" si="1029"/>
        <v>1.0492159536390044E-2</v>
      </c>
      <c r="EC231" s="294">
        <f t="shared" si="1029"/>
        <v>-1.7664907103370764E-3</v>
      </c>
      <c r="ED231" s="294">
        <f t="shared" si="1029"/>
        <v>8.5152404486343869E-3</v>
      </c>
      <c r="EE231" s="294">
        <f t="shared" si="1029"/>
        <v>-6.8176970745064125E-3</v>
      </c>
      <c r="EF231" s="294">
        <f t="shared" si="1029"/>
        <v>2.7092617600720015E-2</v>
      </c>
      <c r="EG231" s="294">
        <f t="shared" si="1029"/>
        <v>4.9491729166122322E-3</v>
      </c>
      <c r="EH231" s="294">
        <f t="shared" si="1029"/>
        <v>-4.1740494647470872E-3</v>
      </c>
      <c r="EI231" s="294">
        <f>EI229/EI230-1</f>
        <v>-1.3294057830046779E-2</v>
      </c>
      <c r="EJ231" s="294">
        <f t="shared" si="1029"/>
        <v>1.694603218327484E-2</v>
      </c>
      <c r="EK231" s="294">
        <f t="shared" si="1029"/>
        <v>1.5868316808475669E-2</v>
      </c>
      <c r="EL231" s="294">
        <f t="shared" si="1029"/>
        <v>-2.2038560036644617E-2</v>
      </c>
      <c r="EM231" s="294">
        <f t="shared" si="1029"/>
        <v>3.6060014320119738E-2</v>
      </c>
      <c r="EN231" s="294">
        <f t="shared" si="1029"/>
        <v>6.2906677557688306E-2</v>
      </c>
      <c r="EO231" s="294">
        <f t="shared" si="1029"/>
        <v>6.5740305341374539E-2</v>
      </c>
      <c r="EP231" s="294">
        <f t="shared" si="1029"/>
        <v>6.4510071492497101E-2</v>
      </c>
      <c r="EQ231" s="294">
        <f t="shared" si="1029"/>
        <v>4.3831980962331984E-2</v>
      </c>
      <c r="ER231" s="294"/>
      <c r="ES231" s="294"/>
      <c r="ET231" s="294"/>
      <c r="EU231" s="294"/>
    </row>
    <row r="233" spans="2:151" ht="12.75" customHeight="1" x14ac:dyDescent="0.2">
      <c r="DQ233" s="294">
        <f>DQ235/DP235-1</f>
        <v>0.25562659846547309</v>
      </c>
      <c r="DR233" s="294">
        <f>DR235/DQ235-1</f>
        <v>0.42657093390365608</v>
      </c>
      <c r="DS233" s="294">
        <f t="shared" ref="DS233:EK233" si="1030">DS235/DR235-1</f>
        <v>0.10113332143494569</v>
      </c>
      <c r="DT233" s="294">
        <f t="shared" si="1030"/>
        <v>-0.14917377809113974</v>
      </c>
      <c r="DU233" s="294">
        <f t="shared" si="1030"/>
        <v>9.9994284952279466E-2</v>
      </c>
      <c r="DV233" s="294">
        <f t="shared" si="1030"/>
        <v>0.48981677115444544</v>
      </c>
      <c r="DW233" s="294">
        <f t="shared" si="1030"/>
        <v>0.41138041267073544</v>
      </c>
      <c r="DX233" s="294">
        <f t="shared" si="1030"/>
        <v>0.22817796959164505</v>
      </c>
      <c r="DY233" s="294">
        <f t="shared" si="1030"/>
        <v>0.25775560294531852</v>
      </c>
      <c r="DZ233" s="294">
        <f t="shared" si="1030"/>
        <v>0.25347366625078638</v>
      </c>
      <c r="EA233" s="294">
        <f t="shared" si="1030"/>
        <v>-5.0775434507048245E-2</v>
      </c>
      <c r="EB233" s="294">
        <f t="shared" si="1030"/>
        <v>0.16366952414667701</v>
      </c>
      <c r="EC233" s="294">
        <f t="shared" si="1030"/>
        <v>0.10976544298581725</v>
      </c>
      <c r="ED233" s="294">
        <f t="shared" si="1030"/>
        <v>-8.7398719572496786E-2</v>
      </c>
      <c r="EE233" s="294">
        <f t="shared" si="1030"/>
        <v>6.251758568506216E-2</v>
      </c>
      <c r="EF233" s="294">
        <f t="shared" si="1030"/>
        <v>0.15754186945319226</v>
      </c>
      <c r="EG233" s="294">
        <f t="shared" si="1030"/>
        <v>-3.8345903015332472E-2</v>
      </c>
      <c r="EH233" s="294">
        <f t="shared" si="1030"/>
        <v>2.8381984183115661E-2</v>
      </c>
      <c r="EI233" s="294">
        <f t="shared" si="1030"/>
        <v>1.4634786808528588E-2</v>
      </c>
      <c r="EJ233" s="294">
        <f t="shared" si="1030"/>
        <v>-0.10975444434174453</v>
      </c>
      <c r="EK233" s="294">
        <f t="shared" si="1030"/>
        <v>0.10686215811204125</v>
      </c>
      <c r="EL233" s="294">
        <f>RATE(20,0,DP235,-EK235)</f>
        <v>0.12326505798646253</v>
      </c>
    </row>
    <row r="234" spans="2:151" ht="12.75" customHeight="1" x14ac:dyDescent="0.2">
      <c r="B234" t="s">
        <v>1399</v>
      </c>
      <c r="DP234" s="283">
        <v>5.2266000000000004</v>
      </c>
      <c r="DQ234" s="283">
        <v>6.5</v>
      </c>
      <c r="DR234" s="283">
        <v>8.2030999999999992</v>
      </c>
      <c r="DS234" s="283">
        <v>10.7813</v>
      </c>
      <c r="DT234" s="283">
        <v>8.9062999999999999</v>
      </c>
      <c r="DU234" s="283">
        <v>9.1875</v>
      </c>
      <c r="DV234" s="283">
        <v>13.4375</v>
      </c>
      <c r="DW234" s="283">
        <v>20.9375</v>
      </c>
      <c r="DX234" s="283">
        <v>24.875</v>
      </c>
      <c r="DY234" s="283">
        <v>32</v>
      </c>
      <c r="DZ234" s="283">
        <v>39.031300000000002</v>
      </c>
      <c r="EA234" s="283">
        <v>34.25</v>
      </c>
      <c r="EB234" s="283">
        <v>41.625</v>
      </c>
      <c r="EC234" s="283">
        <v>41.85</v>
      </c>
      <c r="ED234" s="283">
        <v>48.73</v>
      </c>
      <c r="EE234" s="283">
        <v>49.5</v>
      </c>
      <c r="EF234" s="283">
        <v>60.04</v>
      </c>
      <c r="EG234" s="283">
        <v>56.8</v>
      </c>
      <c r="EH234" s="283">
        <v>59.77</v>
      </c>
      <c r="EI234" s="283">
        <v>55.33</v>
      </c>
      <c r="EJ234" s="283">
        <v>46.6</v>
      </c>
      <c r="EK234" s="283">
        <v>58.3</v>
      </c>
    </row>
    <row r="235" spans="2:151" ht="12.75" customHeight="1" x14ac:dyDescent="0.2">
      <c r="B235" t="s">
        <v>482</v>
      </c>
      <c r="DP235" s="283">
        <v>6.2560000000000002</v>
      </c>
      <c r="DQ235" s="283">
        <v>7.8552</v>
      </c>
      <c r="DR235" s="283">
        <v>11.206</v>
      </c>
      <c r="DS235" s="283">
        <v>12.3393</v>
      </c>
      <c r="DT235" s="283">
        <v>10.4986</v>
      </c>
      <c r="DU235" s="283">
        <v>11.548400000000001</v>
      </c>
      <c r="DV235" s="283">
        <v>17.204999999999998</v>
      </c>
      <c r="DW235" s="283">
        <v>24.282800000000002</v>
      </c>
      <c r="DX235" s="283">
        <v>29.823599999999999</v>
      </c>
      <c r="DY235" s="283">
        <v>37.510800000000003</v>
      </c>
      <c r="DZ235" s="283">
        <v>47.018799999999999</v>
      </c>
      <c r="EA235" s="283">
        <v>44.631399999999999</v>
      </c>
      <c r="EB235" s="283">
        <v>51.936199999999999</v>
      </c>
      <c r="EC235" s="283">
        <v>57.637</v>
      </c>
      <c r="ED235" s="283">
        <v>52.599600000000002</v>
      </c>
      <c r="EE235" s="283">
        <v>55.887999999999998</v>
      </c>
      <c r="EF235" s="283">
        <v>64.692700000000002</v>
      </c>
      <c r="EG235" s="283">
        <v>62.212000000000003</v>
      </c>
      <c r="EH235" s="283">
        <v>63.977699999999999</v>
      </c>
      <c r="EI235" s="283">
        <v>64.914000000000001</v>
      </c>
      <c r="EJ235" s="283">
        <v>57.789400000000001</v>
      </c>
      <c r="EK235" s="283">
        <v>63.9649</v>
      </c>
    </row>
    <row r="236" spans="2:151" ht="12.75" customHeight="1" x14ac:dyDescent="0.2">
      <c r="B236" t="s">
        <v>263</v>
      </c>
      <c r="DP236" s="243">
        <f t="shared" ref="DP236:EK236" si="1031">DP235*DP74</f>
        <v>16670.988800000003</v>
      </c>
      <c r="DQ236" s="243">
        <f t="shared" si="1031"/>
        <v>20772.29088</v>
      </c>
      <c r="DR236" s="243">
        <f t="shared" si="1031"/>
        <v>34395.965343999997</v>
      </c>
      <c r="DS236" s="243">
        <f t="shared" si="1031"/>
        <v>37875.0371352</v>
      </c>
      <c r="DT236" s="243">
        <f t="shared" si="1031"/>
        <v>32225.326716799998</v>
      </c>
      <c r="DU236" s="243">
        <f t="shared" si="1031"/>
        <v>35448.506703999999</v>
      </c>
      <c r="DV236" s="243">
        <f t="shared" si="1031"/>
        <v>52813.293839999998</v>
      </c>
      <c r="DW236" s="243">
        <f t="shared" si="1031"/>
        <v>74539.648454400012</v>
      </c>
      <c r="DX236" s="243">
        <f t="shared" si="1031"/>
        <v>91547.954092800006</v>
      </c>
      <c r="DY236" s="243">
        <f t="shared" si="1031"/>
        <v>115144.95219840002</v>
      </c>
      <c r="DZ236" s="243">
        <f t="shared" si="1031"/>
        <v>144339.8168416</v>
      </c>
      <c r="EA236" s="243">
        <f t="shared" si="1031"/>
        <v>137011.3462388</v>
      </c>
      <c r="EB236" s="243">
        <f t="shared" si="1031"/>
        <v>162032.73808040001</v>
      </c>
      <c r="EC236" s="243">
        <f t="shared" si="1031"/>
        <v>171083.618915</v>
      </c>
      <c r="ED236" s="243">
        <f t="shared" si="1031"/>
        <v>156114.1926108</v>
      </c>
      <c r="EE236" s="243">
        <f t="shared" si="1031"/>
        <v>166044.53342399999</v>
      </c>
      <c r="EF236" s="243">
        <f t="shared" si="1031"/>
        <v>192427.01291060002</v>
      </c>
      <c r="EG236" s="243">
        <f t="shared" si="1031"/>
        <v>184209.73200000002</v>
      </c>
      <c r="EH236" s="243">
        <f t="shared" si="1031"/>
        <v>186317.45738250003</v>
      </c>
      <c r="EI236" s="243">
        <f t="shared" si="1031"/>
        <v>184096.10400000002</v>
      </c>
      <c r="EJ236" s="243">
        <f t="shared" si="1031"/>
        <v>161251.207555</v>
      </c>
      <c r="EK236" s="243">
        <f t="shared" si="1031"/>
        <v>178482.85959250003</v>
      </c>
    </row>
    <row r="237" spans="2:151" ht="12.75" customHeight="1" x14ac:dyDescent="0.2">
      <c r="B237" t="s">
        <v>1400</v>
      </c>
      <c r="DP237" s="304">
        <f t="shared" ref="DP237:EK237" si="1032">DP234/DP73</f>
        <v>12.872313937153422</v>
      </c>
      <c r="DQ237" s="304">
        <f t="shared" si="1032"/>
        <v>13.783961507618285</v>
      </c>
      <c r="DR237" s="304">
        <f t="shared" si="1032"/>
        <v>17.233943883915124</v>
      </c>
      <c r="DS237" s="304">
        <f t="shared" si="1032"/>
        <v>20.364807521969229</v>
      </c>
      <c r="DT237" s="304">
        <f t="shared" si="1032"/>
        <v>15.298142682932287</v>
      </c>
      <c r="DU237" s="304">
        <f t="shared" si="1032"/>
        <v>14.058615403788634</v>
      </c>
      <c r="DV237" s="304">
        <f t="shared" si="1032"/>
        <v>17.165374531835209</v>
      </c>
      <c r="DW237" s="304">
        <f t="shared" si="1032"/>
        <v>22.262125043297541</v>
      </c>
      <c r="DX237" s="304">
        <f t="shared" si="1032"/>
        <v>23.117618528610354</v>
      </c>
      <c r="DY237" s="304">
        <f t="shared" si="1032"/>
        <v>25.607074035453596</v>
      </c>
      <c r="DZ237" s="304">
        <f t="shared" si="1032"/>
        <v>28.754387746964241</v>
      </c>
      <c r="EA237" s="304">
        <f t="shared" si="1032"/>
        <v>21.809186579547813</v>
      </c>
      <c r="EB237" s="304">
        <f t="shared" si="1032"/>
        <v>22.494963320630522</v>
      </c>
      <c r="EC237" s="304">
        <f t="shared" si="1032"/>
        <v>16.409005537998198</v>
      </c>
      <c r="ED237" s="304">
        <f t="shared" si="1032"/>
        <v>16.781458773090129</v>
      </c>
      <c r="EE237" s="304">
        <f t="shared" si="1032"/>
        <v>15.820313952237523</v>
      </c>
      <c r="EF237" s="304">
        <f t="shared" si="1032"/>
        <v>18.303541982166649</v>
      </c>
      <c r="EG237" s="304">
        <f t="shared" si="1032"/>
        <v>15.106871463217461</v>
      </c>
      <c r="EH237" s="304">
        <f t="shared" si="1032"/>
        <v>14.207609394682637</v>
      </c>
      <c r="EI237" s="304">
        <f t="shared" si="1032"/>
        <v>12.163078831098366</v>
      </c>
      <c r="EJ237" s="304">
        <f t="shared" si="1032"/>
        <v>7.7497478916470488</v>
      </c>
      <c r="EK237" s="304">
        <f t="shared" si="1032"/>
        <v>12.373617365178369</v>
      </c>
    </row>
    <row r="238" spans="2:151" ht="12.75" customHeight="1" x14ac:dyDescent="0.2">
      <c r="B238" t="s">
        <v>1401</v>
      </c>
      <c r="DP238" s="304">
        <f t="shared" ref="DP238:EK238" si="1033">DP236/DP72</f>
        <v>15.407568207024033</v>
      </c>
      <c r="DQ238" s="304">
        <f t="shared" si="1033"/>
        <v>16.65781145148356</v>
      </c>
      <c r="DR238" s="304">
        <f t="shared" si="1033"/>
        <v>23.542755197809718</v>
      </c>
      <c r="DS238" s="304">
        <f t="shared" si="1033"/>
        <v>23.307715160123077</v>
      </c>
      <c r="DT238" s="304">
        <f t="shared" si="1033"/>
        <v>18.033199058086176</v>
      </c>
      <c r="DU238" s="304">
        <f t="shared" si="1033"/>
        <v>17.671239633100697</v>
      </c>
      <c r="DV238" s="304">
        <f t="shared" si="1033"/>
        <v>21.978066516853932</v>
      </c>
      <c r="DW238" s="304">
        <f t="shared" si="1033"/>
        <v>25.819067701558716</v>
      </c>
      <c r="DX238" s="304">
        <f t="shared" si="1033"/>
        <v>27.716607354768396</v>
      </c>
      <c r="DY238" s="304">
        <f t="shared" si="1033"/>
        <v>30.016932272784153</v>
      </c>
      <c r="DZ238" s="304">
        <f t="shared" si="1033"/>
        <v>34.638784939188866</v>
      </c>
      <c r="EA238" s="304">
        <f t="shared" si="1033"/>
        <v>28.419694303837378</v>
      </c>
      <c r="EB238" s="304">
        <f t="shared" si="1033"/>
        <v>28.067337273583927</v>
      </c>
      <c r="EC238" s="304">
        <f t="shared" si="1033"/>
        <v>22.598945094231826</v>
      </c>
      <c r="ED238" s="304">
        <f t="shared" si="1033"/>
        <v>18.114057436507935</v>
      </c>
      <c r="EE238" s="304">
        <f t="shared" si="1033"/>
        <v>17.861933457831324</v>
      </c>
      <c r="EF238" s="304">
        <f t="shared" si="1033"/>
        <v>19.721944543466233</v>
      </c>
      <c r="EG238" s="304">
        <f t="shared" si="1033"/>
        <v>16.546279708973323</v>
      </c>
      <c r="EH238" s="304">
        <f t="shared" si="1033"/>
        <v>15.207799423961642</v>
      </c>
      <c r="EI238" s="304">
        <f t="shared" si="1033"/>
        <v>14.269909619409349</v>
      </c>
      <c r="EJ238" s="304">
        <f t="shared" si="1033"/>
        <v>9.6105854250975948</v>
      </c>
      <c r="EK238" s="304">
        <f t="shared" si="1033"/>
        <v>13.575938205864459</v>
      </c>
    </row>
    <row r="239" spans="2:151" ht="12.75" customHeight="1" x14ac:dyDescent="0.2">
      <c r="DP239" s="304"/>
      <c r="DQ239" s="304"/>
      <c r="DR239" s="304"/>
    </row>
    <row r="240" spans="2:151" ht="12.75" customHeight="1" x14ac:dyDescent="0.2">
      <c r="B240" t="s">
        <v>483</v>
      </c>
    </row>
    <row r="241" spans="2:136" ht="12.75" customHeight="1" x14ac:dyDescent="0.2">
      <c r="B241" t="s">
        <v>484</v>
      </c>
    </row>
    <row r="242" spans="2:136" ht="12.75" customHeight="1" x14ac:dyDescent="0.2">
      <c r="B242" t="s">
        <v>485</v>
      </c>
    </row>
    <row r="244" spans="2:136" ht="12.75" customHeight="1" x14ac:dyDescent="0.2">
      <c r="B244" t="s">
        <v>1050</v>
      </c>
      <c r="G244" s="247">
        <f>K244/1.35</f>
        <v>1220</v>
      </c>
      <c r="H244" s="247">
        <f>L244/1.47</f>
        <v>1256.4625850340137</v>
      </c>
      <c r="I244" s="247">
        <f>M244/1.53</f>
        <v>1232.2875816993464</v>
      </c>
      <c r="J244" s="247">
        <f>N244/1.21</f>
        <v>1301.9834710743803</v>
      </c>
      <c r="K244" s="247">
        <v>1647</v>
      </c>
      <c r="L244" s="247">
        <v>1847</v>
      </c>
      <c r="M244" s="247">
        <v>1885.4</v>
      </c>
      <c r="N244" s="247">
        <v>1575.4</v>
      </c>
      <c r="O244" s="247">
        <v>2070</v>
      </c>
      <c r="P244" s="247">
        <v>2283</v>
      </c>
      <c r="Q244" s="247">
        <v>2134</v>
      </c>
      <c r="R244" s="247">
        <v>1957.5</v>
      </c>
      <c r="S244" s="247">
        <v>2356</v>
      </c>
      <c r="T244" s="247">
        <v>2722</v>
      </c>
      <c r="U244" s="247">
        <v>2511</v>
      </c>
      <c r="V244" s="247">
        <v>2651</v>
      </c>
      <c r="W244" s="247">
        <v>2958</v>
      </c>
      <c r="X244" s="247">
        <v>2934</v>
      </c>
      <c r="Y244" s="247">
        <v>2939</v>
      </c>
      <c r="Z244" s="247">
        <v>3088</v>
      </c>
      <c r="AA244" s="247">
        <v>3263</v>
      </c>
      <c r="AB244" s="247">
        <v>3278</v>
      </c>
      <c r="AC244" s="247">
        <v>3284.6990821500003</v>
      </c>
      <c r="AD244" s="247">
        <v>3445.9594690500003</v>
      </c>
      <c r="AE244" s="247">
        <v>3643</v>
      </c>
      <c r="AF244" s="247">
        <v>3642.9836656400007</v>
      </c>
      <c r="AG244" s="247">
        <v>3694</v>
      </c>
      <c r="AH244" s="247">
        <v>3980</v>
      </c>
      <c r="AI244" s="247">
        <v>3783</v>
      </c>
      <c r="AJ244" s="247">
        <v>3594.5647360624998</v>
      </c>
      <c r="AK244" s="247">
        <v>3526.6955764586251</v>
      </c>
      <c r="AL244" s="247">
        <v>3573.027514656625</v>
      </c>
      <c r="AM244" s="247">
        <v>3701</v>
      </c>
      <c r="AN244" s="247">
        <v>3682</v>
      </c>
      <c r="AU244" s="247">
        <v>4070</v>
      </c>
      <c r="AV244" s="247">
        <v>3793</v>
      </c>
      <c r="AY244" s="247">
        <v>3674</v>
      </c>
      <c r="AZ244" s="247">
        <v>3172</v>
      </c>
      <c r="DY244" s="247">
        <v>6106</v>
      </c>
      <c r="DZ244" s="247">
        <v>6955</v>
      </c>
      <c r="EA244" s="247">
        <v>8445</v>
      </c>
      <c r="EB244" s="247">
        <v>10240</v>
      </c>
      <c r="EC244" s="247">
        <v>11919</v>
      </c>
      <c r="ED244" s="247">
        <v>13272</v>
      </c>
      <c r="EE244" s="247">
        <v>14960</v>
      </c>
      <c r="EF244" s="247">
        <v>14477</v>
      </c>
    </row>
    <row r="245" spans="2:136" ht="12.75" customHeight="1" x14ac:dyDescent="0.2">
      <c r="B245" t="s">
        <v>1051</v>
      </c>
      <c r="G245" s="247">
        <f>K245/1.13</f>
        <v>929.2035398230089</v>
      </c>
      <c r="H245" s="247">
        <f>L245/1.12</f>
        <v>991.07142857142844</v>
      </c>
      <c r="I245" s="247">
        <f>M245/1.1</f>
        <v>955.45454545454538</v>
      </c>
      <c r="J245" s="247">
        <f>N245/1.05</f>
        <v>1013.3333333333333</v>
      </c>
      <c r="K245" s="247">
        <v>1050</v>
      </c>
      <c r="L245" s="247">
        <v>1110</v>
      </c>
      <c r="M245" s="247">
        <v>1051</v>
      </c>
      <c r="N245" s="247">
        <v>1064</v>
      </c>
      <c r="O245" s="247">
        <v>1093</v>
      </c>
      <c r="P245" s="247">
        <v>1100</v>
      </c>
      <c r="Q245" s="247">
        <v>1034</v>
      </c>
      <c r="R245" s="247">
        <v>989.5</v>
      </c>
      <c r="S245" s="247">
        <v>1133</v>
      </c>
      <c r="T245" s="247">
        <v>1142</v>
      </c>
      <c r="U245" s="247">
        <v>1166</v>
      </c>
      <c r="V245" s="247">
        <v>1169</v>
      </c>
      <c r="W245" s="247">
        <v>1223</v>
      </c>
      <c r="X245" s="247">
        <v>1324</v>
      </c>
      <c r="Y245" s="247">
        <v>1338</v>
      </c>
      <c r="Z245" s="247">
        <v>1347</v>
      </c>
      <c r="AA245" s="247">
        <v>1403</v>
      </c>
      <c r="AB245" s="247">
        <v>1606</v>
      </c>
      <c r="AC245" s="247">
        <v>1548.85</v>
      </c>
      <c r="AD245" s="247">
        <v>1686.4</v>
      </c>
      <c r="AE245" s="247">
        <v>1733</v>
      </c>
      <c r="AF245" s="247">
        <v>1784</v>
      </c>
      <c r="AG245" s="247">
        <v>1791</v>
      </c>
      <c r="AH245" s="247">
        <v>1860</v>
      </c>
      <c r="AI245" s="247">
        <v>1972</v>
      </c>
      <c r="AJ245" s="247">
        <v>2033</v>
      </c>
      <c r="AK245" s="247">
        <v>1930</v>
      </c>
      <c r="AL245" s="247">
        <v>1909</v>
      </c>
      <c r="AM245" s="247">
        <v>1925</v>
      </c>
      <c r="AN245" s="247">
        <v>2128</v>
      </c>
      <c r="AU245" s="247">
        <v>2359</v>
      </c>
      <c r="AV245" s="247">
        <v>2547</v>
      </c>
      <c r="AY245" s="247">
        <v>2106</v>
      </c>
      <c r="AZ245" s="247">
        <v>2326</v>
      </c>
      <c r="DY245" s="247">
        <v>3886</v>
      </c>
      <c r="DZ245" s="247">
        <v>4275</v>
      </c>
      <c r="EA245" s="247">
        <v>4217</v>
      </c>
      <c r="EB245" s="247">
        <v>4611</v>
      </c>
      <c r="EC245" s="247">
        <v>5232</v>
      </c>
      <c r="ED245" s="247">
        <v>6244</v>
      </c>
      <c r="EE245" s="247">
        <v>7168</v>
      </c>
      <c r="EF245" s="247">
        <v>7844</v>
      </c>
    </row>
    <row r="246" spans="2:136" ht="12.75" customHeight="1" x14ac:dyDescent="0.2">
      <c r="B246" t="s">
        <v>1052</v>
      </c>
      <c r="G246" s="247">
        <f>G245+G244</f>
        <v>2149.2035398230091</v>
      </c>
      <c r="H246" s="247">
        <f>H245+H244</f>
        <v>2247.5340136054419</v>
      </c>
      <c r="I246" s="247">
        <f>I245+I244</f>
        <v>2187.7421271538919</v>
      </c>
      <c r="J246" s="247">
        <f>J245+J244</f>
        <v>2315.3168044077138</v>
      </c>
      <c r="K246" s="247">
        <v>2697</v>
      </c>
      <c r="L246" s="247">
        <v>2957</v>
      </c>
      <c r="M246" s="247">
        <v>2936.4</v>
      </c>
      <c r="N246" s="247">
        <v>2639.4</v>
      </c>
      <c r="O246" s="247">
        <v>3163</v>
      </c>
      <c r="P246" s="247">
        <v>3383</v>
      </c>
      <c r="Q246" s="247">
        <v>3168</v>
      </c>
      <c r="R246" s="247">
        <v>2947</v>
      </c>
      <c r="S246" s="247">
        <f t="shared" ref="S246:AN246" si="1034">S102</f>
        <v>3489</v>
      </c>
      <c r="T246" s="247">
        <f t="shared" si="1034"/>
        <v>3864.4</v>
      </c>
      <c r="U246" s="247">
        <f t="shared" si="1034"/>
        <v>3677.4</v>
      </c>
      <c r="V246" s="247">
        <f t="shared" si="1034"/>
        <v>3820</v>
      </c>
      <c r="W246" s="247">
        <f t="shared" si="1034"/>
        <v>4181</v>
      </c>
      <c r="X246" s="247">
        <f t="shared" si="1034"/>
        <v>4258</v>
      </c>
      <c r="Y246" s="247">
        <f t="shared" si="1034"/>
        <v>4277</v>
      </c>
      <c r="Z246" s="247">
        <f t="shared" si="1034"/>
        <v>4435</v>
      </c>
      <c r="AA246" s="247">
        <f t="shared" si="1034"/>
        <v>4666</v>
      </c>
      <c r="AB246" s="247">
        <f t="shared" si="1034"/>
        <v>4884</v>
      </c>
      <c r="AC246" s="247">
        <f t="shared" si="1034"/>
        <v>4835</v>
      </c>
      <c r="AD246" s="247">
        <f t="shared" si="1034"/>
        <v>5134</v>
      </c>
      <c r="AE246" s="247">
        <f t="shared" si="1034"/>
        <v>5376</v>
      </c>
      <c r="AF246" s="247">
        <f t="shared" si="1034"/>
        <v>5296</v>
      </c>
      <c r="AG246" s="247">
        <f t="shared" si="1034"/>
        <v>4940</v>
      </c>
      <c r="AH246" s="247">
        <f t="shared" si="1034"/>
        <v>5242</v>
      </c>
      <c r="AI246" s="247">
        <f t="shared" si="1034"/>
        <v>5178</v>
      </c>
      <c r="AJ246" s="247">
        <f t="shared" si="1034"/>
        <v>4986</v>
      </c>
      <c r="AK246" s="247">
        <f t="shared" si="1034"/>
        <v>4833</v>
      </c>
      <c r="AL246" s="247">
        <f t="shared" si="1034"/>
        <v>4790</v>
      </c>
      <c r="AM246" s="247">
        <f t="shared" si="1034"/>
        <v>5626</v>
      </c>
      <c r="AN246" s="247">
        <f t="shared" si="1034"/>
        <v>5810</v>
      </c>
      <c r="AU246" s="247">
        <f>AU102</f>
        <v>6363</v>
      </c>
      <c r="AV246" s="247">
        <f>AV102</f>
        <v>6340</v>
      </c>
      <c r="AY246" s="247">
        <f>AY102</f>
        <v>5780</v>
      </c>
      <c r="AZ246" s="247">
        <f>AZ102</f>
        <v>5498</v>
      </c>
      <c r="DY246" s="243">
        <f t="shared" ref="DY246:EF246" si="1035">DY245+DY244</f>
        <v>9992</v>
      </c>
      <c r="DZ246" s="247">
        <f t="shared" si="1035"/>
        <v>11230</v>
      </c>
      <c r="EA246" s="247">
        <f t="shared" si="1035"/>
        <v>12662</v>
      </c>
      <c r="EB246" s="247">
        <f t="shared" si="1035"/>
        <v>14851</v>
      </c>
      <c r="EC246" s="247">
        <f t="shared" si="1035"/>
        <v>17151</v>
      </c>
      <c r="ED246" s="247">
        <f t="shared" si="1035"/>
        <v>19516</v>
      </c>
      <c r="EE246" s="247">
        <f t="shared" si="1035"/>
        <v>22128</v>
      </c>
      <c r="EF246" s="247">
        <f t="shared" si="1035"/>
        <v>22321</v>
      </c>
    </row>
    <row r="247" spans="2:136" ht="12.75" customHeight="1" x14ac:dyDescent="0.2">
      <c r="B247" t="s">
        <v>1053</v>
      </c>
      <c r="K247" s="247">
        <v>1289</v>
      </c>
      <c r="L247" s="247">
        <v>1315</v>
      </c>
      <c r="M247" s="247">
        <v>1331</v>
      </c>
      <c r="N247" s="247">
        <v>1361</v>
      </c>
      <c r="O247" s="247">
        <v>1311</v>
      </c>
      <c r="P247" s="247">
        <v>1360</v>
      </c>
      <c r="Q247" s="247">
        <v>1390</v>
      </c>
      <c r="R247" s="247">
        <v>1445</v>
      </c>
      <c r="S247" s="247">
        <v>1463.2</v>
      </c>
      <c r="T247" s="247">
        <v>1530</v>
      </c>
      <c r="U247" s="247">
        <v>1569</v>
      </c>
      <c r="V247" s="247">
        <v>1574</v>
      </c>
      <c r="W247" s="247">
        <v>1663</v>
      </c>
      <c r="X247" s="247">
        <v>1758</v>
      </c>
      <c r="Y247" s="247">
        <v>1740</v>
      </c>
      <c r="Z247" s="247">
        <v>1770</v>
      </c>
      <c r="AA247" s="247">
        <v>1747.6</v>
      </c>
      <c r="AB247" s="247">
        <v>1903</v>
      </c>
      <c r="AC247" s="247">
        <v>2145.4</v>
      </c>
      <c r="AD247" s="247">
        <v>2237</v>
      </c>
      <c r="AE247" s="247">
        <v>2194</v>
      </c>
      <c r="AF247" s="247">
        <v>2037.9</v>
      </c>
      <c r="AG247" s="247">
        <v>2073</v>
      </c>
      <c r="AH247" s="247">
        <v>2280</v>
      </c>
      <c r="AI247" s="247">
        <v>2361</v>
      </c>
      <c r="AJ247" s="247">
        <v>2378</v>
      </c>
      <c r="AK247" s="247">
        <v>2365</v>
      </c>
      <c r="AL247" s="247">
        <v>2390</v>
      </c>
      <c r="AM247" s="247">
        <v>2520</v>
      </c>
      <c r="AN247" s="247">
        <v>2590</v>
      </c>
      <c r="AU247" s="247">
        <v>2588</v>
      </c>
      <c r="AV247" s="247">
        <v>2723</v>
      </c>
      <c r="AY247" s="247">
        <v>2652</v>
      </c>
      <c r="AZ247" s="247">
        <v>2776</v>
      </c>
      <c r="DZ247" s="247">
        <v>5296</v>
      </c>
      <c r="EA247" s="247">
        <v>5506</v>
      </c>
      <c r="EB247" s="247">
        <v>6136</v>
      </c>
      <c r="EC247" s="247">
        <v>6931</v>
      </c>
      <c r="ED247" s="247">
        <v>8033</v>
      </c>
      <c r="EE247" s="247">
        <v>8585</v>
      </c>
      <c r="EF247" s="247">
        <v>9494</v>
      </c>
    </row>
    <row r="248" spans="2:136" ht="12.75" customHeight="1" x14ac:dyDescent="0.2">
      <c r="B248" t="s">
        <v>1054</v>
      </c>
      <c r="K248" s="247">
        <v>1145</v>
      </c>
      <c r="L248" s="247">
        <v>1140</v>
      </c>
      <c r="M248" s="247">
        <v>1114</v>
      </c>
      <c r="N248" s="247">
        <v>1220</v>
      </c>
      <c r="O248" s="247">
        <v>1214</v>
      </c>
      <c r="P248" s="247">
        <v>1220</v>
      </c>
      <c r="Q248" s="247">
        <v>1158</v>
      </c>
      <c r="R248" s="247">
        <v>1183</v>
      </c>
      <c r="S248" s="247">
        <v>1272</v>
      </c>
      <c r="T248" s="247">
        <v>1255</v>
      </c>
      <c r="U248" s="247">
        <v>1202</v>
      </c>
      <c r="V248" s="247">
        <v>1281</v>
      </c>
      <c r="W248" s="247">
        <v>1295</v>
      </c>
      <c r="X248" s="247">
        <v>1408</v>
      </c>
      <c r="Y248" s="247">
        <v>1401</v>
      </c>
      <c r="Z248" s="247">
        <v>1548</v>
      </c>
      <c r="AA248" s="247">
        <v>1615.6</v>
      </c>
      <c r="AB248" s="247">
        <v>1726</v>
      </c>
      <c r="AC248" s="247">
        <v>1634</v>
      </c>
      <c r="AD248" s="247">
        <v>1904</v>
      </c>
      <c r="AE248" s="247">
        <v>1942</v>
      </c>
      <c r="AF248" s="247">
        <v>2019.4</v>
      </c>
      <c r="AG248" s="247">
        <v>1971</v>
      </c>
      <c r="AH248" s="247">
        <v>2370</v>
      </c>
      <c r="AI248" s="247">
        <v>2436</v>
      </c>
      <c r="AJ248" s="247">
        <v>2478</v>
      </c>
      <c r="AK248" s="247">
        <v>2257</v>
      </c>
      <c r="AL248" s="247">
        <v>2431</v>
      </c>
      <c r="AM248" s="247">
        <v>2491</v>
      </c>
      <c r="AN248" s="247">
        <v>2565</v>
      </c>
      <c r="AU248" s="247">
        <v>3113</v>
      </c>
      <c r="AV248" s="247">
        <v>3351</v>
      </c>
      <c r="AY248" s="247">
        <v>2883</v>
      </c>
      <c r="AZ248" s="247">
        <v>3111</v>
      </c>
      <c r="DZ248" s="247">
        <v>4619</v>
      </c>
      <c r="EA248" s="247">
        <v>4775</v>
      </c>
      <c r="EB248" s="247">
        <v>5010</v>
      </c>
      <c r="EC248" s="247">
        <v>5652</v>
      </c>
      <c r="ED248" s="247">
        <v>6880</v>
      </c>
      <c r="EE248" s="247">
        <v>8302</v>
      </c>
      <c r="EF248" s="247">
        <v>9602</v>
      </c>
    </row>
    <row r="249" spans="2:136" ht="12.75" customHeight="1" x14ac:dyDescent="0.2">
      <c r="B249" t="s">
        <v>102</v>
      </c>
      <c r="K249" s="247">
        <v>2434</v>
      </c>
      <c r="L249" s="247">
        <v>2455</v>
      </c>
      <c r="M249" s="247">
        <v>2445</v>
      </c>
      <c r="N249" s="247">
        <v>2581</v>
      </c>
      <c r="O249" s="247">
        <v>2525</v>
      </c>
      <c r="P249" s="247">
        <v>2580</v>
      </c>
      <c r="Q249" s="247">
        <v>2548</v>
      </c>
      <c r="R249" s="247">
        <v>2628</v>
      </c>
      <c r="S249" s="243">
        <f t="shared" ref="S249:AN249" si="1036">S109</f>
        <v>2735.2</v>
      </c>
      <c r="T249" s="243">
        <f t="shared" si="1036"/>
        <v>2785</v>
      </c>
      <c r="U249" s="243">
        <f t="shared" si="1036"/>
        <v>2771</v>
      </c>
      <c r="V249" s="243">
        <f t="shared" si="1036"/>
        <v>2855</v>
      </c>
      <c r="W249" s="243">
        <f t="shared" si="1036"/>
        <v>2958</v>
      </c>
      <c r="X249" s="243">
        <f t="shared" si="1036"/>
        <v>3166</v>
      </c>
      <c r="Y249" s="243">
        <f t="shared" si="1036"/>
        <v>3141</v>
      </c>
      <c r="Z249" s="243">
        <f t="shared" si="1036"/>
        <v>3318</v>
      </c>
      <c r="AA249" s="243">
        <f t="shared" si="1036"/>
        <v>3364</v>
      </c>
      <c r="AB249" s="243">
        <f t="shared" si="1036"/>
        <v>3629</v>
      </c>
      <c r="AC249" s="243">
        <f t="shared" si="1036"/>
        <v>3779</v>
      </c>
      <c r="AD249" s="243">
        <f t="shared" si="1036"/>
        <v>4141</v>
      </c>
      <c r="AE249" s="243">
        <f t="shared" si="1036"/>
        <v>4136</v>
      </c>
      <c r="AF249" s="243">
        <f t="shared" si="1036"/>
        <v>4057</v>
      </c>
      <c r="AG249" s="243">
        <f t="shared" si="1036"/>
        <v>4044</v>
      </c>
      <c r="AH249" s="243">
        <f t="shared" si="1036"/>
        <v>4650</v>
      </c>
      <c r="AI249" s="243">
        <f t="shared" si="1036"/>
        <v>4797</v>
      </c>
      <c r="AJ249" s="243">
        <f t="shared" si="1036"/>
        <v>4856</v>
      </c>
      <c r="AK249" s="243">
        <f t="shared" si="1036"/>
        <v>4622</v>
      </c>
      <c r="AL249" s="243">
        <f t="shared" si="1036"/>
        <v>4821</v>
      </c>
      <c r="AM249" s="243">
        <f t="shared" si="1036"/>
        <v>5011</v>
      </c>
      <c r="AN249" s="243">
        <f t="shared" si="1036"/>
        <v>5155</v>
      </c>
      <c r="AU249" s="243">
        <f>AU109</f>
        <v>5701</v>
      </c>
      <c r="AV249" s="243">
        <f>AV109</f>
        <v>6074</v>
      </c>
      <c r="AY249" s="243">
        <f>AY109</f>
        <v>5535</v>
      </c>
      <c r="AZ249" s="243">
        <f>AZ109</f>
        <v>5887</v>
      </c>
      <c r="DZ249" s="247">
        <v>9915</v>
      </c>
      <c r="EA249" s="247">
        <v>10281</v>
      </c>
      <c r="EB249" s="247">
        <f>EB248+EB247</f>
        <v>11146</v>
      </c>
      <c r="EC249" s="247">
        <f>EC248+EC247</f>
        <v>12583</v>
      </c>
      <c r="ED249" s="247">
        <f>ED248+ED247</f>
        <v>14913</v>
      </c>
      <c r="EE249" s="247">
        <f>EE248+EE247</f>
        <v>16887</v>
      </c>
      <c r="EF249" s="247">
        <f>EF248+EF247</f>
        <v>19096</v>
      </c>
    </row>
    <row r="250" spans="2:136" ht="12.75" customHeight="1" x14ac:dyDescent="0.2">
      <c r="B250" t="s">
        <v>1055</v>
      </c>
      <c r="K250" s="247">
        <v>927</v>
      </c>
      <c r="L250" s="247">
        <v>873</v>
      </c>
      <c r="M250" s="247">
        <v>921</v>
      </c>
      <c r="N250" s="247">
        <v>948</v>
      </c>
      <c r="O250" s="247">
        <v>943</v>
      </c>
      <c r="P250" s="247">
        <v>902</v>
      </c>
      <c r="Q250" s="247">
        <v>939</v>
      </c>
      <c r="R250" s="247">
        <v>976</v>
      </c>
      <c r="S250" s="247">
        <v>896</v>
      </c>
      <c r="T250" s="247">
        <v>808</v>
      </c>
      <c r="U250" s="247">
        <v>896</v>
      </c>
      <c r="V250" s="247">
        <v>848.5</v>
      </c>
      <c r="W250" s="247">
        <v>900</v>
      </c>
      <c r="X250" s="247">
        <v>907</v>
      </c>
      <c r="Y250" s="247">
        <v>910</v>
      </c>
      <c r="Z250" s="247">
        <v>888</v>
      </c>
      <c r="AA250" s="247">
        <v>1000</v>
      </c>
      <c r="AB250" s="247">
        <v>931</v>
      </c>
      <c r="AC250" s="247">
        <v>984.3</v>
      </c>
      <c r="AD250" s="247">
        <v>1053</v>
      </c>
      <c r="AE250" s="247">
        <v>1081</v>
      </c>
      <c r="AF250" s="247">
        <v>987</v>
      </c>
      <c r="AG250" s="247">
        <v>1023</v>
      </c>
      <c r="AH250" s="247">
        <v>1134</v>
      </c>
      <c r="AI250" s="247">
        <v>1114</v>
      </c>
      <c r="AJ250" s="247">
        <v>1092</v>
      </c>
      <c r="AK250" s="247">
        <v>1075</v>
      </c>
      <c r="AL250" s="247">
        <v>1124</v>
      </c>
      <c r="AM250" s="247">
        <v>1150</v>
      </c>
      <c r="AN250" s="247">
        <v>1103</v>
      </c>
      <c r="AO250" s="247"/>
      <c r="AP250" s="247"/>
      <c r="AQ250" s="247"/>
      <c r="AR250" s="247"/>
      <c r="AS250" s="247"/>
      <c r="AT250" s="247"/>
      <c r="AU250" s="247">
        <v>1819</v>
      </c>
      <c r="AV250" s="247">
        <v>1694</v>
      </c>
      <c r="AW250" s="247"/>
      <c r="AX250" s="247"/>
      <c r="AY250" s="247">
        <v>1726</v>
      </c>
      <c r="AZ250" s="247">
        <v>1708</v>
      </c>
      <c r="DZ250" s="247">
        <v>3669</v>
      </c>
      <c r="EA250" s="247">
        <v>3760</v>
      </c>
      <c r="EB250" s="247">
        <v>3449</v>
      </c>
      <c r="EC250" s="247">
        <v>3605</v>
      </c>
      <c r="ED250" s="247">
        <v>3968</v>
      </c>
      <c r="EE250" s="247">
        <v>4225</v>
      </c>
      <c r="EF250" s="247">
        <v>4405</v>
      </c>
    </row>
    <row r="251" spans="2:136" ht="12.75" customHeight="1" x14ac:dyDescent="0.2">
      <c r="B251" t="s">
        <v>1056</v>
      </c>
      <c r="K251" s="247">
        <v>801</v>
      </c>
      <c r="L251" s="247">
        <v>814</v>
      </c>
      <c r="M251" s="247">
        <v>783</v>
      </c>
      <c r="N251" s="247">
        <v>796</v>
      </c>
      <c r="O251" s="247">
        <v>809</v>
      </c>
      <c r="P251" s="247">
        <v>805</v>
      </c>
      <c r="Q251" s="247">
        <v>783</v>
      </c>
      <c r="R251" s="247">
        <v>747</v>
      </c>
      <c r="S251" s="247">
        <v>735</v>
      </c>
      <c r="T251" s="247">
        <v>722</v>
      </c>
      <c r="U251" s="247">
        <v>713</v>
      </c>
      <c r="V251" s="247">
        <v>701.5</v>
      </c>
      <c r="W251" s="247">
        <v>704</v>
      </c>
      <c r="X251" s="247">
        <v>742</v>
      </c>
      <c r="Y251" s="247">
        <v>751</v>
      </c>
      <c r="Z251" s="247">
        <v>762</v>
      </c>
      <c r="AA251" s="247">
        <v>791</v>
      </c>
      <c r="AB251" s="247">
        <v>888</v>
      </c>
      <c r="AC251" s="247">
        <v>856.7</v>
      </c>
      <c r="AD251" s="247">
        <v>926</v>
      </c>
      <c r="AE251" s="247">
        <v>966</v>
      </c>
      <c r="AF251" s="247">
        <v>1013</v>
      </c>
      <c r="AG251" s="247">
        <v>1001</v>
      </c>
      <c r="AH251" s="247">
        <v>1128</v>
      </c>
      <c r="AI251" s="247">
        <v>1166</v>
      </c>
      <c r="AJ251" s="247">
        <v>1186</v>
      </c>
      <c r="AK251" s="247">
        <v>1156</v>
      </c>
      <c r="AL251" s="247">
        <v>1183</v>
      </c>
      <c r="AM251" s="247">
        <v>1205</v>
      </c>
      <c r="AN251" s="247">
        <v>1295</v>
      </c>
      <c r="AO251" s="247"/>
      <c r="AP251" s="247"/>
      <c r="AQ251" s="247"/>
      <c r="AR251" s="247"/>
      <c r="AS251" s="247"/>
      <c r="AT251" s="247"/>
      <c r="AU251" s="247">
        <v>2245</v>
      </c>
      <c r="AV251" s="247">
        <v>2342</v>
      </c>
      <c r="AW251" s="247"/>
      <c r="AX251" s="247"/>
      <c r="AY251" s="247">
        <v>1982</v>
      </c>
      <c r="AZ251" s="247">
        <v>2146</v>
      </c>
      <c r="DZ251" s="247">
        <v>3194</v>
      </c>
      <c r="EA251" s="247">
        <v>3144</v>
      </c>
      <c r="EB251" s="247">
        <v>2872</v>
      </c>
      <c r="EC251" s="247">
        <v>2959</v>
      </c>
      <c r="ED251" s="247">
        <v>3462</v>
      </c>
      <c r="EE251" s="247">
        <v>4108</v>
      </c>
      <c r="EF251" s="247">
        <v>4691</v>
      </c>
    </row>
    <row r="252" spans="2:136" ht="12.75" customHeight="1" x14ac:dyDescent="0.2">
      <c r="B252" t="s">
        <v>1019</v>
      </c>
      <c r="K252" s="247">
        <v>1728</v>
      </c>
      <c r="L252" s="247">
        <v>1687</v>
      </c>
      <c r="M252" s="247">
        <v>1704</v>
      </c>
      <c r="N252" s="247">
        <v>1744</v>
      </c>
      <c r="O252" s="247">
        <v>1752</v>
      </c>
      <c r="P252" s="247">
        <v>1707</v>
      </c>
      <c r="Q252" s="247">
        <v>1722</v>
      </c>
      <c r="R252" s="247">
        <v>1723</v>
      </c>
      <c r="S252" s="247">
        <v>1631</v>
      </c>
      <c r="T252" s="247">
        <v>1530</v>
      </c>
      <c r="U252" s="247">
        <v>1609</v>
      </c>
      <c r="V252" s="247">
        <v>1550</v>
      </c>
      <c r="W252" s="247">
        <v>1604</v>
      </c>
      <c r="X252" s="247">
        <v>1649</v>
      </c>
      <c r="Y252" s="247">
        <v>1661</v>
      </c>
      <c r="Z252" s="247">
        <v>1650</v>
      </c>
      <c r="AA252" s="247">
        <v>1791</v>
      </c>
      <c r="AB252" s="247">
        <v>1819</v>
      </c>
      <c r="AC252" s="247">
        <v>1841</v>
      </c>
      <c r="AD252" s="247">
        <v>1979</v>
      </c>
      <c r="AE252" s="247">
        <v>2047</v>
      </c>
      <c r="AF252" s="247">
        <v>2000</v>
      </c>
      <c r="AG252" s="247">
        <v>2024</v>
      </c>
      <c r="AH252" s="247">
        <v>2262</v>
      </c>
      <c r="AI252" s="247">
        <v>2280</v>
      </c>
      <c r="AJ252" s="247">
        <v>2278</v>
      </c>
      <c r="AK252" s="247">
        <v>2231</v>
      </c>
      <c r="AL252" s="247">
        <v>2307</v>
      </c>
      <c r="AM252" s="247">
        <v>2355</v>
      </c>
      <c r="AN252" s="247">
        <v>2398</v>
      </c>
      <c r="AO252" s="247">
        <f t="shared" ref="AO252:BB252" si="1037">AO116</f>
        <v>2456</v>
      </c>
      <c r="AP252" s="247">
        <f t="shared" si="1037"/>
        <v>2565</v>
      </c>
      <c r="AQ252" s="247">
        <f t="shared" si="1037"/>
        <v>3496</v>
      </c>
      <c r="AR252" s="247">
        <f t="shared" si="1037"/>
        <v>3564</v>
      </c>
      <c r="AS252" s="247">
        <f t="shared" si="1037"/>
        <v>3623</v>
      </c>
      <c r="AT252" s="247">
        <f t="shared" si="1037"/>
        <v>3810</v>
      </c>
      <c r="AU252" s="247">
        <f t="shared" si="1037"/>
        <v>4064</v>
      </c>
      <c r="AV252" s="247">
        <f t="shared" si="1037"/>
        <v>4036</v>
      </c>
      <c r="AW252" s="247">
        <f t="shared" si="1037"/>
        <v>4099</v>
      </c>
      <c r="AX252" s="247">
        <f t="shared" si="1037"/>
        <v>3855</v>
      </c>
      <c r="AY252" s="247">
        <f t="shared" si="1037"/>
        <v>3711</v>
      </c>
      <c r="AZ252" s="247">
        <f t="shared" si="1037"/>
        <v>3854</v>
      </c>
      <c r="BA252" s="247">
        <f t="shared" si="1037"/>
        <v>3989</v>
      </c>
      <c r="BB252" s="247">
        <f t="shared" si="1037"/>
        <v>4249</v>
      </c>
      <c r="BC252" s="247"/>
      <c r="BD252" s="247"/>
      <c r="BE252" s="247"/>
      <c r="BF252" s="247"/>
      <c r="BG252" s="247"/>
      <c r="BH252" s="247"/>
      <c r="BI252" s="247"/>
      <c r="BJ252" s="247"/>
      <c r="BK252" s="247"/>
      <c r="BL252" s="247"/>
      <c r="BM252" s="247"/>
      <c r="BN252" s="247"/>
      <c r="BO252" s="247"/>
      <c r="BP252" s="247"/>
      <c r="BQ252" s="247"/>
      <c r="BR252" s="247"/>
      <c r="BS252" s="247"/>
      <c r="BT252" s="247"/>
      <c r="BU252" s="247"/>
      <c r="BV252" s="247"/>
      <c r="BW252" s="247"/>
      <c r="BX252" s="247"/>
      <c r="BY252" s="247"/>
      <c r="BZ252" s="247"/>
      <c r="CA252" s="247"/>
      <c r="CB252" s="247"/>
      <c r="CC252" s="247"/>
      <c r="CD252" s="247"/>
      <c r="CE252" s="247"/>
      <c r="CF252" s="247"/>
      <c r="CG252" s="247"/>
      <c r="CH252" s="247"/>
      <c r="CI252" s="247"/>
      <c r="CJ252" s="247"/>
      <c r="CK252" s="247"/>
      <c r="CL252" s="247"/>
      <c r="CM252" s="247"/>
      <c r="CN252" s="247"/>
      <c r="CO252" s="247"/>
      <c r="CP252" s="247"/>
      <c r="CQ252" s="247"/>
      <c r="CR252" s="247"/>
      <c r="CS252" s="247"/>
      <c r="CT252" s="247"/>
      <c r="CU252" s="247"/>
      <c r="CV252" s="247"/>
      <c r="CW252" s="247"/>
      <c r="CX252" s="247"/>
      <c r="CY252" s="247"/>
      <c r="CZ252" s="247"/>
      <c r="DA252" s="247"/>
      <c r="DB252" s="247"/>
      <c r="DC252" s="247"/>
      <c r="DD252" s="247"/>
      <c r="DE252" s="247"/>
      <c r="DF252" s="247"/>
      <c r="DG252" s="247"/>
      <c r="DH252" s="247"/>
      <c r="DI252" s="247"/>
      <c r="DJ252" s="247"/>
      <c r="DK252" s="247"/>
      <c r="DL252" s="247"/>
      <c r="DM252" s="247"/>
      <c r="DN252" s="247"/>
      <c r="DZ252" s="247">
        <v>6863</v>
      </c>
      <c r="EA252" s="247">
        <v>6904</v>
      </c>
      <c r="EB252" s="247">
        <f>EB251+EB250</f>
        <v>6321</v>
      </c>
      <c r="EC252" s="247">
        <f>EC251+EC250</f>
        <v>6564</v>
      </c>
      <c r="ED252" s="247">
        <f>ED251+ED250</f>
        <v>7430</v>
      </c>
      <c r="EE252" s="247">
        <f>EE251+EE250</f>
        <v>8333</v>
      </c>
      <c r="EF252" s="247">
        <f>EF251+EF250</f>
        <v>9096</v>
      </c>
    </row>
    <row r="255" spans="2:136" ht="12.75" customHeight="1" x14ac:dyDescent="0.2">
      <c r="B255" t="s">
        <v>1367</v>
      </c>
      <c r="AQ255" s="283">
        <v>1.3110999999999999</v>
      </c>
      <c r="AR255" s="283">
        <v>1.3483000000000001</v>
      </c>
      <c r="AS255" s="283">
        <v>1.3746</v>
      </c>
      <c r="AT255" s="283">
        <v>1.4483999999999999</v>
      </c>
      <c r="AU255" s="283">
        <v>1.4985999999999999</v>
      </c>
      <c r="AV255" s="283">
        <v>1.5633999999999999</v>
      </c>
      <c r="AW255" s="283">
        <v>1.5051000000000001</v>
      </c>
      <c r="AX255" s="283">
        <v>1.3214999999999999</v>
      </c>
      <c r="AY255" s="283">
        <v>1.3077000000000001</v>
      </c>
      <c r="AZ255" s="283">
        <v>1.3625</v>
      </c>
      <c r="BA255" s="283">
        <v>1.4298</v>
      </c>
      <c r="BB255" s="283">
        <v>1.4763999999999999</v>
      </c>
      <c r="BC255" s="283">
        <v>1.3844000000000001</v>
      </c>
      <c r="BD255" s="283">
        <v>1.3220000000000001</v>
      </c>
    </row>
    <row r="256" spans="2:136" ht="12.75" customHeight="1" x14ac:dyDescent="0.2">
      <c r="B256" t="s">
        <v>1366</v>
      </c>
      <c r="AU256" s="294">
        <f t="shared" ref="AU256:BC256" si="1038">AU255/AQ255-1</f>
        <v>0.14300968652276724</v>
      </c>
      <c r="AV256" s="294">
        <f t="shared" si="1038"/>
        <v>0.15953422828747299</v>
      </c>
      <c r="AW256" s="294">
        <f t="shared" si="1038"/>
        <v>9.4936708860759556E-2</v>
      </c>
      <c r="AX256" s="294">
        <f t="shared" si="1038"/>
        <v>-8.7613918806959457E-2</v>
      </c>
      <c r="AY256" s="294">
        <f t="shared" si="1038"/>
        <v>-0.12738555985586542</v>
      </c>
      <c r="AZ256" s="294">
        <f t="shared" si="1038"/>
        <v>-0.12850198285787373</v>
      </c>
      <c r="BA256" s="294">
        <f t="shared" si="1038"/>
        <v>-5.002989834562499E-2</v>
      </c>
      <c r="BB256" s="294">
        <f t="shared" si="1038"/>
        <v>0.11721528566023465</v>
      </c>
      <c r="BC256" s="294">
        <f t="shared" si="1038"/>
        <v>5.8652596161199E-2</v>
      </c>
      <c r="BD256" s="294">
        <f>BD255/AZ255-1</f>
        <v>-2.9724770642201803E-2</v>
      </c>
    </row>
    <row r="257" spans="2:56" ht="12.75" customHeight="1" x14ac:dyDescent="0.2">
      <c r="B257" t="s">
        <v>1194</v>
      </c>
      <c r="AU257" s="294">
        <f t="shared" ref="AU257:BC257" si="1039">+AU126</f>
        <v>5.0999999999999997E-2</v>
      </c>
      <c r="AV257" s="294">
        <f t="shared" si="1039"/>
        <v>5.6000000000000001E-2</v>
      </c>
      <c r="AW257" s="294">
        <f t="shared" si="1039"/>
        <v>3.1E-2</v>
      </c>
      <c r="AX257" s="294">
        <f t="shared" si="1039"/>
        <v>-3.9E-2</v>
      </c>
      <c r="AY257" s="294">
        <f t="shared" si="1039"/>
        <v>-0.06</v>
      </c>
      <c r="AZ257" s="294">
        <f t="shared" si="1039"/>
        <v>-0.06</v>
      </c>
      <c r="BA257" s="294">
        <f t="shared" si="1039"/>
        <v>-2.5000000000000001E-2</v>
      </c>
      <c r="BB257" s="294">
        <f t="shared" si="1039"/>
        <v>4.4999999999999998E-2</v>
      </c>
      <c r="BC257" s="294">
        <f t="shared" si="1039"/>
        <v>4.1000000000000002E-2</v>
      </c>
    </row>
    <row r="258" spans="2:56" ht="12.75" customHeight="1" x14ac:dyDescent="0.2">
      <c r="AU258" s="294"/>
      <c r="AV258" s="294"/>
      <c r="AW258" s="294"/>
      <c r="AX258" s="294"/>
      <c r="AY258" s="294"/>
      <c r="AZ258" s="294"/>
      <c r="BA258" s="294"/>
      <c r="BB258" s="294"/>
      <c r="BC258" s="294"/>
    </row>
    <row r="259" spans="2:56" ht="12.75" customHeight="1" x14ac:dyDescent="0.2">
      <c r="B259" t="s">
        <v>1368</v>
      </c>
      <c r="AQ259" s="243">
        <f t="shared" ref="AQ259:BD259" si="1040">AQ61</f>
        <v>15087</v>
      </c>
      <c r="AR259" s="243">
        <f t="shared" si="1040"/>
        <v>15142</v>
      </c>
      <c r="AS259" s="243">
        <f t="shared" si="1040"/>
        <v>15007</v>
      </c>
      <c r="AT259" s="243">
        <f t="shared" si="1040"/>
        <v>15957</v>
      </c>
      <c r="AU259" s="243">
        <f t="shared" si="1040"/>
        <v>16194</v>
      </c>
      <c r="AV259" s="243">
        <f t="shared" si="1040"/>
        <v>16450</v>
      </c>
      <c r="AW259" s="243">
        <f t="shared" si="1040"/>
        <v>15921</v>
      </c>
      <c r="AX259" s="243">
        <f t="shared" si="1040"/>
        <v>15182</v>
      </c>
      <c r="AY259" s="243">
        <f t="shared" si="1040"/>
        <v>15026</v>
      </c>
      <c r="AZ259" s="243">
        <f t="shared" si="1040"/>
        <v>15239</v>
      </c>
      <c r="BA259" s="243">
        <f t="shared" si="1040"/>
        <v>15081</v>
      </c>
      <c r="BB259" s="243">
        <f t="shared" si="1040"/>
        <v>16551</v>
      </c>
      <c r="BC259" s="243">
        <f t="shared" si="1040"/>
        <v>15631</v>
      </c>
      <c r="BD259" s="243">
        <f t="shared" si="1040"/>
        <v>15389</v>
      </c>
    </row>
    <row r="260" spans="2:56" ht="12.75" customHeight="1" x14ac:dyDescent="0.2">
      <c r="B260" t="s">
        <v>1369</v>
      </c>
      <c r="AU260" s="294">
        <f>AU259/AQ259-1</f>
        <v>7.3374428315768458E-2</v>
      </c>
      <c r="AV260" s="294">
        <f t="shared" ref="AV260:BD260" si="1041">AV259/AR259-1</f>
        <v>8.6382248051776411E-2</v>
      </c>
      <c r="AW260" s="294">
        <f t="shared" si="1041"/>
        <v>6.0904911041513854E-2</v>
      </c>
      <c r="AX260" s="294">
        <f t="shared" si="1041"/>
        <v>-4.8568026571410683E-2</v>
      </c>
      <c r="AY260" s="294">
        <f t="shared" si="1041"/>
        <v>-7.2125478572310775E-2</v>
      </c>
      <c r="AZ260" s="294">
        <f t="shared" si="1041"/>
        <v>-7.3617021276595751E-2</v>
      </c>
      <c r="BA260" s="294">
        <f t="shared" si="1041"/>
        <v>-5.27605049934049E-2</v>
      </c>
      <c r="BB260" s="294">
        <f t="shared" si="1041"/>
        <v>9.017257278355939E-2</v>
      </c>
      <c r="BC260" s="294">
        <f t="shared" si="1041"/>
        <v>4.026354319180081E-2</v>
      </c>
      <c r="BD260" s="294">
        <f t="shared" si="1041"/>
        <v>9.8431655620447867E-3</v>
      </c>
    </row>
    <row r="261" spans="2:56" ht="12.75" customHeight="1" x14ac:dyDescent="0.2">
      <c r="B261" t="s">
        <v>1370</v>
      </c>
      <c r="AQ261" s="294">
        <f t="shared" ref="AQ261:AY261" si="1042">+AQ124</f>
        <v>0</v>
      </c>
      <c r="AR261" s="294">
        <f t="shared" si="1042"/>
        <v>0.108</v>
      </c>
      <c r="AS261" s="294">
        <f t="shared" si="1042"/>
        <v>9.7000000000000003E-2</v>
      </c>
      <c r="AT261" s="294">
        <f t="shared" si="1042"/>
        <v>0.11899999999999999</v>
      </c>
      <c r="AU261" s="294">
        <f t="shared" si="1042"/>
        <v>2.5999999999999999E-2</v>
      </c>
      <c r="AV261" s="294">
        <f t="shared" si="1042"/>
        <v>3.038224805177641E-2</v>
      </c>
      <c r="AW261" s="294">
        <f t="shared" si="1042"/>
        <v>2.9904911041513854E-2</v>
      </c>
      <c r="AX261" s="294">
        <f t="shared" si="1042"/>
        <v>-0.01</v>
      </c>
      <c r="AY261" s="294">
        <f t="shared" si="1042"/>
        <v>-1.2E-2</v>
      </c>
      <c r="AZ261" s="294">
        <f>+AZ124</f>
        <v>-1.3617021276595753E-2</v>
      </c>
      <c r="BA261" s="294">
        <f>+BA124</f>
        <v>-2.7760504993404898E-2</v>
      </c>
      <c r="BB261" s="294">
        <f>+BB124</f>
        <v>4.5172572783559392E-2</v>
      </c>
      <c r="BC261" s="294">
        <f>+BC124</f>
        <v>-1E-3</v>
      </c>
      <c r="BD261"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155</v>
      </c>
    </row>
    <row r="2" spans="1:3" x14ac:dyDescent="0.2">
      <c r="B2" t="s">
        <v>486</v>
      </c>
      <c r="C2" t="s">
        <v>1012</v>
      </c>
    </row>
    <row r="3" spans="1:3" x14ac:dyDescent="0.2">
      <c r="B3" t="s">
        <v>487</v>
      </c>
      <c r="C3" t="s">
        <v>1174</v>
      </c>
    </row>
    <row r="4" spans="1:3" x14ac:dyDescent="0.2">
      <c r="B4" t="s">
        <v>490</v>
      </c>
      <c r="C4" t="s">
        <v>1175</v>
      </c>
    </row>
    <row r="5" spans="1:3" x14ac:dyDescent="0.2">
      <c r="B5" t="s">
        <v>496</v>
      </c>
      <c r="C5" t="s">
        <v>1807</v>
      </c>
    </row>
    <row r="6" spans="1:3" x14ac:dyDescent="0.2">
      <c r="B6" t="s">
        <v>160</v>
      </c>
      <c r="C6" t="s">
        <v>1797</v>
      </c>
    </row>
    <row r="7" spans="1:3" x14ac:dyDescent="0.2">
      <c r="C7" t="s">
        <v>1798</v>
      </c>
    </row>
    <row r="8" spans="1:3" x14ac:dyDescent="0.2">
      <c r="B8" t="s">
        <v>164</v>
      </c>
      <c r="C8" t="s">
        <v>1949</v>
      </c>
    </row>
    <row r="9" spans="1:3" x14ac:dyDescent="0.2">
      <c r="C9" t="s">
        <v>1950</v>
      </c>
    </row>
    <row r="10" spans="1:3" x14ac:dyDescent="0.2">
      <c r="B10" t="s">
        <v>772</v>
      </c>
      <c r="C10" t="s">
        <v>1028</v>
      </c>
    </row>
    <row r="11" spans="1:3" x14ac:dyDescent="0.2">
      <c r="B11" t="s">
        <v>766</v>
      </c>
      <c r="C11" t="s">
        <v>1029</v>
      </c>
    </row>
    <row r="12" spans="1:3" x14ac:dyDescent="0.2">
      <c r="B12" t="s">
        <v>537</v>
      </c>
      <c r="C12" t="s">
        <v>1176</v>
      </c>
    </row>
    <row r="13" spans="1:3" x14ac:dyDescent="0.2">
      <c r="B13" t="s">
        <v>905</v>
      </c>
      <c r="C13" t="s">
        <v>1948</v>
      </c>
    </row>
    <row r="14" spans="1:3" x14ac:dyDescent="0.2">
      <c r="B14" t="s">
        <v>166</v>
      </c>
      <c r="C14" t="s">
        <v>1945</v>
      </c>
    </row>
    <row r="15" spans="1:3" x14ac:dyDescent="0.2">
      <c r="C15" t="s">
        <v>1946</v>
      </c>
    </row>
    <row r="16" spans="1:3" x14ac:dyDescent="0.2">
      <c r="C16" t="s">
        <v>1947</v>
      </c>
    </row>
    <row r="17" spans="2:3" x14ac:dyDescent="0.2">
      <c r="B17" t="s">
        <v>532</v>
      </c>
    </row>
    <row r="18" spans="2:3" x14ac:dyDescent="0.2">
      <c r="C18" s="184" t="s">
        <v>1810</v>
      </c>
    </row>
    <row r="19" spans="2:3" x14ac:dyDescent="0.2">
      <c r="C19" t="s">
        <v>1811</v>
      </c>
    </row>
    <row r="20" spans="2:3" x14ac:dyDescent="0.2">
      <c r="C20" t="s">
        <v>1808</v>
      </c>
    </row>
    <row r="21" spans="2:3" x14ac:dyDescent="0.2">
      <c r="C21" t="s">
        <v>1809</v>
      </c>
    </row>
    <row r="23" spans="2:3" x14ac:dyDescent="0.2">
      <c r="C23" s="184" t="s">
        <v>1815</v>
      </c>
    </row>
    <row r="24" spans="2:3" x14ac:dyDescent="0.2">
      <c r="C24" t="s">
        <v>1812</v>
      </c>
    </row>
    <row r="25" spans="2:3" x14ac:dyDescent="0.2">
      <c r="C25" t="s">
        <v>1813</v>
      </c>
    </row>
    <row r="26" spans="2:3" x14ac:dyDescent="0.2">
      <c r="C26" t="s">
        <v>1814</v>
      </c>
    </row>
    <row r="28" spans="2:3" x14ac:dyDescent="0.2">
      <c r="C28" s="184" t="s">
        <v>174</v>
      </c>
    </row>
    <row r="29" spans="2:3" x14ac:dyDescent="0.2">
      <c r="C29" t="s">
        <v>176</v>
      </c>
    </row>
    <row r="30" spans="2:3" x14ac:dyDescent="0.2">
      <c r="C30" t="s">
        <v>175</v>
      </c>
    </row>
    <row r="32" spans="2:3" x14ac:dyDescent="0.2">
      <c r="C32" s="184" t="s">
        <v>795</v>
      </c>
    </row>
    <row r="33" spans="3:3" x14ac:dyDescent="0.2">
      <c r="C33" t="s">
        <v>1025</v>
      </c>
    </row>
    <row r="34" spans="3:3" x14ac:dyDescent="0.2">
      <c r="C34" t="s">
        <v>1026</v>
      </c>
    </row>
    <row r="36" spans="3:3" x14ac:dyDescent="0.2">
      <c r="C36" t="s">
        <v>621</v>
      </c>
    </row>
    <row r="38" spans="3:3" x14ac:dyDescent="0.2">
      <c r="C38" s="184" t="s">
        <v>21</v>
      </c>
    </row>
    <row r="41" spans="3:3" x14ac:dyDescent="0.2">
      <c r="C41" s="184" t="s">
        <v>852</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3.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2024-07-03T14:14:35Z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