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2D7BA8AC-171F-2E47-9A0C-57C405460DCA}" xr6:coauthVersionLast="47" xr6:coauthVersionMax="47" xr10:uidLastSave="{00000000-0000-0000-0000-000000000000}"/>
  <bookViews>
    <workbookView xWindow="-43220" yWindow="-10040" windowWidth="21600" windowHeight="16940"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s>
  <externalReferences>
    <externalReference r:id="rId9"/>
  </externalReferences>
  <definedNames>
    <definedName name="_xlnm._FilterDatabase" localSheetId="1" hidden="1">Companies!$A$2:$L$391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80" i="8" l="1"/>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F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D4" i="8" s="1"/>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881" i="2"/>
  <c r="G1700" i="2"/>
  <c r="G1216" i="2"/>
  <c r="F1218" i="2"/>
  <c r="F1216" i="2" s="1"/>
  <c r="F1132" i="2"/>
  <c r="G1108" i="2"/>
  <c r="F1108" i="2"/>
  <c r="G1611" i="2"/>
  <c r="F1611" i="2"/>
  <c r="G1663" i="2"/>
  <c r="G1311" i="2"/>
  <c r="F1311" i="2"/>
  <c r="G1725" i="2"/>
  <c r="F1727" i="2"/>
  <c r="F1725" i="2" s="1"/>
  <c r="F1276" i="2"/>
  <c r="G1680" i="2"/>
  <c r="F1305" i="2"/>
  <c r="F3107" i="2"/>
  <c r="F1530" i="2"/>
  <c r="G1276" i="2"/>
  <c r="G1562" i="2"/>
  <c r="F1562" i="2"/>
  <c r="F3106" i="2"/>
  <c r="G1527" i="2"/>
  <c r="F1529" i="2"/>
  <c r="G1305" i="2"/>
  <c r="G538" i="2"/>
  <c r="F3105" i="2"/>
  <c r="E3105" i="2"/>
  <c r="F3104" i="2"/>
  <c r="E3104" i="2"/>
  <c r="G1034" i="2"/>
  <c r="F1528" i="2"/>
  <c r="E1528" i="2"/>
  <c r="F3102" i="2"/>
  <c r="E3102" i="2"/>
  <c r="F3101" i="2"/>
  <c r="E3101" i="2"/>
  <c r="F3100" i="2"/>
  <c r="E3100" i="2"/>
  <c r="G809" i="2"/>
  <c r="F47" i="3"/>
  <c r="E3099" i="2"/>
  <c r="E3098" i="2"/>
  <c r="E3097" i="2"/>
  <c r="D55" i="3"/>
  <c r="D1" i="3" s="1"/>
  <c r="F55" i="3"/>
  <c r="F2862" i="2"/>
  <c r="F448" i="2"/>
  <c r="F3095" i="2"/>
  <c r="F2854" i="2"/>
  <c r="F3093" i="2"/>
  <c r="F3090" i="2"/>
  <c r="F3092" i="2"/>
  <c r="F3088" i="2"/>
  <c r="F3087" i="2"/>
  <c r="F3086" i="2"/>
  <c r="F3085" i="2"/>
  <c r="F3081" i="2"/>
  <c r="F3080" i="2"/>
  <c r="F3079" i="2"/>
  <c r="F3078" i="2"/>
  <c r="F3077"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G1250" i="2"/>
  <c r="G1636" i="2"/>
  <c r="G1570" i="2"/>
  <c r="G1039" i="2"/>
  <c r="G1584" i="2"/>
  <c r="G1468" i="2"/>
  <c r="F1717" i="2"/>
  <c r="G1717" i="2"/>
  <c r="G1696" i="2"/>
  <c r="F1696" i="2"/>
  <c r="G1085" i="2"/>
  <c r="G1315" i="2"/>
  <c r="G1127" i="2"/>
  <c r="G1075" i="2"/>
  <c r="G1184" i="2"/>
  <c r="F1184" i="2"/>
  <c r="G795" i="2"/>
  <c r="G1148" i="2"/>
  <c r="G1713" i="2"/>
  <c r="F1713" i="2"/>
  <c r="G1198" i="2"/>
  <c r="F1198" i="2"/>
  <c r="G1189" i="2"/>
  <c r="G1081" i="2"/>
  <c r="G1095" i="2"/>
  <c r="G1378" i="2"/>
  <c r="G1290" i="2"/>
  <c r="G1194" i="2"/>
  <c r="G1556" i="2"/>
  <c r="F1593" i="2"/>
  <c r="F1548" i="2"/>
  <c r="F1539" i="2"/>
  <c r="F1514" i="2"/>
  <c r="F1491" i="2"/>
  <c r="F1454" i="2"/>
  <c r="F1431" i="2"/>
  <c r="F1418" i="2"/>
  <c r="F1397" i="2"/>
  <c r="F1353" i="2"/>
  <c r="F1343" i="2"/>
  <c r="F1210" i="2"/>
  <c r="F1089" i="2"/>
  <c r="F981" i="2"/>
  <c r="F971" i="2"/>
  <c r="F940" i="2"/>
  <c r="F923" i="2"/>
  <c r="F912" i="2"/>
  <c r="F905" i="2"/>
  <c r="F649" i="2"/>
  <c r="F608" i="2"/>
  <c r="F545" i="2"/>
  <c r="F416" i="2"/>
  <c r="F387" i="2"/>
  <c r="J387" i="2" s="1"/>
  <c r="F381" i="2"/>
  <c r="J381" i="2" s="1"/>
  <c r="S45" i="3"/>
  <c r="V54" i="3"/>
  <c r="F62" i="3"/>
  <c r="P62" i="3"/>
  <c r="F93" i="3"/>
  <c r="F152" i="3"/>
  <c r="F122" i="8" s="1"/>
  <c r="F345"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1" i="2"/>
  <c r="R81" i="2"/>
  <c r="F87" i="2"/>
  <c r="F95" i="2"/>
  <c r="O81" i="2" s="1"/>
  <c r="F98" i="2"/>
  <c r="Q81" i="2" s="1"/>
  <c r="F103" i="2"/>
  <c r="F104" i="2"/>
  <c r="G106" i="2"/>
  <c r="O106" i="2"/>
  <c r="R106" i="2"/>
  <c r="F107" i="2"/>
  <c r="F111" i="2"/>
  <c r="G113" i="2"/>
  <c r="O113" i="2"/>
  <c r="R113" i="2"/>
  <c r="F114" i="2"/>
  <c r="P113" i="2" s="1"/>
  <c r="F118" i="2"/>
  <c r="G120" i="2"/>
  <c r="O120" i="2"/>
  <c r="R120" i="2"/>
  <c r="F121" i="2"/>
  <c r="P120" i="2" s="1"/>
  <c r="F124" i="2"/>
  <c r="G127" i="2"/>
  <c r="O127" i="2"/>
  <c r="Q127" i="2"/>
  <c r="F128" i="2"/>
  <c r="P127" i="2" s="1"/>
  <c r="G134" i="2"/>
  <c r="O134" i="2"/>
  <c r="F135" i="2"/>
  <c r="F140" i="2"/>
  <c r="F141" i="2"/>
  <c r="F143" i="2"/>
  <c r="G145" i="2"/>
  <c r="F150" i="2"/>
  <c r="F159" i="2"/>
  <c r="F166" i="2"/>
  <c r="F167" i="2"/>
  <c r="F171" i="2"/>
  <c r="F174" i="2"/>
  <c r="F175" i="2"/>
  <c r="F180" i="2"/>
  <c r="G183" i="2"/>
  <c r="F184" i="2"/>
  <c r="F183" i="2" s="1"/>
  <c r="G187" i="2"/>
  <c r="F188" i="2"/>
  <c r="F190" i="2"/>
  <c r="F192" i="2"/>
  <c r="F208" i="2"/>
  <c r="F209" i="2"/>
  <c r="F210" i="2"/>
  <c r="G213" i="2"/>
  <c r="F216" i="2"/>
  <c r="F217" i="2"/>
  <c r="E218" i="2"/>
  <c r="F219" i="2"/>
  <c r="F221" i="2"/>
  <c r="E223" i="2"/>
  <c r="F223" i="2"/>
  <c r="G225" i="2"/>
  <c r="F230" i="2"/>
  <c r="F234" i="2"/>
  <c r="F243" i="2"/>
  <c r="F245" i="2"/>
  <c r="G247" i="2"/>
  <c r="F248" i="2"/>
  <c r="F249" i="2"/>
  <c r="G251" i="2"/>
  <c r="F252" i="2"/>
  <c r="F253" i="2"/>
  <c r="G255" i="2"/>
  <c r="F261" i="2"/>
  <c r="F255" i="2" s="1"/>
  <c r="G273" i="2"/>
  <c r="F275" i="2"/>
  <c r="F289" i="2"/>
  <c r="F291" i="2"/>
  <c r="F294" i="2"/>
  <c r="G298" i="2"/>
  <c r="F302" i="2"/>
  <c r="F313" i="2"/>
  <c r="L318" i="2"/>
  <c r="F322" i="2"/>
  <c r="F323" i="2"/>
  <c r="F326" i="2"/>
  <c r="G332" i="2"/>
  <c r="F333" i="2"/>
  <c r="F337" i="2"/>
  <c r="F338" i="2"/>
  <c r="F341" i="2"/>
  <c r="G343" i="2"/>
  <c r="F359" i="2"/>
  <c r="G362" i="2"/>
  <c r="F368" i="2"/>
  <c r="F379" i="2"/>
  <c r="G381" i="2"/>
  <c r="G387" i="2"/>
  <c r="G400" i="2"/>
  <c r="F402" i="2"/>
  <c r="F403" i="2"/>
  <c r="F404" i="2"/>
  <c r="F411" i="2"/>
  <c r="F412" i="2"/>
  <c r="G416" i="2"/>
  <c r="G450" i="2"/>
  <c r="F451" i="2"/>
  <c r="F452" i="2"/>
  <c r="G460" i="2"/>
  <c r="F462" i="2"/>
  <c r="F466" i="2"/>
  <c r="G469" i="2"/>
  <c r="F473" i="2"/>
  <c r="F476" i="2"/>
  <c r="F478" i="2"/>
  <c r="G429" i="2"/>
  <c r="F430" i="2"/>
  <c r="F435" i="2"/>
  <c r="G480" i="2"/>
  <c r="F484" i="2"/>
  <c r="F486" i="2"/>
  <c r="F489" i="2"/>
  <c r="F490" i="2"/>
  <c r="F491" i="2"/>
  <c r="F492" i="2"/>
  <c r="F493" i="2"/>
  <c r="G502" i="2"/>
  <c r="F503" i="2"/>
  <c r="F504" i="2"/>
  <c r="F505" i="2"/>
  <c r="F507" i="2"/>
  <c r="F508" i="2"/>
  <c r="G516" i="2"/>
  <c r="F519" i="2"/>
  <c r="F525" i="2"/>
  <c r="G545" i="2"/>
  <c r="G560" i="2"/>
  <c r="F561" i="2"/>
  <c r="F568" i="2"/>
  <c r="F570" i="2"/>
  <c r="G551" i="2"/>
  <c r="F552" i="2"/>
  <c r="F554" i="2"/>
  <c r="F555" i="2"/>
  <c r="G576" i="2"/>
  <c r="F579" i="2"/>
  <c r="F580" i="2"/>
  <c r="G585" i="2"/>
  <c r="F587" i="2"/>
  <c r="F589" i="2"/>
  <c r="F590" i="2"/>
  <c r="F592" i="2"/>
  <c r="G599" i="2"/>
  <c r="F600" i="2"/>
  <c r="F601" i="2"/>
  <c r="G608" i="2"/>
  <c r="G614" i="2"/>
  <c r="J614" i="2"/>
  <c r="F632" i="2"/>
  <c r="F637" i="2"/>
  <c r="G639" i="2"/>
  <c r="F641" i="2"/>
  <c r="F642" i="2"/>
  <c r="F643" i="2"/>
  <c r="F644" i="2"/>
  <c r="G649" i="2"/>
  <c r="G662" i="2"/>
  <c r="F663" i="2"/>
  <c r="F662" i="2" s="1"/>
  <c r="G666" i="2"/>
  <c r="F674" i="2"/>
  <c r="F675" i="2"/>
  <c r="F683" i="2"/>
  <c r="G687" i="2"/>
  <c r="F688" i="2"/>
  <c r="F689" i="2"/>
  <c r="F690" i="2"/>
  <c r="G696" i="2"/>
  <c r="F698" i="2"/>
  <c r="F699" i="2"/>
  <c r="F700" i="2"/>
  <c r="F704" i="2"/>
  <c r="F705" i="2"/>
  <c r="G708" i="2"/>
  <c r="F712" i="2"/>
  <c r="F713" i="2"/>
  <c r="F715" i="2"/>
  <c r="E716" i="2"/>
  <c r="F716" i="2"/>
  <c r="G719" i="2"/>
  <c r="F720" i="2"/>
  <c r="F721" i="2"/>
  <c r="F731" i="2"/>
  <c r="F735" i="2"/>
  <c r="F737" i="2"/>
  <c r="G748" i="2"/>
  <c r="F759" i="2"/>
  <c r="F761" i="2"/>
  <c r="F768" i="2"/>
  <c r="G741" i="2"/>
  <c r="F744" i="2"/>
  <c r="F745" i="2"/>
  <c r="G770" i="2"/>
  <c r="F772" i="2"/>
  <c r="F776" i="2"/>
  <c r="F777" i="2"/>
  <c r="G782" i="2"/>
  <c r="F786" i="2"/>
  <c r="F790" i="2"/>
  <c r="G800" i="2"/>
  <c r="F801" i="2"/>
  <c r="G818" i="2"/>
  <c r="F823" i="2"/>
  <c r="F818" i="2" s="1"/>
  <c r="G826" i="2"/>
  <c r="F829" i="2"/>
  <c r="F831" i="2"/>
  <c r="G835" i="2"/>
  <c r="F839" i="2"/>
  <c r="F840" i="2"/>
  <c r="F848" i="2"/>
  <c r="G853" i="2"/>
  <c r="F861" i="2"/>
  <c r="F853" i="2" s="1"/>
  <c r="G868" i="2"/>
  <c r="F870" i="2"/>
  <c r="F872" i="2"/>
  <c r="F873" i="2"/>
  <c r="G877" i="2"/>
  <c r="F878" i="2"/>
  <c r="F877" i="2" s="1"/>
  <c r="G440" i="2"/>
  <c r="F443" i="2"/>
  <c r="G905" i="2"/>
  <c r="G912" i="2"/>
  <c r="G918" i="2"/>
  <c r="F919" i="2"/>
  <c r="F920" i="2"/>
  <c r="F921" i="2"/>
  <c r="G923" i="2"/>
  <c r="G933" i="2"/>
  <c r="E938" i="2"/>
  <c r="F938" i="2"/>
  <c r="F933" i="2" s="1"/>
  <c r="G940" i="2"/>
  <c r="G887" i="2"/>
  <c r="F891" i="2"/>
  <c r="F892" i="2"/>
  <c r="E893" i="2"/>
  <c r="F893" i="2" s="1"/>
  <c r="G896" i="2"/>
  <c r="F899" i="2"/>
  <c r="F900" i="2"/>
  <c r="G947" i="2"/>
  <c r="F948" i="2"/>
  <c r="F951" i="2"/>
  <c r="F954" i="2"/>
  <c r="F955" i="2"/>
  <c r="G958" i="2"/>
  <c r="F959" i="2"/>
  <c r="F961" i="2"/>
  <c r="F962" i="2"/>
  <c r="G971" i="2"/>
  <c r="G981" i="2"/>
  <c r="I981" i="2"/>
  <c r="G993" i="2"/>
  <c r="F998" i="2"/>
  <c r="G1001" i="2"/>
  <c r="F1017" i="2"/>
  <c r="F1018" i="2"/>
  <c r="F1019" i="2"/>
  <c r="G1021" i="2"/>
  <c r="F1022" i="2"/>
  <c r="F1023" i="2"/>
  <c r="F1026" i="2"/>
  <c r="F1028" i="2"/>
  <c r="F1029" i="2"/>
  <c r="F1030" i="2"/>
  <c r="G1060" i="2"/>
  <c r="F1062" i="2"/>
  <c r="F1060" i="2" s="1"/>
  <c r="G1046" i="2"/>
  <c r="F1047" i="2"/>
  <c r="F1046" i="2" s="1"/>
  <c r="G1067" i="2"/>
  <c r="F1070" i="2"/>
  <c r="F1067" i="2" s="1"/>
  <c r="G1089" i="2"/>
  <c r="G1112" i="2"/>
  <c r="F1116" i="2"/>
  <c r="F1117" i="2"/>
  <c r="F1125" i="2"/>
  <c r="G1132" i="2"/>
  <c r="G1137" i="2"/>
  <c r="F1138" i="2"/>
  <c r="F1139" i="2"/>
  <c r="F1142" i="2"/>
  <c r="G1156" i="2"/>
  <c r="F1158" i="2"/>
  <c r="F1159" i="2"/>
  <c r="F1163" i="2"/>
  <c r="G1163" i="2"/>
  <c r="G1167" i="2"/>
  <c r="F1168" i="2"/>
  <c r="F1167" i="2" s="1"/>
  <c r="G1173" i="2"/>
  <c r="F1174" i="2"/>
  <c r="F1180" i="2"/>
  <c r="G1210" i="2"/>
  <c r="G1220" i="2"/>
  <c r="F1221" i="2"/>
  <c r="F1222" i="2"/>
  <c r="F1227" i="2"/>
  <c r="G1229" i="2"/>
  <c r="F1230" i="2"/>
  <c r="F1233" i="2"/>
  <c r="F1235" i="2"/>
  <c r="G1239" i="2"/>
  <c r="F1240" i="2"/>
  <c r="F1245" i="2"/>
  <c r="G1257" i="2"/>
  <c r="F1264" i="2"/>
  <c r="F1257" i="2" s="1"/>
  <c r="G1267" i="2"/>
  <c r="F1270" i="2"/>
  <c r="F1267" i="2" s="1"/>
  <c r="G1284" i="2"/>
  <c r="F1285" i="2"/>
  <c r="F1284" i="2" s="1"/>
  <c r="G1294" i="2"/>
  <c r="F1297" i="2"/>
  <c r="F1299" i="2"/>
  <c r="G1329" i="2"/>
  <c r="F1331" i="2"/>
  <c r="F1329" i="2" s="1"/>
  <c r="G1333" i="2"/>
  <c r="F1335" i="2"/>
  <c r="F1333" i="2" s="1"/>
  <c r="G1343" i="2"/>
  <c r="G1347" i="2"/>
  <c r="F1349" i="2"/>
  <c r="F1347" i="2" s="1"/>
  <c r="G1359" i="2"/>
  <c r="F1360" i="2"/>
  <c r="F1361" i="2"/>
  <c r="G1366" i="2"/>
  <c r="F1367" i="2"/>
  <c r="F1368" i="2"/>
  <c r="G1319" i="2"/>
  <c r="F1321" i="2"/>
  <c r="F1324" i="2"/>
  <c r="G1373" i="2"/>
  <c r="F1374" i="2"/>
  <c r="F1375" i="2"/>
  <c r="G1353" i="2"/>
  <c r="G1382" i="2"/>
  <c r="F1386" i="2"/>
  <c r="F1387" i="2"/>
  <c r="G1392" i="2"/>
  <c r="F1393" i="2"/>
  <c r="F1392" i="2" s="1"/>
  <c r="G1397" i="2"/>
  <c r="G1404" i="2"/>
  <c r="F1405" i="2"/>
  <c r="F1407" i="2"/>
  <c r="G1409" i="2"/>
  <c r="F1410" i="2"/>
  <c r="F1411" i="2"/>
  <c r="G1418" i="2"/>
  <c r="G1101" i="2"/>
  <c r="F1102" i="2"/>
  <c r="F1101" i="2" s="1"/>
  <c r="G1424" i="2"/>
  <c r="F1425" i="2"/>
  <c r="F1424" i="2" s="1"/>
  <c r="G1431" i="2"/>
  <c r="G1437" i="2"/>
  <c r="F1439" i="2"/>
  <c r="F1437" i="2" s="1"/>
  <c r="G1443" i="2"/>
  <c r="F1447" i="2"/>
  <c r="F1443" i="2" s="1"/>
  <c r="G1450" i="2"/>
  <c r="F1451" i="2"/>
  <c r="F1450" i="2" s="1"/>
  <c r="G1203" i="2"/>
  <c r="F1204" i="2"/>
  <c r="F1203" i="2" s="1"/>
  <c r="G1454" i="2"/>
  <c r="F1459" i="2"/>
  <c r="G1459" i="2"/>
  <c r="G1472" i="2"/>
  <c r="F1476" i="2"/>
  <c r="F1472" i="2" s="1"/>
  <c r="G1479" i="2"/>
  <c r="F1480" i="2"/>
  <c r="F1479" i="2" s="1"/>
  <c r="F1486" i="2"/>
  <c r="G1486" i="2"/>
  <c r="G1463" i="2"/>
  <c r="F1465" i="2"/>
  <c r="F1463" i="2" s="1"/>
  <c r="G1491" i="2"/>
  <c r="G1496" i="2"/>
  <c r="F1500" i="2"/>
  <c r="F1501" i="2"/>
  <c r="G1503" i="2"/>
  <c r="F1505" i="2"/>
  <c r="F1503" i="2" s="1"/>
  <c r="G1507" i="2"/>
  <c r="F1508" i="2"/>
  <c r="F1507" i="2" s="1"/>
  <c r="G1514" i="2"/>
  <c r="F1521" i="2"/>
  <c r="G1521" i="2"/>
  <c r="G1539" i="2"/>
  <c r="G1543" i="2"/>
  <c r="F1545" i="2"/>
  <c r="F1546" i="2"/>
  <c r="G1532" i="2"/>
  <c r="F1533" i="2"/>
  <c r="F1534" i="2"/>
  <c r="G1548" i="2"/>
  <c r="F1552" i="2"/>
  <c r="G1552" i="2"/>
  <c r="G1566" i="2"/>
  <c r="F1568" i="2"/>
  <c r="F1566" i="2" s="1"/>
  <c r="G1575" i="2"/>
  <c r="F1576" i="2"/>
  <c r="F1575" i="2" s="1"/>
  <c r="F1579" i="2"/>
  <c r="G1579" i="2"/>
  <c r="G1589" i="2"/>
  <c r="F1590" i="2"/>
  <c r="F1589" i="2" s="1"/>
  <c r="G1593" i="2"/>
  <c r="G1599" i="2"/>
  <c r="F1602" i="2"/>
  <c r="F1599" i="2" s="1"/>
  <c r="G1607" i="2"/>
  <c r="F1608" i="2"/>
  <c r="F1607" i="2" s="1"/>
  <c r="G1615" i="2"/>
  <c r="F1616" i="2"/>
  <c r="F1615" i="2" s="1"/>
  <c r="G1619" i="2"/>
  <c r="F1621" i="2"/>
  <c r="F1619" i="2" s="1"/>
  <c r="G1623" i="2"/>
  <c r="F1624" i="2"/>
  <c r="F1623" i="2" s="1"/>
  <c r="G1627" i="2"/>
  <c r="F1628" i="2"/>
  <c r="F1627" i="2" s="1"/>
  <c r="F1557" i="2"/>
  <c r="F1556" i="2" s="1"/>
  <c r="F1631" i="2"/>
  <c r="G1631" i="2"/>
  <c r="G1646" i="2"/>
  <c r="F1647" i="2"/>
  <c r="F1648" i="2"/>
  <c r="G1650" i="2"/>
  <c r="F1651" i="2"/>
  <c r="F1650" i="2" s="1"/>
  <c r="F1654" i="2"/>
  <c r="G1654" i="2"/>
  <c r="G1658" i="2"/>
  <c r="F1659" i="2"/>
  <c r="F1658" i="2" s="1"/>
  <c r="F1667" i="2"/>
  <c r="G1667" i="2"/>
  <c r="G1640" i="2"/>
  <c r="F1642" i="2"/>
  <c r="F1640" i="2" s="1"/>
  <c r="G1671" i="2"/>
  <c r="F1672" i="2"/>
  <c r="F1673" i="2"/>
  <c r="F1675" i="2"/>
  <c r="G1675" i="2"/>
  <c r="G1685" i="2"/>
  <c r="F1686" i="2"/>
  <c r="F1685" i="2" s="1"/>
  <c r="G1689" i="2"/>
  <c r="F1690" i="2"/>
  <c r="F1693" i="2"/>
  <c r="G1704" i="2"/>
  <c r="F1705" i="2"/>
  <c r="F1704" i="2" s="1"/>
  <c r="G1708" i="2"/>
  <c r="F1710" i="2"/>
  <c r="F1708" i="2" s="1"/>
  <c r="G1721" i="2"/>
  <c r="F1723" i="2"/>
  <c r="F1721" i="2" s="1"/>
  <c r="F1731" i="2"/>
  <c r="F1196" i="2"/>
  <c r="F1194" i="2" s="1"/>
  <c r="F1292" i="2"/>
  <c r="F1290" i="2" s="1"/>
  <c r="F1380" i="2"/>
  <c r="F1378" i="2" s="1"/>
  <c r="F1083" i="2"/>
  <c r="F1081" i="2" s="1"/>
  <c r="F1191" i="2"/>
  <c r="F1189" i="2" s="1"/>
  <c r="E1192" i="2"/>
  <c r="F1097" i="2"/>
  <c r="F1098" i="2"/>
  <c r="F1761" i="2"/>
  <c r="F1763" i="2"/>
  <c r="F1764" i="2"/>
  <c r="F1768" i="2"/>
  <c r="F1769" i="2"/>
  <c r="F1770" i="2"/>
  <c r="F1771" i="2"/>
  <c r="F1772" i="2"/>
  <c r="F1773" i="2"/>
  <c r="F1774" i="2"/>
  <c r="F1775" i="2"/>
  <c r="F1776" i="2"/>
  <c r="F1790" i="2"/>
  <c r="F1791" i="2"/>
  <c r="F1792" i="2"/>
  <c r="F1794" i="2"/>
  <c r="F1795" i="2"/>
  <c r="F1796" i="2"/>
  <c r="F1798" i="2"/>
  <c r="F1799" i="2"/>
  <c r="F1150" i="2"/>
  <c r="E1153" i="2"/>
  <c r="F1153" i="2" s="1"/>
  <c r="F1154" i="2"/>
  <c r="F1804" i="2"/>
  <c r="F1810" i="2"/>
  <c r="F1811" i="2"/>
  <c r="F1812" i="2"/>
  <c r="F1813" i="2"/>
  <c r="F1814" i="2"/>
  <c r="F1815" i="2"/>
  <c r="F1816" i="2"/>
  <c r="F1817" i="2"/>
  <c r="F1818" i="2"/>
  <c r="F1076" i="2"/>
  <c r="F1075" i="2" s="1"/>
  <c r="F1128" i="2"/>
  <c r="F1127" i="2" s="1"/>
  <c r="F1820" i="2"/>
  <c r="F1821" i="2"/>
  <c r="F1822" i="2"/>
  <c r="F1823" i="2"/>
  <c r="F1824" i="2"/>
  <c r="F1825" i="2"/>
  <c r="F1826" i="2"/>
  <c r="F1827" i="2"/>
  <c r="F1828" i="2"/>
  <c r="F1829" i="2"/>
  <c r="F797" i="2"/>
  <c r="F798" i="2"/>
  <c r="F1664" i="2"/>
  <c r="F1663" i="2" s="1"/>
  <c r="F1842" i="2"/>
  <c r="F1843" i="2"/>
  <c r="F1847" i="2"/>
  <c r="F1316" i="2"/>
  <c r="F1317" i="2"/>
  <c r="F1086" i="2"/>
  <c r="F1087" i="2"/>
  <c r="F1854" i="2"/>
  <c r="F1861" i="2"/>
  <c r="F1862" i="2"/>
  <c r="F1863" i="2"/>
  <c r="F1864" i="2"/>
  <c r="F1865" i="2"/>
  <c r="F1876" i="2"/>
  <c r="F1877" i="2"/>
  <c r="F1878" i="2"/>
  <c r="F1891" i="2"/>
  <c r="F1892" i="2"/>
  <c r="F1893" i="2"/>
  <c r="F1894" i="2"/>
  <c r="F1895" i="2"/>
  <c r="F1896" i="2"/>
  <c r="F1897" i="2"/>
  <c r="F1469" i="2"/>
  <c r="F1470" i="2"/>
  <c r="F1585" i="2"/>
  <c r="F1586" i="2"/>
  <c r="F1571" i="2"/>
  <c r="F1572" i="2"/>
  <c r="F1637" i="2"/>
  <c r="F1638" i="2"/>
  <c r="F1251" i="2"/>
  <c r="F1250" i="2" s="1"/>
  <c r="F1701" i="2"/>
  <c r="F1700" i="2" s="1"/>
  <c r="F1899" i="2"/>
  <c r="F1681" i="2"/>
  <c r="F1680" i="2" s="1"/>
  <c r="F1902" i="2"/>
  <c r="F1905" i="2"/>
  <c r="F1908" i="2"/>
  <c r="F1911" i="2"/>
  <c r="F1914" i="2"/>
  <c r="F1918" i="2"/>
  <c r="F1926" i="2"/>
  <c r="F1951" i="2"/>
  <c r="F1958" i="2"/>
  <c r="F1971" i="2"/>
  <c r="F1972" i="2"/>
  <c r="F1975" i="2"/>
  <c r="F1976" i="2"/>
  <c r="F1982" i="2"/>
  <c r="F1983" i="2"/>
  <c r="F1987" i="2"/>
  <c r="F1988" i="2"/>
  <c r="F1999" i="2"/>
  <c r="F2002" i="2"/>
  <c r="F2007" i="2"/>
  <c r="F2025" i="2"/>
  <c r="F2037" i="2"/>
  <c r="F2040" i="2"/>
  <c r="F2053" i="2"/>
  <c r="F2054" i="2"/>
  <c r="F2069" i="2"/>
  <c r="F2075" i="2"/>
  <c r="F2079" i="2"/>
  <c r="F2083" i="2"/>
  <c r="F2113" i="2"/>
  <c r="F2117" i="2"/>
  <c r="F2119" i="2"/>
  <c r="F2122" i="2"/>
  <c r="F2123" i="2"/>
  <c r="F2124" i="2"/>
  <c r="F2125" i="2"/>
  <c r="F2126" i="2"/>
  <c r="F2128" i="2"/>
  <c r="F2129" i="2"/>
  <c r="F2130" i="2"/>
  <c r="F2131" i="2"/>
  <c r="F2132" i="2"/>
  <c r="F2133" i="2"/>
  <c r="F2134" i="2"/>
  <c r="F2135" i="2"/>
  <c r="F2136" i="2"/>
  <c r="F2138" i="2"/>
  <c r="F2141" i="2"/>
  <c r="F2145" i="2"/>
  <c r="F2147" i="2"/>
  <c r="F2148" i="2"/>
  <c r="F2156" i="2"/>
  <c r="F2157" i="2"/>
  <c r="F2159" i="2"/>
  <c r="F2160" i="2"/>
  <c r="F2162" i="2"/>
  <c r="F2163" i="2"/>
  <c r="F2177" i="2"/>
  <c r="F2178" i="2"/>
  <c r="F2179" i="2"/>
  <c r="F2180" i="2"/>
  <c r="F2181" i="2"/>
  <c r="F2194" i="2"/>
  <c r="F2195" i="2"/>
  <c r="F2196" i="2"/>
  <c r="F2197" i="2"/>
  <c r="F2198" i="2"/>
  <c r="F2199" i="2"/>
  <c r="F2200" i="2"/>
  <c r="F2202" i="2"/>
  <c r="F2207" i="2"/>
  <c r="F2211" i="2"/>
  <c r="F2214" i="2"/>
  <c r="F2215" i="2"/>
  <c r="F2217" i="2"/>
  <c r="F2219" i="2"/>
  <c r="F2221" i="2"/>
  <c r="F2222" i="2"/>
  <c r="F2224" i="2"/>
  <c r="F2225" i="2"/>
  <c r="F2227" i="2"/>
  <c r="F2229" i="2"/>
  <c r="F2230" i="2"/>
  <c r="F2239" i="2"/>
  <c r="F2240" i="2"/>
  <c r="F2242" i="2"/>
  <c r="F2243" i="2"/>
  <c r="F2254" i="2"/>
  <c r="F2272" i="2"/>
  <c r="F2276" i="2"/>
  <c r="F2277" i="2"/>
  <c r="F2284" i="2"/>
  <c r="F2293" i="2"/>
  <c r="F2294" i="2"/>
  <c r="F2296" i="2"/>
  <c r="F2297" i="2"/>
  <c r="F2300" i="2"/>
  <c r="F2314" i="2"/>
  <c r="F2315" i="2"/>
  <c r="F2318" i="2"/>
  <c r="F883" i="2"/>
  <c r="F881" i="2" s="1"/>
  <c r="F2331" i="2"/>
  <c r="F2345" i="2"/>
  <c r="F2354" i="2"/>
  <c r="F2377" i="2"/>
  <c r="F1036" i="2"/>
  <c r="F1034" i="2" s="1"/>
  <c r="F2394" i="2"/>
  <c r="F2397" i="2"/>
  <c r="F2400" i="2"/>
  <c r="F2402" i="2"/>
  <c r="F2426" i="2"/>
  <c r="F2427" i="2"/>
  <c r="F2430" i="2"/>
  <c r="F2431" i="2"/>
  <c r="F2432" i="2"/>
  <c r="F2433" i="2"/>
  <c r="F2434" i="2"/>
  <c r="F2440" i="2"/>
  <c r="F2441" i="2"/>
  <c r="F2442" i="2"/>
  <c r="F2446" i="2"/>
  <c r="F2447" i="2"/>
  <c r="F2448" i="2"/>
  <c r="F2450" i="2"/>
  <c r="F2477" i="2"/>
  <c r="F2478" i="2"/>
  <c r="F2480" i="2"/>
  <c r="F2481" i="2"/>
  <c r="F2485" i="2"/>
  <c r="F2491" i="2"/>
  <c r="F2492" i="2"/>
  <c r="F2495" i="2"/>
  <c r="F2497" i="2"/>
  <c r="F2498" i="2"/>
  <c r="F2500" i="2"/>
  <c r="F2501" i="2"/>
  <c r="F2505" i="2"/>
  <c r="F2506" i="2"/>
  <c r="F2507" i="2"/>
  <c r="F2508" i="2"/>
  <c r="F2510" i="2"/>
  <c r="F2511" i="2"/>
  <c r="F2512" i="2"/>
  <c r="F2513" i="2"/>
  <c r="F2514" i="2"/>
  <c r="F2515" i="2"/>
  <c r="F2518" i="2"/>
  <c r="F2521" i="2"/>
  <c r="F2534" i="2"/>
  <c r="F2535" i="2"/>
  <c r="F2536" i="2"/>
  <c r="F2540" i="2"/>
  <c r="F2541" i="2"/>
  <c r="F2544" i="2"/>
  <c r="F2545" i="2"/>
  <c r="F2547" i="2"/>
  <c r="F2551" i="2"/>
  <c r="F2552" i="2"/>
  <c r="L2556" i="2"/>
  <c r="F2557" i="2"/>
  <c r="L2559" i="2"/>
  <c r="F2561" i="2"/>
  <c r="L2562" i="2"/>
  <c r="L2563" i="2"/>
  <c r="L2565" i="2"/>
  <c r="L2567" i="2"/>
  <c r="L2568" i="2"/>
  <c r="F2569" i="2"/>
  <c r="F2570" i="2"/>
  <c r="F2571" i="2"/>
  <c r="F2572" i="2"/>
  <c r="F2586" i="2"/>
  <c r="F2587" i="2"/>
  <c r="F2589" i="2"/>
  <c r="F2590" i="2"/>
  <c r="F2591" i="2"/>
  <c r="F2592" i="2"/>
  <c r="F2597" i="2"/>
  <c r="F2603" i="2"/>
  <c r="F2604" i="2"/>
  <c r="F2607" i="2"/>
  <c r="F2608" i="2"/>
  <c r="F2609" i="2"/>
  <c r="F2610" i="2"/>
  <c r="F2611" i="2"/>
  <c r="F2612" i="2"/>
  <c r="F2613" i="2"/>
  <c r="F2619" i="2"/>
  <c r="F2621" i="2"/>
  <c r="F2622" i="2"/>
  <c r="F2624" i="2"/>
  <c r="F2628" i="2"/>
  <c r="F2632" i="2"/>
  <c r="F2633" i="2"/>
  <c r="F2635" i="2"/>
  <c r="F2636" i="2"/>
  <c r="F2644" i="2"/>
  <c r="F2645" i="2"/>
  <c r="F2646" i="2"/>
  <c r="F2647" i="2"/>
  <c r="F2648" i="2"/>
  <c r="F2649" i="2"/>
  <c r="F2651" i="2"/>
  <c r="F539" i="2"/>
  <c r="F538" i="2" s="1"/>
  <c r="F2654" i="2"/>
  <c r="F2655" i="2"/>
  <c r="F2656" i="2"/>
  <c r="F2657" i="2"/>
  <c r="F2661" i="2"/>
  <c r="F2663" i="2"/>
  <c r="F2671" i="2"/>
  <c r="F2674" i="2"/>
  <c r="E2676" i="2"/>
  <c r="F2678" i="2"/>
  <c r="F2683" i="2"/>
  <c r="F2684" i="2"/>
  <c r="F2685" i="2"/>
  <c r="F2686" i="2"/>
  <c r="F2687" i="2"/>
  <c r="F2692" i="2"/>
  <c r="F2701" i="2"/>
  <c r="F2702" i="2"/>
  <c r="F2703" i="2"/>
  <c r="F2705" i="2"/>
  <c r="F2709" i="2"/>
  <c r="F2710" i="2"/>
  <c r="F2711" i="2"/>
  <c r="F2712" i="2"/>
  <c r="F2713" i="2"/>
  <c r="E2714" i="2"/>
  <c r="F2714" i="2"/>
  <c r="F2717" i="2"/>
  <c r="F2718" i="2"/>
  <c r="F2719" i="2"/>
  <c r="F2720" i="2"/>
  <c r="F2721" i="2"/>
  <c r="F2722" i="2"/>
  <c r="F2723" i="2"/>
  <c r="F2724" i="2"/>
  <c r="F2726" i="2"/>
  <c r="F2729" i="2"/>
  <c r="F2731" i="2"/>
  <c r="F2736" i="2"/>
  <c r="F2738" i="2"/>
  <c r="F2751" i="2"/>
  <c r="F2752" i="2"/>
  <c r="F2753" i="2"/>
  <c r="F2754" i="2"/>
  <c r="F2755" i="2"/>
  <c r="F2756" i="2"/>
  <c r="F2758" i="2"/>
  <c r="F2760" i="2"/>
  <c r="F2763" i="2"/>
  <c r="F2764" i="2"/>
  <c r="F2765" i="2"/>
  <c r="F2766" i="2"/>
  <c r="F2767" i="2"/>
  <c r="F2768" i="2"/>
  <c r="F2769" i="2"/>
  <c r="F2770" i="2"/>
  <c r="F2771" i="2"/>
  <c r="F2772" i="2"/>
  <c r="F2773" i="2"/>
  <c r="F2774" i="2"/>
  <c r="F2775" i="2"/>
  <c r="F2776" i="2"/>
  <c r="F2777" i="2"/>
  <c r="F2778" i="2"/>
  <c r="F2779" i="2"/>
  <c r="F2780" i="2"/>
  <c r="F2787" i="2"/>
  <c r="F2794" i="2"/>
  <c r="E2797" i="2"/>
  <c r="F2800" i="2"/>
  <c r="F2801" i="2"/>
  <c r="F2806" i="2"/>
  <c r="F2808" i="2"/>
  <c r="F2809" i="2"/>
  <c r="F2810" i="2"/>
  <c r="F2811" i="2"/>
  <c r="F2814" i="2"/>
  <c r="F2817" i="2"/>
  <c r="F2819" i="2"/>
  <c r="F2820" i="2"/>
  <c r="F2821" i="2"/>
  <c r="F1042" i="2"/>
  <c r="F1039" i="2" s="1"/>
  <c r="F2834" i="2"/>
  <c r="F2835" i="2"/>
  <c r="F2848" i="2"/>
  <c r="F2849" i="2"/>
  <c r="F2850" i="2"/>
  <c r="F2853" i="2"/>
  <c r="F2864" i="2"/>
  <c r="F2865" i="2"/>
  <c r="F2866" i="2"/>
  <c r="F2868" i="2"/>
  <c r="F2869" i="2"/>
  <c r="F2870" i="2"/>
  <c r="F2871" i="2"/>
  <c r="F2872" i="2"/>
  <c r="F2873" i="2"/>
  <c r="F2874" i="2"/>
  <c r="F2875" i="2"/>
  <c r="F2880" i="2"/>
  <c r="F2881" i="2"/>
  <c r="F2882" i="2"/>
  <c r="F2884" i="2"/>
  <c r="F2886" i="2"/>
  <c r="F2889" i="2"/>
  <c r="F2892" i="2"/>
  <c r="F2893" i="2"/>
  <c r="F2895" i="2"/>
  <c r="F2897" i="2"/>
  <c r="F2899" i="2"/>
  <c r="F2905" i="2"/>
  <c r="F2907" i="2"/>
  <c r="F2908" i="2"/>
  <c r="F2909" i="2"/>
  <c r="F2910" i="2"/>
  <c r="F2912" i="2"/>
  <c r="F2915" i="2"/>
  <c r="F2916" i="2"/>
  <c r="F2918" i="2"/>
  <c r="F2919" i="2"/>
  <c r="F2921" i="2"/>
  <c r="F2923" i="2"/>
  <c r="F2924" i="2"/>
  <c r="F2928" i="2"/>
  <c r="I2929" i="2"/>
  <c r="I2932" i="2"/>
  <c r="F2935" i="2"/>
  <c r="F2938" i="2"/>
  <c r="F2939" i="2"/>
  <c r="K2940" i="2"/>
  <c r="K2942" i="2"/>
  <c r="F2943" i="2"/>
  <c r="K2943" i="2" s="1"/>
  <c r="F2945" i="2"/>
  <c r="K2945" i="2" s="1"/>
  <c r="F810" i="2"/>
  <c r="K810" i="2" s="1"/>
  <c r="F811" i="2"/>
  <c r="K811" i="2" s="1"/>
  <c r="K812" i="2"/>
  <c r="K813" i="2"/>
  <c r="F2947" i="2"/>
  <c r="K2947" i="2" s="1"/>
  <c r="F2948" i="2"/>
  <c r="K2948" i="2" s="1"/>
  <c r="K2949" i="2"/>
  <c r="E2951" i="2"/>
  <c r="E2954" i="2"/>
  <c r="E2955" i="2"/>
  <c r="F2955" i="2" s="1"/>
  <c r="E2957" i="2"/>
  <c r="E2958" i="2"/>
  <c r="F2959" i="2"/>
  <c r="E2960" i="2"/>
  <c r="E2961" i="2"/>
  <c r="F2961" i="2" s="1"/>
  <c r="F2963" i="2"/>
  <c r="F2965" i="2"/>
  <c r="F2966" i="2"/>
  <c r="F2968" i="2"/>
  <c r="F2969" i="2"/>
  <c r="F2970" i="2"/>
  <c r="F2971" i="2"/>
  <c r="F2972" i="2"/>
  <c r="F2983" i="2"/>
  <c r="F2984" i="2"/>
  <c r="F2992" i="2"/>
  <c r="F2994" i="2"/>
  <c r="F2995" i="2"/>
  <c r="F2997" i="2"/>
  <c r="F3003" i="2"/>
  <c r="F3007" i="2"/>
  <c r="F3009" i="2"/>
  <c r="F3010" i="2"/>
  <c r="F3011" i="2"/>
  <c r="E3014" i="2"/>
  <c r="E3015" i="2"/>
  <c r="F3015" i="2"/>
  <c r="F3016" i="2"/>
  <c r="F3017" i="2"/>
  <c r="F3021" i="2"/>
  <c r="F3022" i="2"/>
  <c r="F3025" i="2"/>
  <c r="F3028" i="2"/>
  <c r="F3033" i="2"/>
  <c r="F3063" i="2"/>
  <c r="F3074" i="2"/>
  <c r="F1220" i="2" l="1"/>
  <c r="F440" i="2"/>
  <c r="F460" i="2"/>
  <c r="F450" i="2"/>
  <c r="F429" i="2"/>
  <c r="F1112" i="2"/>
  <c r="F1319" i="2"/>
  <c r="F1527" i="2"/>
  <c r="F809" i="2"/>
  <c r="F1294" i="2"/>
  <c r="F551" i="2"/>
  <c r="F782" i="2"/>
  <c r="F826" i="2"/>
  <c r="F560" i="2"/>
  <c r="J560" i="2" s="1"/>
  <c r="A42" i="3"/>
  <c r="A43" i="3" s="1"/>
  <c r="A44" i="3" s="1"/>
  <c r="A45" i="3" s="1"/>
  <c r="A46" i="3" s="1"/>
  <c r="A48" i="3" s="1"/>
  <c r="A49" i="3" s="1"/>
  <c r="A50" i="3" s="1"/>
  <c r="A51" i="3" s="1"/>
  <c r="A52" i="3" s="1"/>
  <c r="A54"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F896" i="2"/>
  <c r="F298" i="2"/>
  <c r="J298" i="2" s="1"/>
  <c r="F1636" i="2"/>
  <c r="F1570" i="2"/>
  <c r="F1584" i="2"/>
  <c r="F1468" i="2"/>
  <c r="F1085" i="2"/>
  <c r="F1315" i="2"/>
  <c r="F795" i="2"/>
  <c r="F1148" i="2"/>
  <c r="F1095" i="2"/>
  <c r="F1373" i="2"/>
  <c r="F1543" i="2"/>
  <c r="F1382" i="2"/>
  <c r="F1366" i="2"/>
  <c r="F1496" i="2"/>
  <c r="F1173" i="2"/>
  <c r="F1404" i="2"/>
  <c r="F1532" i="2"/>
  <c r="F1409" i="2"/>
  <c r="F1156" i="2"/>
  <c r="F1359" i="2"/>
  <c r="F1229" i="2"/>
  <c r="F1239" i="2"/>
  <c r="F947" i="2"/>
  <c r="F614" i="2"/>
  <c r="J615" i="2" s="1"/>
  <c r="F1137" i="2"/>
  <c r="F362" i="2"/>
  <c r="J362" i="2" s="1"/>
  <c r="F1021" i="2"/>
  <c r="F958" i="2"/>
  <c r="F993" i="2"/>
  <c r="F835" i="2"/>
  <c r="F708" i="2"/>
  <c r="F687" i="2"/>
  <c r="F639" i="2"/>
  <c r="F599" i="2"/>
  <c r="F516" i="2"/>
  <c r="F106" i="2"/>
  <c r="F918" i="2"/>
  <c r="F868" i="2"/>
  <c r="F770" i="2"/>
  <c r="F127" i="2"/>
  <c r="F251" i="2"/>
  <c r="F887" i="2"/>
  <c r="F469" i="2"/>
  <c r="F480" i="2"/>
  <c r="F225" i="2"/>
  <c r="J225" i="2" s="1"/>
  <c r="F134" i="2"/>
  <c r="J981" i="2"/>
  <c r="F741" i="2"/>
  <c r="F719" i="2"/>
  <c r="F666" i="2"/>
  <c r="F585" i="2"/>
  <c r="J585" i="2" s="1"/>
  <c r="F502" i="2"/>
  <c r="F400" i="2"/>
  <c r="F800" i="2"/>
  <c r="J800" i="2" s="1"/>
  <c r="F696" i="2"/>
  <c r="F18" i="2"/>
  <c r="J877" i="2"/>
  <c r="F46" i="2"/>
  <c r="J46" i="2" s="1"/>
  <c r="F748" i="2"/>
  <c r="F576" i="2"/>
  <c r="F332" i="2"/>
  <c r="F247" i="2"/>
  <c r="F213" i="2"/>
  <c r="F187" i="2"/>
  <c r="J187" i="2" s="1"/>
  <c r="F145" i="2"/>
  <c r="J145" i="2" s="1"/>
  <c r="F343" i="2"/>
  <c r="J343" i="2" s="1"/>
  <c r="F81" i="2"/>
  <c r="J81" i="2" s="1"/>
  <c r="F273" i="2"/>
  <c r="J273" i="2" s="1"/>
  <c r="F113" i="2"/>
  <c r="J113" i="2" s="1"/>
  <c r="F1671" i="2"/>
  <c r="J255" i="2"/>
  <c r="F120" i="2"/>
  <c r="F1689" i="2"/>
  <c r="F1646" i="2"/>
  <c r="O46" i="2"/>
  <c r="P106" i="2"/>
  <c r="P81" i="2"/>
  <c r="P1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42"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614"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800"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sharedStrings.xml><?xml version="1.0" encoding="utf-8"?>
<sst xmlns="http://schemas.openxmlformats.org/spreadsheetml/2006/main" count="15942" uniqueCount="4673">
  <si>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</si>
  <si>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</si>
  <si>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</si>
  <si>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</si>
  <si>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</si>
  <si>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</si>
  <si>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</si>
  <si>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</si>
  <si>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</si>
  <si>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</si>
  <si>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</si>
  <si>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</si>
  <si>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</si>
  <si>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</si>
  <si>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</si>
  <si>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</si>
  <si>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</si>
  <si>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</si>
  <si>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</si>
  <si>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</si>
  <si>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</si>
  <si>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</si>
  <si>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</si>
  <si>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</si>
  <si>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</si>
  <si>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</si>
  <si>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</si>
  <si>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</si>
  <si>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</si>
  <si>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</si>
  <si>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</si>
  <si>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</si>
  <si>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</si>
  <si>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</si>
  <si>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</si>
  <si>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</si>
  <si>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</si>
  <si>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</si>
  <si>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</si>
  <si>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</si>
  <si>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</si>
  <si>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</si>
  <si>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</si>
  <si>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</si>
  <si>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</si>
  <si>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</si>
  <si>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</si>
  <si>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</si>
  <si>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</si>
  <si>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</si>
  <si>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</si>
  <si>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</si>
  <si>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</si>
  <si>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</si>
  <si>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</si>
  <si>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</si>
  <si>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</si>
  <si>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</si>
  <si>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</si>
  <si>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</si>
  <si>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</si>
  <si>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</si>
  <si>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</si>
  <si>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</si>
  <si>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</si>
  <si>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</si>
  <si>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</si>
  <si>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</si>
  <si>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</si>
  <si>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</si>
  <si>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</si>
  <si>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</si>
  <si>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</si>
  <si>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</si>
  <si>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</si>
  <si>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</si>
  <si>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</si>
  <si>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</si>
  <si>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</si>
  <si>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</si>
  <si>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</si>
  <si>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</si>
  <si>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</si>
  <si>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</si>
  <si>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</si>
  <si>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</si>
  <si>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</si>
  <si>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</si>
  <si>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</si>
  <si>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</si>
  <si>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</si>
  <si>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</si>
  <si>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</si>
  <si>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</si>
  <si>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</si>
  <si>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</si>
  <si>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</si>
  <si>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</si>
  <si>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</si>
  <si>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</si>
  <si>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</si>
  <si>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</si>
  <si>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</si>
  <si>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</si>
  <si>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</si>
  <si>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</si>
  <si>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</si>
  <si>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</si>
  <si>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</si>
  <si>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</si>
  <si>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</si>
  <si>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</si>
  <si>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</si>
  <si>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</si>
  <si>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</si>
  <si>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</si>
  <si>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</si>
  <si>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</si>
  <si>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</si>
  <si>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</si>
  <si>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</si>
  <si>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</si>
  <si>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</si>
  <si>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</si>
  <si>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</si>
  <si>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</si>
  <si>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</si>
  <si>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</si>
  <si>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</si>
  <si>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</si>
  <si>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</si>
  <si>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</si>
  <si>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</si>
  <si>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</si>
  <si>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</si>
  <si>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</si>
  <si>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</si>
  <si>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</si>
  <si>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</si>
  <si>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</si>
  <si>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</si>
  <si>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</si>
  <si>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</si>
  <si>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</si>
  <si>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</si>
  <si>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</si>
  <si>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</si>
  <si>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</si>
  <si>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</si>
  <si>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</si>
  <si>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</si>
  <si>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</si>
  <si>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</si>
  <si>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</si>
  <si>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</si>
  <si>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</si>
  <si>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</si>
  <si>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</si>
  <si>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</si>
  <si>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</si>
  <si>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</si>
  <si>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</si>
  <si>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</si>
  <si>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</si>
  <si>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</si>
  <si>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</si>
  <si>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</si>
  <si>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</si>
  <si>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</si>
  <si>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</si>
  <si>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</si>
  <si>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</si>
  <si>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</si>
  <si>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</si>
  <si>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</si>
  <si>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</si>
  <si>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</si>
  <si>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</si>
  <si>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</si>
  <si>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</si>
  <si>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</si>
  <si>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</si>
  <si>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</si>
  <si>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</si>
  <si>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</si>
  <si>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</si>
  <si>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</si>
  <si>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</si>
  <si>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</si>
  <si>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</si>
  <si>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</si>
  <si>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</si>
  <si>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</si>
  <si>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</si>
  <si>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</si>
  <si>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</si>
  <si>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</si>
  <si>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</si>
  <si>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</si>
  <si>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</si>
  <si>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</si>
  <si>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</si>
  <si>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</si>
  <si>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</si>
  <si>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</si>
  <si>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</si>
  <si>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</si>
  <si>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</si>
  <si>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</si>
  <si>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</si>
  <si>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</si>
  <si>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</si>
  <si>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</si>
  <si>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</si>
  <si>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</si>
  <si>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</si>
  <si>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</si>
  <si>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</si>
  <si>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</si>
  <si>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</si>
  <si>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</si>
  <si>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</si>
  <si>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</si>
  <si>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</si>
  <si>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</si>
  <si>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</si>
  <si>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</si>
  <si>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</si>
  <si>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</si>
  <si>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</si>
  <si>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</si>
  <si>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</si>
  <si>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</si>
  <si>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</si>
  <si>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</si>
  <si>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</si>
  <si>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</si>
  <si>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</si>
  <si>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</si>
  <si>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</si>
  <si>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</si>
  <si>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</si>
  <si>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</si>
  <si>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</si>
  <si>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</si>
  <si>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</si>
  <si>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</si>
  <si>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</si>
  <si>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</si>
  <si>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</si>
  <si>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</si>
  <si>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</si>
  <si>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</si>
  <si>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</si>
  <si>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</si>
  <si>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</si>
  <si>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</si>
  <si>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</si>
  <si>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</si>
  <si>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</si>
  <si>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</si>
  <si>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</si>
  <si>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</si>
  <si>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</si>
  <si>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</si>
  <si>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</si>
  <si>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</si>
  <si>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</si>
  <si>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</si>
  <si>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</si>
  <si>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</si>
  <si>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</si>
  <si>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</si>
  <si>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</si>
  <si>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</si>
  <si>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</si>
  <si>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</si>
  <si>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</si>
  <si>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</si>
  <si>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</si>
  <si>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</si>
  <si>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</si>
  <si>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</si>
  <si>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</si>
  <si>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</si>
  <si>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</si>
  <si>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</si>
  <si>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</si>
  <si>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</si>
  <si>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</si>
  <si>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</si>
  <si>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</si>
  <si>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</si>
  <si>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</si>
  <si>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</si>
  <si>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</si>
  <si>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</si>
  <si>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</si>
  <si>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</si>
  <si>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</si>
  <si>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</si>
  <si>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</si>
  <si>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</si>
  <si>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</si>
  <si>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</si>
  <si>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</si>
  <si>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</si>
  <si>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</si>
  <si>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</si>
  <si>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</si>
  <si>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</si>
  <si>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</si>
  <si>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</si>
  <si>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</si>
  <si>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</si>
  <si>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</si>
  <si>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</si>
  <si>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</si>
  <si>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</si>
  <si>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</si>
  <si>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</si>
  <si>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</si>
  <si>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</si>
  <si>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</si>
  <si>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</si>
  <si>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</si>
  <si>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</si>
  <si>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</si>
  <si>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</si>
  <si>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</si>
  <si>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</si>
  <si>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</si>
  <si>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</si>
  <si>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</si>
  <si>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</si>
  <si>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</si>
  <si>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</si>
  <si>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</si>
  <si>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</si>
  <si>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</si>
  <si>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</si>
  <si>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</si>
  <si>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</si>
  <si>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</si>
  <si>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</si>
  <si>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</si>
  <si>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</si>
  <si>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</si>
  <si>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</si>
  <si>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</si>
  <si>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</si>
  <si>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</si>
  <si>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</si>
  <si>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</si>
  <si>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</si>
  <si>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</si>
  <si>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</si>
  <si>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</si>
  <si>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</si>
  <si>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</si>
  <si>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</si>
  <si>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</si>
  <si>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</si>
  <si>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</si>
  <si>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</si>
  <si>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</si>
  <si>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</si>
  <si>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</si>
  <si>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</si>
  <si>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</si>
  <si>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</si>
  <si>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</si>
  <si>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</si>
  <si>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</si>
  <si>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</si>
  <si>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</si>
  <si>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</si>
  <si>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</si>
  <si>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</si>
  <si>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</si>
  <si>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</si>
  <si>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</si>
  <si>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</si>
  <si>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</si>
  <si>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</si>
  <si>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</si>
  <si>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</si>
  <si>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</si>
  <si>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</si>
  <si>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</si>
  <si>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</si>
  <si>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</si>
  <si>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</si>
  <si>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</si>
  <si>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</si>
  <si>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</si>
  <si>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</si>
  <si>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</si>
  <si>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</si>
  <si>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</si>
  <si>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</si>
  <si>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</si>
  <si>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</si>
  <si>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</si>
  <si>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</si>
  <si>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</si>
  <si>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</si>
  <si>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</si>
  <si>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</si>
  <si>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</si>
  <si>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</si>
  <si>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</si>
  <si>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</si>
  <si>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</si>
  <si>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</si>
  <si>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</si>
  <si>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</si>
  <si>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</si>
  <si>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</si>
  <si>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</si>
  <si>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</si>
  <si>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</si>
  <si>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</si>
  <si>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</si>
  <si>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</si>
  <si>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</si>
  <si>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</si>
  <si>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</si>
  <si>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</si>
  <si>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</si>
  <si>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</si>
  <si>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</si>
  <si>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</si>
  <si>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</si>
  <si>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</si>
  <si>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</si>
  <si>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</si>
  <si>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</si>
  <si>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</si>
  <si>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</si>
  <si>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</si>
  <si>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</si>
  <si>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</si>
  <si>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</si>
  <si>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</si>
  <si>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</si>
  <si>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</si>
  <si>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</si>
  <si>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</si>
  <si>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</si>
  <si>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</si>
  <si>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</si>
  <si>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</si>
  <si>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</si>
  <si>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</si>
  <si>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</si>
  <si>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</si>
  <si>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</si>
  <si>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</si>
  <si>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</si>
  <si>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</si>
  <si>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</si>
  <si>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</si>
  <si>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</si>
  <si>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</si>
  <si>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</si>
  <si>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</si>
  <si>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</si>
  <si>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</si>
  <si>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</si>
  <si>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</si>
  <si>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</si>
  <si>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</si>
  <si>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</si>
  <si>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</si>
  <si>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</si>
  <si>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</si>
  <si>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</si>
  <si>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</si>
  <si>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</si>
  <si>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</si>
  <si>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</si>
  <si>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</si>
  <si>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</si>
  <si>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</si>
  <si>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</si>
  <si>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</si>
  <si>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</si>
  <si>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</si>
  <si>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</si>
  <si>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</si>
  <si>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</si>
  <si>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</si>
  <si>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</si>
  <si>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</si>
  <si>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</si>
  <si>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</si>
  <si>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</si>
  <si>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</si>
  <si>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</si>
  <si>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</si>
  <si>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</si>
  <si>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</si>
  <si>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</si>
  <si>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</si>
  <si>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</si>
  <si>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</si>
  <si>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</si>
  <si>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</si>
  <si>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</si>
  <si>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</si>
  <si>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</si>
  <si>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</si>
  <si>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</si>
  <si>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</si>
  <si>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</si>
  <si>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</si>
  <si>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</si>
  <si>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</si>
  <si>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</si>
  <si>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</si>
  <si>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</si>
  <si>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</si>
  <si>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</si>
  <si>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</si>
  <si>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</si>
  <si>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</si>
  <si>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</si>
  <si>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</si>
  <si>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</si>
  <si>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</si>
  <si>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</si>
  <si>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</si>
  <si>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</si>
  <si>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</si>
  <si>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</si>
  <si>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</si>
  <si>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</si>
  <si>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</si>
  <si>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</si>
  <si>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</si>
  <si>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</si>
  <si>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</si>
  <si>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</si>
  <si>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</si>
  <si>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</si>
  <si>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</si>
  <si>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</si>
  <si>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</si>
  <si>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</si>
  <si>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</si>
  <si>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</si>
  <si>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</si>
  <si>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</si>
  <si>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</si>
  <si>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</si>
  <si>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</si>
  <si>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</si>
  <si>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</si>
  <si>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</si>
  <si>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</si>
  <si>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</si>
  <si>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</si>
  <si>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</si>
  <si>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</si>
  <si>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</si>
  <si>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</si>
  <si>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</si>
  <si>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</si>
  <si>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</si>
  <si>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</si>
  <si>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</si>
  <si>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</si>
  <si>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</si>
  <si>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</si>
  <si>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</si>
  <si>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</si>
  <si>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</si>
  <si>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</si>
  <si>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</si>
  <si>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</si>
  <si>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</si>
  <si>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</si>
  <si>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</si>
  <si>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</si>
  <si>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</si>
  <si>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</si>
  <si>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</si>
  <si>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</si>
  <si>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</si>
  <si>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</si>
  <si>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</si>
  <si>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</si>
  <si>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</si>
  <si>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</si>
  <si>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</si>
  <si>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</si>
  <si>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</si>
  <si>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</si>
  <si>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</si>
  <si>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</si>
  <si>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</si>
  <si>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</si>
  <si>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</si>
  <si>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</si>
  <si>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</si>
  <si>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</si>
  <si>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</si>
  <si>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</si>
  <si>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</si>
  <si>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</si>
  <si>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</si>
  <si>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</si>
  <si>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</si>
  <si>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</si>
  <si>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</si>
  <si>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</si>
  <si>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</si>
  <si>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</si>
  <si>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</si>
  <si>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</si>
  <si>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</si>
  <si>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</si>
  <si>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</si>
  <si>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</si>
  <si>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</si>
  <si>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</si>
  <si>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</si>
  <si>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</si>
  <si>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</si>
  <si>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</si>
  <si>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</si>
  <si>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</si>
  <si>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</si>
  <si>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</si>
  <si>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</si>
  <si>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</si>
  <si>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</si>
  <si>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</si>
  <si>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</si>
  <si>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</si>
  <si>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</si>
  <si>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</si>
  <si>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</si>
  <si>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</si>
  <si>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</si>
  <si>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</si>
  <si>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</si>
  <si>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</si>
  <si>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</si>
  <si>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</si>
  <si>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</si>
  <si>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</si>
  <si>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</si>
  <si>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</si>
  <si>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</si>
  <si>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</si>
  <si>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</si>
  <si>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</si>
  <si>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</si>
  <si>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</si>
  <si>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</si>
  <si>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</si>
  <si>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</si>
  <si>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</si>
  <si>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</si>
  <si>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</si>
  <si>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</si>
  <si>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</si>
  <si>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</si>
  <si>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</si>
  <si>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</si>
  <si>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</si>
  <si>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</si>
  <si>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</si>
  <si>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</si>
  <si>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</si>
  <si>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</si>
  <si>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</si>
  <si>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</si>
  <si>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</si>
  <si>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</si>
  <si>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</si>
  <si>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</si>
  <si>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</si>
  <si>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</si>
  <si>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</si>
  <si>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</si>
  <si>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</si>
  <si>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</si>
  <si>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</si>
  <si>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</si>
  <si>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</si>
  <si>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</si>
  <si>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</si>
  <si>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</si>
  <si>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</si>
  <si>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</si>
  <si>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</si>
  <si>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</si>
  <si>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</si>
  <si>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</si>
  <si>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</si>
  <si>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</si>
  <si>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</si>
  <si>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</si>
  <si>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</si>
  <si>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</si>
  <si>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</si>
  <si>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</si>
  <si>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</si>
  <si>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</si>
  <si>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</si>
  <si>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</si>
  <si>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</si>
  <si>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</si>
  <si>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</si>
  <si>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</si>
  <si>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</si>
  <si>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</si>
  <si>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</si>
  <si>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</si>
  <si>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</si>
  <si>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</si>
  <si>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</si>
  <si>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</si>
  <si>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</si>
  <si>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</si>
  <si>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</si>
  <si>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</si>
  <si>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</si>
  <si>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</si>
  <si>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</si>
  <si>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</si>
  <si>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</si>
  <si>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</si>
  <si>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</si>
  <si>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</si>
  <si>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</si>
  <si>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</si>
  <si>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</si>
  <si>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</si>
  <si>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</si>
  <si>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</si>
  <si>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</si>
  <si>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</si>
  <si>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</si>
  <si>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</si>
  <si>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</si>
  <si>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</si>
  <si>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</si>
  <si>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</si>
  <si>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</si>
  <si>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</si>
  <si>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</si>
  <si>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</si>
  <si>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</si>
  <si>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</si>
  <si>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</si>
  <si>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</si>
  <si>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</si>
  <si>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</si>
  <si>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</si>
  <si>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</si>
  <si>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</si>
  <si>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</si>
  <si>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</si>
  <si>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</si>
  <si>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</si>
  <si>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</si>
  <si>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</si>
  <si>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</si>
  <si>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</si>
  <si>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</si>
  <si>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</si>
  <si>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</si>
  <si>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</si>
  <si>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</si>
  <si>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</si>
  <si>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</si>
  <si>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</si>
  <si>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</si>
  <si>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</si>
  <si>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</si>
  <si>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</si>
  <si>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</si>
  <si>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</si>
  <si>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</si>
  <si>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</si>
  <si>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</si>
  <si>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</si>
  <si>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</si>
  <si>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</si>
  <si>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</si>
  <si>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</si>
  <si>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</si>
  <si>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</si>
  <si>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</si>
  <si>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</si>
  <si>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</si>
  <si>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</si>
  <si>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</si>
  <si>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</si>
  <si>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</si>
  <si>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</si>
  <si>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</si>
  <si>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</si>
  <si>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</si>
  <si>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</si>
  <si>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</si>
  <si>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</si>
  <si>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</si>
  <si>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</si>
  <si>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</si>
  <si>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</si>
  <si>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</si>
  <si>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</si>
  <si>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</si>
  <si>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</si>
  <si>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</si>
  <si>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</si>
  <si>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</si>
  <si>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</si>
  <si>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</si>
  <si>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</si>
  <si>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</si>
  <si>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</si>
  <si>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</si>
  <si>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</si>
  <si>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</si>
  <si>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</si>
  <si>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</si>
  <si>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</si>
  <si>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</si>
  <si>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</si>
  <si>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</si>
  <si>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</si>
  <si>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</si>
  <si>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</si>
  <si>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</si>
  <si>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</si>
  <si>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</si>
  <si>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</si>
  <si>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</si>
  <si>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</si>
  <si>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</si>
  <si>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</si>
  <si>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</si>
  <si>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</si>
  <si>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</si>
  <si>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</si>
  <si>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</si>
  <si>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</si>
  <si>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</si>
  <si>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</si>
  <si>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</si>
  <si>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</si>
  <si>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</si>
  <si>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</si>
  <si>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</si>
  <si>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</si>
  <si>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</si>
  <si>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</si>
  <si>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</si>
  <si>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</si>
  <si>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</si>
  <si>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</si>
  <si>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</si>
  <si>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</si>
  <si>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</si>
  <si>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</si>
  <si>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</si>
  <si>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</si>
  <si>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</si>
  <si>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</si>
  <si>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</si>
  <si>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</si>
  <si>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</si>
  <si>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</si>
  <si>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</si>
  <si>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</si>
  <si>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</si>
  <si>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</si>
  <si>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</si>
  <si>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</si>
  <si>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</si>
  <si>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</si>
  <si>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</si>
  <si>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</si>
  <si>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</si>
  <si>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</si>
  <si>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</si>
  <si>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</si>
  <si>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</si>
  <si>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</si>
  <si>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</si>
  <si>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</si>
  <si>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</si>
  <si>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</si>
  <si>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</si>
  <si>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</si>
  <si>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</si>
  <si>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</si>
  <si>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</si>
  <si>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</si>
  <si>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</si>
  <si>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</si>
  <si>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</si>
  <si>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</si>
  <si>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</si>
  <si>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</si>
  <si>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</si>
  <si>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</si>
  <si>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</si>
  <si>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</si>
  <si>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</si>
  <si>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</si>
  <si>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</si>
  <si>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</si>
  <si>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</si>
  <si>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</si>
  <si>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</si>
  <si>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</si>
  <si>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</si>
  <si>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</si>
  <si>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</si>
  <si>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</si>
  <si>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</si>
  <si>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</si>
  <si>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</si>
  <si>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</si>
  <si>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</si>
  <si>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</si>
  <si>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</si>
  <si>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</si>
  <si>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</si>
  <si>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</si>
  <si>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</si>
  <si>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</si>
  <si>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</si>
  <si>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</si>
  <si>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</si>
  <si>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</si>
  <si>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</si>
  <si>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</si>
  <si>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</si>
  <si>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</si>
  <si>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</si>
  <si>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</si>
  <si>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</si>
  <si>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</si>
  <si>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</si>
  <si>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</si>
  <si>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</si>
  <si>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</si>
  <si>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</si>
  <si>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</si>
  <si>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</si>
  <si>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</si>
  <si>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</si>
  <si>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</si>
  <si>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</si>
  <si>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</si>
  <si>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</si>
  <si>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</si>
  <si>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</si>
  <si>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</si>
  <si>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</si>
  <si>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</si>
  <si>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</si>
  <si>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</si>
  <si>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</si>
  <si>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</si>
  <si>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</si>
  <si>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</si>
  <si>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</si>
  <si>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</si>
  <si>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</si>
  <si>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</si>
  <si>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</si>
  <si>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</si>
  <si>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</si>
  <si>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</si>
  <si>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</si>
  <si>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</si>
  <si>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</si>
  <si>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</si>
  <si>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</si>
  <si>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</si>
  <si>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</si>
  <si>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</si>
  <si>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</si>
  <si>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</si>
  <si>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</si>
  <si>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</si>
  <si>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</si>
  <si>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</si>
  <si>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</si>
  <si>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</si>
  <si>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</si>
  <si>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</si>
  <si>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</si>
  <si>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</si>
  <si>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</si>
  <si>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</si>
  <si>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</si>
  <si>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</si>
  <si>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</si>
  <si>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</si>
  <si>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</si>
  <si>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</si>
  <si>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</si>
  <si>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</si>
  <si>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</si>
  <si>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</si>
  <si>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</si>
  <si>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</si>
  <si>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</si>
  <si>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</si>
  <si>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</si>
  <si>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</si>
  <si>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</si>
  <si>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</si>
  <si>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</si>
  <si>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</si>
  <si>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</si>
  <si>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</si>
  <si>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</si>
  <si>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</si>
  <si>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</si>
  <si>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</si>
  <si>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</si>
  <si>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</si>
  <si>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</si>
  <si>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</si>
  <si>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</si>
  <si>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</si>
  <si>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</si>
  <si>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</si>
  <si>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</si>
  <si>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</si>
  <si>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</si>
  <si>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</si>
  <si>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</si>
  <si>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</si>
  <si>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</si>
  <si>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</si>
  <si>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</si>
  <si>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</si>
  <si>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</si>
  <si>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</si>
  <si>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</si>
  <si>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</si>
  <si>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</si>
  <si>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</si>
  <si>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</si>
  <si>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</si>
  <si>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</si>
  <si>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</si>
  <si>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</si>
  <si>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</si>
  <si>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</si>
  <si>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</si>
  <si>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</si>
  <si>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</si>
  <si>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</si>
  <si>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</si>
  <si>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</si>
  <si>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</si>
  <si>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</si>
  <si>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</si>
  <si>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</si>
  <si>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</si>
  <si>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</si>
  <si>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</si>
  <si>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</si>
  <si>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</si>
  <si>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</si>
  <si>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</si>
  <si>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</si>
  <si>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</si>
  <si>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</si>
  <si>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</si>
  <si>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</si>
  <si>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</si>
  <si>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</si>
  <si>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</si>
  <si>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</si>
  <si>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</si>
  <si>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</si>
  <si>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</si>
  <si>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</si>
  <si>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</si>
  <si>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</si>
  <si>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</si>
  <si>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</si>
  <si>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</si>
  <si>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</si>
  <si>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</si>
  <si>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</si>
  <si>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</si>
  <si>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</si>
  <si>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</si>
  <si>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</si>
  <si>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</si>
  <si>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</si>
  <si>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</si>
  <si>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</si>
  <si>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</si>
  <si>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</si>
  <si>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</si>
  <si>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</si>
  <si>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</si>
  <si>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</si>
  <si>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</si>
  <si>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</si>
  <si>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</si>
  <si>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</si>
  <si>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</si>
  <si>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</si>
  <si>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</si>
  <si>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</si>
  <si>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</si>
  <si>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</si>
  <si>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</si>
  <si>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</si>
  <si>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</si>
  <si>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</si>
  <si>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</si>
  <si>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</si>
  <si>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</si>
  <si>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</si>
  <si>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</si>
  <si>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</si>
  <si>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</si>
  <si>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</si>
  <si>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</si>
  <si>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</si>
  <si>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</si>
  <si>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</si>
  <si>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</si>
  <si>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</si>
  <si>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</si>
  <si>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</si>
  <si>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</si>
  <si>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</si>
  <si>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</si>
  <si>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</si>
  <si>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</si>
  <si>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</si>
  <si>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</si>
  <si>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</si>
  <si>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</si>
  <si>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</si>
  <si>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</si>
  <si>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</si>
  <si>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</si>
  <si>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</si>
  <si>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</si>
  <si>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</si>
  <si>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</si>
  <si>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</si>
  <si>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</si>
  <si>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</si>
  <si>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</si>
  <si>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</si>
  <si>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</si>
  <si>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</si>
  <si>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</si>
  <si>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</si>
  <si>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</si>
  <si>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</si>
  <si>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</si>
  <si>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</si>
  <si>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</si>
  <si>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</si>
  <si>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</si>
  <si>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</si>
  <si>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</si>
  <si>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</si>
  <si>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</si>
  <si>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</si>
  <si>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</si>
  <si>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</si>
  <si>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</si>
  <si>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</si>
  <si>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</si>
  <si>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</si>
  <si>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</si>
  <si>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</si>
  <si>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</si>
  <si>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</si>
  <si>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</si>
  <si>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</si>
  <si>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</si>
  <si>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</si>
  <si>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</si>
  <si>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</si>
  <si>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</si>
  <si>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</si>
  <si>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</si>
  <si>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</si>
  <si>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</si>
  <si>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</si>
  <si>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</si>
  <si>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</si>
  <si>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</si>
  <si>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</si>
  <si>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</si>
  <si>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</si>
  <si>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</si>
  <si>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</si>
  <si>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</si>
  <si>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</si>
  <si>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</si>
  <si>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</si>
  <si>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</si>
  <si>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</si>
  <si>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</si>
  <si>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</si>
  <si>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</si>
  <si>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</si>
  <si>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</si>
  <si>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</si>
  <si>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</si>
  <si>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</si>
  <si>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</si>
  <si>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</si>
  <si>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</si>
  <si>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</si>
  <si>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</si>
  <si>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</si>
  <si>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</si>
  <si>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</si>
  <si>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</si>
  <si>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</si>
  <si>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</si>
  <si>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</si>
  <si>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</si>
  <si>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</si>
  <si>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</si>
  <si>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</si>
  <si>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</si>
  <si>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</si>
  <si>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</si>
  <si>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</si>
  <si>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</si>
  <si>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</si>
  <si>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</si>
  <si>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</si>
  <si>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</si>
  <si>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</si>
  <si>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</si>
  <si>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</si>
  <si>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</si>
  <si>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</si>
  <si>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</si>
  <si>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</si>
  <si>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</si>
  <si>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</si>
  <si>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</si>
  <si>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</si>
  <si>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</si>
  <si>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</si>
  <si>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</si>
  <si>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</si>
  <si>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</si>
  <si>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</si>
  <si>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</si>
  <si>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</si>
  <si>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</si>
  <si>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</si>
  <si>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</si>
  <si>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</si>
  <si>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</si>
  <si>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</si>
  <si>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</si>
  <si>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</si>
  <si>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</si>
  <si>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</si>
  <si>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</si>
  <si>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</si>
  <si>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</si>
  <si>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</si>
  <si>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</si>
  <si>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</si>
  <si>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</si>
  <si>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</si>
  <si>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</si>
  <si>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</si>
  <si>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</si>
  <si>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</si>
  <si>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</si>
  <si>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</si>
  <si>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</si>
  <si>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</si>
  <si>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</si>
  <si>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</si>
  <si>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</si>
  <si>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</si>
  <si>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</si>
  <si>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</si>
  <si>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</si>
  <si>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</si>
  <si>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</si>
  <si>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</si>
  <si>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</si>
  <si>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</si>
  <si>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</si>
  <si>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</si>
  <si>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</si>
  <si>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</si>
  <si>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</si>
  <si>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</si>
  <si>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</si>
  <si>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</si>
  <si>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</si>
  <si>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</si>
  <si>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</si>
  <si>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</si>
  <si>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</si>
  <si>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</si>
  <si>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</si>
  <si>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</si>
  <si>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</si>
  <si>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</si>
  <si>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</si>
  <si>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</si>
  <si>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</si>
  <si>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</si>
  <si>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</si>
  <si>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</si>
  <si>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</si>
  <si>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</si>
  <si>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</si>
  <si>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</si>
  <si>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</si>
  <si>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</si>
  <si>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</si>
  <si>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</si>
  <si>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</si>
  <si>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</si>
  <si>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</si>
  <si>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</si>
  <si>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</si>
  <si>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</si>
  <si>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</si>
  <si>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</si>
  <si>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</si>
  <si>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</si>
  <si>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</si>
  <si>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</si>
  <si>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</si>
  <si>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</si>
  <si>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</si>
  <si>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</si>
  <si>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</si>
  <si>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</si>
  <si>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</si>
  <si>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</si>
  <si>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</si>
  <si>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</si>
  <si>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</si>
  <si>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</si>
  <si>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</si>
  <si>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</si>
  <si>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</si>
  <si>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</si>
  <si>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</si>
  <si>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</si>
  <si>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</si>
  <si>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</si>
  <si>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</si>
  <si>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</si>
  <si>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</si>
  <si>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</si>
  <si>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</si>
  <si>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</si>
  <si>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</si>
  <si>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</si>
  <si>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</si>
  <si>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</si>
  <si>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</si>
  <si>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</si>
  <si>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</si>
  <si>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</si>
  <si>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</si>
  <si>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</si>
  <si>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</si>
  <si>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</si>
  <si>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</si>
  <si>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</si>
  <si>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</si>
  <si>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</si>
  <si>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</si>
  <si>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</si>
  <si>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</si>
  <si>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</si>
  <si>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</si>
  <si>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</si>
  <si>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</si>
  <si>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</si>
  <si>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</si>
  <si>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</si>
  <si>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</si>
  <si>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</si>
  <si>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</si>
  <si>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</si>
  <si>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</si>
  <si>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</si>
  <si>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</si>
  <si>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</si>
  <si>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</si>
  <si>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</si>
  <si>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</si>
  <si>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</si>
  <si>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</si>
  <si>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</si>
  <si>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</si>
  <si>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</si>
  <si>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</si>
  <si>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</si>
  <si>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</si>
  <si>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</si>
  <si>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</si>
  <si>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</si>
  <si>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</si>
  <si>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</si>
  <si>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</si>
  <si>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</si>
  <si>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</si>
  <si>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</si>
  <si>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</si>
  <si>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</si>
  <si>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</si>
  <si>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</si>
  <si>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</si>
  <si>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</si>
  <si>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</si>
  <si>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</si>
  <si>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</si>
  <si>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</si>
  <si>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</si>
  <si>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</si>
  <si>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</si>
  <si>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</si>
  <si>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</si>
  <si>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</si>
  <si>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</si>
  <si>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</si>
  <si>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</si>
  <si>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</si>
  <si>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</si>
  <si>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</si>
  <si>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</si>
  <si>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</si>
  <si>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</si>
  <si>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</si>
  <si>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</si>
  <si>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</si>
  <si>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</si>
  <si>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</si>
  <si>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</si>
  <si>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</si>
  <si>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</si>
  <si>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</si>
  <si>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</si>
  <si>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</si>
  <si>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</si>
  <si>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</si>
  <si>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</si>
  <si>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</si>
  <si>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</si>
  <si>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</si>
  <si>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</si>
  <si>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</si>
  <si>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</si>
  <si>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</si>
  <si>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</si>
  <si>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</si>
  <si>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</si>
  <si>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</si>
  <si>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</si>
  <si>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</si>
  <si>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</si>
  <si>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</si>
  <si>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</si>
  <si>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</si>
  <si>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</si>
  <si>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</si>
  <si>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</si>
  <si>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</si>
  <si>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</si>
  <si>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</si>
  <si>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</si>
  <si>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</si>
  <si>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</si>
  <si>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</si>
  <si>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</si>
  <si>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</si>
  <si>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</si>
  <si>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</si>
  <si>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</si>
  <si>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</si>
  <si>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</si>
  <si>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</si>
  <si>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</si>
  <si>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</si>
  <si>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</si>
  <si>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</si>
  <si>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</si>
  <si>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</si>
  <si>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</si>
  <si>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</si>
  <si>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</si>
  <si>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</si>
  <si>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</si>
  <si>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</si>
  <si>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</si>
  <si>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</si>
  <si>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</si>
  <si>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</si>
  <si>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</si>
  <si>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</si>
  <si>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</si>
  <si>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</si>
  <si>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</si>
  <si>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</si>
  <si>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</si>
  <si>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</si>
  <si>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</si>
  <si>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</si>
  <si>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</si>
  <si>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</si>
  <si>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</si>
  <si>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</si>
  <si>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</si>
  <si>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</si>
  <si>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</si>
  <si>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</si>
  <si>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</si>
  <si>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</si>
  <si>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</si>
  <si>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</si>
  <si>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</si>
  <si>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</si>
  <si>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</si>
  <si>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</si>
  <si>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</si>
  <si>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</si>
  <si>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</si>
  <si>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</si>
  <si>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</si>
  <si>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</si>
  <si>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</si>
  <si>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</si>
  <si>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</si>
  <si>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</si>
  <si>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</si>
  <si>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</si>
  <si>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</si>
  <si>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</si>
  <si>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</si>
  <si>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</si>
  <si>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</si>
  <si>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</si>
  <si>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</si>
  <si>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</si>
  <si>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</si>
  <si>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</si>
  <si>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</si>
  <si>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</si>
  <si>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</si>
  <si>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</si>
  <si>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</si>
  <si>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</si>
  <si>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</si>
  <si>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</si>
  <si>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</si>
  <si>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</si>
  <si>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</si>
  <si>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</si>
  <si>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</si>
  <si>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</si>
  <si>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</si>
  <si>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</si>
  <si>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</si>
  <si>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</si>
  <si>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</si>
  <si>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</si>
  <si>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</si>
  <si>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</si>
  <si>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</si>
  <si>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</si>
  <si>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</si>
  <si>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</si>
  <si>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</si>
  <si>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</si>
  <si>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</si>
  <si>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</si>
  <si>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</si>
  <si>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</si>
  <si>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</si>
  <si>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</si>
  <si>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</si>
  <si>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</si>
  <si>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</si>
  <si>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</si>
  <si>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</si>
  <si>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</si>
  <si>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</si>
  <si>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</si>
  <si>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</si>
  <si>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</si>
  <si>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</si>
  <si>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</si>
  <si>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</si>
  <si>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</si>
  <si>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</si>
  <si>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</si>
  <si>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</si>
  <si>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</si>
  <si>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</si>
  <si>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</si>
  <si>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</si>
  <si>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</si>
  <si>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</si>
  <si>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</si>
  <si>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</si>
  <si>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</si>
  <si>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</si>
  <si>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</si>
  <si>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</si>
  <si>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</si>
  <si>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</si>
  <si>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</si>
  <si>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</si>
  <si>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</si>
  <si>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</si>
  <si>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</si>
  <si>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</si>
  <si>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</si>
  <si>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</si>
  <si>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</si>
  <si>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</si>
  <si>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</si>
  <si>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</si>
  <si>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</si>
  <si>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</si>
  <si>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</si>
  <si>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</si>
  <si>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</si>
  <si>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</si>
  <si>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</si>
  <si>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</si>
  <si>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</si>
  <si>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</si>
  <si>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</si>
  <si>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</si>
  <si>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</si>
  <si>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</si>
  <si>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</si>
  <si>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</si>
  <si>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</si>
  <si>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</si>
  <si>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</si>
  <si>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</si>
  <si>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</si>
  <si>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</si>
  <si>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</si>
  <si>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</si>
  <si>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</si>
  <si>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</si>
  <si>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</si>
  <si>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</si>
  <si>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</si>
  <si>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</si>
  <si>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</si>
  <si>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</si>
  <si>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</si>
  <si>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</si>
  <si>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</si>
  <si>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</si>
  <si>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</si>
  <si>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</si>
  <si>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</si>
  <si>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</si>
  <si>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</si>
  <si>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</si>
  <si>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</si>
  <si>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</si>
  <si>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</si>
  <si>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</si>
  <si>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</si>
  <si>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</si>
  <si>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</si>
  <si>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</si>
  <si>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</si>
  <si>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</si>
  <si>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</si>
  <si>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</si>
  <si>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</si>
  <si>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</si>
  <si>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</si>
  <si>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</si>
  <si>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</si>
  <si>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</si>
  <si>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</si>
  <si>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</si>
  <si>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</si>
  <si>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</si>
  <si>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</si>
  <si>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</si>
  <si>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</si>
  <si>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</si>
  <si>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</si>
  <si>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</si>
  <si>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</si>
  <si>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</si>
  <si>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</si>
  <si>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</si>
  <si>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</si>
  <si>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</si>
  <si>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</si>
  <si>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</si>
  <si>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</si>
  <si>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</si>
  <si>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</si>
  <si>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</si>
  <si>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</si>
  <si>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</si>
  <si>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</si>
  <si>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</si>
  <si>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</si>
  <si>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</si>
  <si>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</si>
  <si>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</si>
  <si>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</si>
  <si>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</si>
  <si>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</si>
  <si>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</si>
  <si>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</si>
  <si>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</si>
  <si>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</si>
  <si>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</si>
  <si>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</si>
  <si>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</si>
  <si>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</si>
  <si>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</si>
  <si>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</si>
  <si>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</si>
  <si>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</si>
  <si>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</si>
  <si>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</si>
  <si>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</si>
  <si>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</si>
  <si>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</si>
  <si>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</si>
  <si>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</si>
  <si>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</si>
  <si>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</si>
  <si>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</si>
  <si>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</si>
  <si>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</si>
  <si>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</si>
  <si>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</si>
  <si>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</si>
  <si>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</si>
  <si>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</si>
  <si>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</si>
  <si>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</si>
  <si>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</si>
  <si>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</si>
  <si>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</si>
  <si>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</si>
  <si>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</si>
  <si>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</si>
  <si>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</si>
  <si>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</si>
  <si>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</si>
  <si>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</si>
  <si>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</si>
  <si>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</si>
  <si>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</si>
  <si>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</si>
  <si>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</si>
  <si>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</si>
  <si>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</si>
  <si>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</si>
  <si>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</si>
  <si>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</si>
  <si>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</si>
  <si>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</si>
  <si>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</si>
  <si>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</si>
  <si>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</si>
  <si>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</si>
  <si>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</si>
  <si>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</si>
  <si>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</si>
  <si>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</si>
  <si>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</si>
  <si>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</si>
  <si>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</si>
  <si>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</si>
  <si>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</si>
  <si>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</si>
  <si>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</si>
  <si>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</si>
  <si>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</si>
  <si>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</si>
  <si>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</si>
  <si>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</si>
  <si>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</si>
  <si>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</si>
  <si>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</si>
  <si>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</si>
  <si>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</si>
  <si>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</si>
  <si>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</si>
  <si>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</si>
  <si>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</si>
  <si>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</si>
  <si>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</si>
  <si>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</si>
  <si>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</si>
  <si>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</si>
  <si>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</si>
  <si>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</si>
  <si>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</si>
  <si>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</si>
  <si>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</si>
  <si>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</si>
  <si>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</si>
  <si>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</si>
  <si>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</si>
  <si>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</si>
  <si>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</si>
  <si>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</si>
  <si>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</si>
  <si>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</si>
  <si>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</si>
  <si>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</si>
  <si>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</si>
  <si>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</si>
  <si>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</si>
  <si>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</si>
  <si>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</si>
  <si>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</si>
  <si>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</si>
  <si>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</si>
  <si>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</si>
  <si>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</si>
  <si>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</si>
  <si>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</si>
  <si>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</si>
  <si>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</si>
  <si>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</si>
  <si>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</si>
  <si>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</si>
  <si>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</si>
  <si>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</si>
  <si>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</si>
  <si>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</si>
  <si>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</si>
  <si>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</si>
  <si>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</si>
  <si>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</si>
  <si>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</si>
  <si>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</si>
  <si>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</si>
  <si>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</si>
  <si>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</si>
  <si>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</si>
  <si>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</si>
  <si>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</si>
  <si>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</si>
  <si>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</si>
  <si>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</si>
  <si>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</si>
  <si>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</si>
  <si>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</si>
  <si>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</si>
  <si>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</si>
  <si>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</si>
  <si>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</si>
  <si>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</si>
  <si>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</si>
  <si>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</si>
  <si>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</si>
  <si>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</si>
  <si>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</si>
  <si>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</si>
  <si>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</si>
  <si>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</si>
  <si>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</si>
  <si>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</si>
  <si>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</si>
  <si>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</si>
  <si>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</si>
  <si>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</si>
  <si>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</si>
  <si>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</si>
  <si>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</si>
  <si>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</si>
  <si>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</si>
  <si>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</si>
  <si>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</si>
  <si>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</si>
  <si>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</si>
  <si>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</si>
  <si>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</si>
  <si>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</si>
  <si>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</si>
  <si>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</si>
  <si>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</si>
  <si>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</si>
  <si>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</si>
  <si>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</si>
  <si>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</si>
  <si>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</si>
  <si>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</si>
  <si>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</si>
  <si>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</si>
  <si>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</si>
  <si>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</si>
  <si>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</si>
  <si>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</si>
  <si>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</si>
  <si>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</si>
  <si>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</si>
  <si>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</si>
  <si>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</si>
  <si>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</si>
  <si>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</si>
  <si>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</si>
  <si>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</si>
  <si>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</si>
  <si>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</si>
  <si>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</si>
  <si>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</si>
  <si>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</si>
  <si>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</si>
  <si>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</si>
  <si>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</si>
  <si>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</si>
  <si>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</si>
  <si>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</si>
  <si>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</si>
  <si>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</si>
  <si>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</si>
  <si>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</si>
  <si>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</si>
  <si>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</si>
  <si>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</si>
  <si>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</si>
  <si>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</si>
  <si>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</si>
  <si>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</si>
  <si>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</si>
  <si>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</si>
  <si>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</si>
  <si>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</si>
  <si>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</si>
  <si>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</si>
  <si>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</si>
  <si>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</si>
  <si>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</si>
  <si>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</si>
  <si>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</si>
  <si>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</si>
  <si>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</si>
  <si>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</si>
  <si>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</si>
  <si>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</si>
  <si>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</si>
  <si>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</si>
  <si>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</si>
  <si>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</si>
  <si>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</si>
  <si>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</si>
  <si>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</si>
  <si>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</si>
  <si>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</si>
  <si>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</si>
  <si>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</si>
  <si>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</si>
  <si>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</si>
  <si>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</si>
  <si>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</si>
  <si>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</si>
  <si>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</si>
  <si>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</si>
  <si>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</si>
  <si>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</si>
  <si>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</si>
  <si>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</si>
  <si>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</si>
  <si>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</si>
  <si>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</si>
  <si>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</si>
  <si>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</si>
  <si>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</si>
  <si>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</si>
  <si>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</si>
  <si>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</si>
  <si>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</si>
  <si>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</si>
  <si>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</si>
  <si>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</si>
  <si>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</si>
  <si>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</si>
  <si>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</si>
  <si>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</si>
  <si>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</si>
  <si>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</si>
  <si>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</si>
  <si>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</si>
  <si>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</si>
  <si>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</si>
  <si>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</si>
  <si>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</si>
  <si>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</si>
  <si>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</si>
  <si>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</si>
  <si>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</si>
  <si>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</si>
  <si>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</si>
  <si>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</si>
  <si>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</si>
  <si>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</si>
  <si>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</si>
  <si>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</si>
  <si>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</si>
  <si>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</si>
  <si>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</si>
  <si>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</si>
  <si>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</si>
  <si>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</si>
  <si>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</si>
  <si>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</si>
  <si>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</si>
  <si>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</si>
  <si>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</si>
  <si>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</si>
  <si>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</si>
  <si>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</si>
  <si>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</si>
  <si>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</si>
  <si>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</si>
  <si>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</si>
  <si>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</si>
  <si>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</si>
  <si>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</si>
  <si>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</si>
  <si>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</si>
  <si>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</si>
  <si>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</si>
  <si>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</si>
  <si>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</si>
  <si>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</si>
  <si>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</si>
  <si>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</si>
  <si>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</si>
  <si>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</si>
  <si>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</si>
  <si>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</si>
  <si>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</si>
  <si>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</si>
  <si>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</si>
  <si>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</si>
  <si>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</si>
  <si>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</si>
  <si>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</si>
  <si>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</si>
  <si>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</si>
  <si>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</si>
  <si>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</si>
  <si>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</si>
  <si>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</si>
  <si>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</si>
  <si>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</si>
  <si>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</si>
  <si>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</si>
  <si>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</si>
  <si>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</si>
  <si>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</si>
  <si>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</si>
  <si>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</si>
  <si>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</si>
  <si>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</si>
  <si>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</si>
  <si>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</si>
  <si>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</si>
  <si>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</si>
  <si>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</si>
  <si>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</si>
  <si>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</si>
  <si>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</si>
  <si>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</si>
  <si>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</si>
  <si>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</si>
  <si>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</si>
  <si>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</si>
  <si>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</si>
  <si>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</si>
  <si>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</si>
  <si>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</si>
  <si>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</si>
  <si>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</si>
  <si>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</si>
  <si>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</si>
  <si>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</si>
  <si>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</si>
  <si>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</si>
  <si>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</si>
  <si>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</si>
  <si>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</si>
  <si>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</si>
  <si>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</si>
  <si>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</si>
  <si>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</si>
  <si>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</si>
  <si>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</si>
  <si>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</si>
  <si>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</si>
  <si>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</si>
  <si>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</si>
  <si>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</si>
  <si>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</si>
  <si>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</si>
  <si>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</si>
  <si>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</si>
  <si>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</si>
  <si>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</si>
  <si>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</si>
  <si>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</si>
  <si>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</si>
  <si>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</si>
  <si>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</si>
  <si>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</si>
  <si>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</si>
  <si>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</si>
  <si>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</si>
  <si>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</si>
  <si>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</si>
  <si>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</si>
  <si>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</si>
  <si>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</si>
  <si>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</si>
  <si>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</si>
  <si>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</si>
  <si>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</si>
  <si>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</si>
  <si>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</si>
  <si>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</si>
  <si>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</si>
  <si>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</si>
  <si>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</si>
  <si>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</si>
  <si>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</si>
  <si>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</si>
  <si>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</si>
  <si>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</si>
  <si>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</si>
  <si>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</si>
  <si>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</si>
  <si>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</si>
  <si>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</si>
  <si>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</si>
  <si>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</si>
  <si>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</si>
  <si>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</si>
  <si>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</si>
  <si>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</si>
  <si>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</si>
  <si>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</si>
  <si>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</si>
  <si>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</si>
  <si>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</si>
  <si>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</si>
  <si>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</si>
  <si>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</si>
  <si>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</si>
  <si>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</si>
  <si>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</si>
  <si>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</si>
  <si>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</si>
  <si>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</si>
  <si>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</si>
  <si>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</si>
  <si>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</si>
  <si>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</si>
  <si>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</si>
  <si>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</si>
  <si>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</si>
  <si>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</si>
  <si>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</si>
  <si>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</si>
  <si>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</si>
  <si>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</si>
  <si>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</si>
  <si>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</si>
  <si>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</si>
  <si>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</si>
  <si>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</si>
  <si>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</si>
  <si>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</si>
  <si>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</si>
  <si>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</si>
  <si>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</si>
  <si>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</si>
  <si>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</si>
  <si>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</si>
  <si>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</si>
  <si>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</si>
  <si>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</si>
  <si>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</si>
  <si>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</si>
  <si>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</si>
  <si>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</si>
  <si>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</si>
  <si>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</si>
  <si>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</si>
  <si>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</si>
  <si>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</si>
  <si>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</si>
  <si>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</si>
  <si>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</si>
  <si>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</si>
  <si>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</si>
  <si>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</si>
  <si>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</si>
  <si>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</si>
  <si>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</si>
  <si>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</si>
  <si>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</si>
  <si>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</si>
  <si>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</si>
  <si>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</si>
  <si>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</si>
  <si>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</si>
  <si>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</si>
  <si>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</si>
  <si>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</si>
  <si>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</si>
  <si>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</si>
  <si>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</si>
  <si>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</si>
  <si>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</si>
  <si>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</si>
  <si>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</si>
  <si>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</si>
  <si>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</si>
  <si>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</si>
  <si>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</si>
  <si>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</si>
  <si>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</si>
  <si>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</si>
  <si>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</si>
  <si>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</si>
  <si>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</si>
  <si>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</si>
  <si>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</si>
  <si>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</si>
  <si>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</si>
  <si>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</si>
  <si>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</si>
  <si>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</si>
  <si>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</si>
  <si>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</si>
  <si>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</si>
  <si>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</si>
  <si>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</si>
  <si>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</si>
  <si>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</si>
  <si>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</si>
  <si>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</si>
  <si>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</si>
  <si>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</si>
  <si>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</si>
  <si>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</si>
  <si>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</si>
  <si>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</si>
  <si>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</si>
  <si>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</si>
  <si>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</si>
  <si>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</si>
  <si>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</si>
  <si>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</si>
  <si>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</si>
  <si>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</si>
  <si>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</si>
  <si>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</si>
  <si>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</si>
  <si>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</si>
  <si>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</si>
  <si>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</si>
  <si>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</si>
  <si>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</si>
  <si>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</si>
  <si>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</si>
  <si>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</si>
  <si>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</si>
  <si>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</si>
  <si>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</si>
  <si>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</si>
  <si>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</si>
  <si>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</si>
  <si>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</si>
  <si>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</si>
  <si>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</si>
  <si>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</si>
  <si>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</si>
  <si>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</si>
  <si>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</si>
  <si>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</si>
  <si>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</si>
  <si>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</si>
  <si>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</si>
  <si>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</si>
  <si>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</si>
  <si>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</si>
  <si>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</si>
  <si>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</si>
  <si>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</si>
  <si>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</si>
  <si>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</si>
  <si>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</si>
  <si>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</si>
  <si>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</si>
  <si>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</si>
  <si>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</si>
  <si>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</si>
  <si>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</si>
  <si>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</si>
  <si>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</si>
  <si>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</si>
  <si>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</si>
  <si>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</si>
  <si>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</si>
  <si>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</si>
  <si>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</si>
  <si>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</si>
  <si>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</si>
  <si>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</si>
  <si>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</si>
  <si>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</si>
  <si>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</si>
  <si>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</si>
  <si>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</si>
  <si>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</si>
  <si>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</si>
  <si>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</si>
  <si>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</si>
  <si>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</si>
  <si>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</si>
  <si>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</si>
  <si>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</si>
  <si>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</si>
  <si>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</si>
  <si>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</si>
  <si>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</si>
  <si>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</si>
  <si>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</si>
  <si>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</si>
  <si>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</si>
  <si>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</si>
  <si>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</si>
  <si>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</si>
  <si>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</si>
  <si>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</si>
  <si>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</si>
  <si>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</si>
  <si>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</si>
  <si>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</si>
  <si>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</si>
  <si>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</si>
  <si>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</si>
  <si>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</si>
  <si>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</si>
  <si>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</si>
  <si>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</si>
  <si>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</si>
  <si>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</si>
  <si>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</si>
  <si>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</si>
  <si>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</si>
  <si>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</si>
  <si>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</si>
  <si>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</si>
  <si>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</si>
  <si>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</si>
  <si>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</si>
  <si>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</si>
  <si>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</si>
  <si>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</si>
  <si>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</si>
  <si>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</si>
  <si>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</si>
  <si>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</si>
  <si>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</si>
  <si>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</si>
  <si>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</si>
  <si>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</si>
  <si>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</si>
  <si>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</si>
  <si>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</si>
  <si>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</si>
  <si>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</si>
  <si>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</si>
  <si>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</si>
  <si>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</si>
  <si>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</si>
  <si>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</si>
  <si>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</si>
  <si>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</si>
  <si>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</si>
  <si>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</si>
  <si>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</si>
  <si>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</si>
  <si>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</si>
  <si>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</si>
  <si>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</si>
  <si>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</si>
  <si>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</si>
  <si>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</si>
  <si>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</si>
  <si>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</si>
  <si>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</si>
  <si>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</si>
  <si>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</si>
  <si>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</si>
  <si>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</si>
  <si>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</si>
  <si>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</si>
  <si>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</si>
  <si>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</si>
  <si>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</si>
  <si>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</si>
  <si>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</si>
  <si>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</si>
  <si>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</si>
  <si>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</si>
  <si>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</si>
  <si>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</si>
  <si>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</si>
  <si>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</si>
  <si>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</si>
  <si>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</si>
  <si>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</si>
  <si>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</si>
  <si>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</si>
  <si>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</si>
  <si>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</si>
  <si>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</si>
  <si>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</si>
  <si>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</si>
  <si>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</si>
  <si>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</si>
  <si>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</si>
  <si>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</si>
  <si>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</si>
  <si>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</si>
  <si>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</si>
  <si>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</si>
  <si>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</si>
  <si>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</si>
  <si>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</si>
  <si>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</si>
  <si>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</si>
  <si>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</si>
  <si>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</si>
  <si>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</si>
  <si>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</si>
  <si>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</si>
  <si>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</si>
  <si>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</si>
  <si>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</si>
  <si>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</si>
  <si>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</si>
  <si>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</si>
  <si>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</si>
  <si>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</si>
  <si>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</si>
  <si>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</si>
  <si>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</si>
  <si>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</si>
  <si>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</si>
  <si>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</si>
  <si>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</si>
  <si>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</si>
  <si>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</si>
  <si>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</si>
  <si>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</si>
  <si>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</si>
  <si>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</si>
  <si>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</si>
  <si>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</si>
  <si>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</si>
  <si>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</si>
  <si>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</si>
  <si>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</si>
  <si>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</si>
  <si>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</si>
  <si>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</si>
  <si>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</si>
  <si>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</si>
  <si>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</si>
  <si>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</si>
  <si>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</si>
  <si>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</si>
  <si>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</si>
  <si>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</si>
  <si>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</si>
  <si>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</si>
  <si>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</si>
  <si>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</si>
  <si>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</si>
  <si>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</si>
  <si>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</si>
  <si>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</si>
  <si>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</si>
  <si>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</si>
  <si>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</si>
  <si>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</si>
  <si>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</si>
  <si>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</si>
  <si>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</si>
  <si>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</si>
  <si>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</si>
  <si>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</si>
  <si>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</si>
  <si>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</si>
  <si>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</si>
  <si>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</si>
  <si>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</si>
  <si>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</si>
  <si>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</si>
  <si>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</si>
  <si>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</si>
  <si>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</si>
  <si>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</si>
  <si>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</si>
  <si>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</si>
  <si>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</si>
  <si>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</si>
  <si>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</si>
  <si>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</si>
  <si>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</si>
  <si>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</si>
  <si>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</si>
  <si>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</si>
  <si>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</si>
  <si>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</si>
  <si>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</si>
  <si>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</si>
  <si>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</si>
  <si>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</si>
  <si>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</si>
  <si>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</si>
  <si>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</si>
  <si>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</si>
  <si>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</si>
  <si>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</si>
  <si>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</si>
  <si>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</si>
  <si>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</si>
  <si>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</si>
  <si>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</si>
  <si>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</si>
  <si>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</si>
  <si>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</si>
  <si>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</si>
  <si>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</si>
  <si>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</si>
  <si>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</si>
  <si>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</si>
  <si>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</si>
  <si>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</si>
  <si>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</si>
  <si>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</si>
  <si>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</si>
  <si>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</si>
  <si>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</si>
  <si>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</si>
  <si>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</si>
  <si>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</si>
  <si>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</si>
  <si>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</si>
  <si>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</si>
  <si>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</si>
  <si>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</si>
  <si>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</si>
  <si>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</si>
  <si>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</si>
  <si>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</si>
  <si>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</si>
  <si>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</si>
  <si>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</si>
  <si>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</si>
  <si>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</si>
  <si>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</si>
  <si>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</si>
  <si>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</si>
  <si>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</si>
  <si>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</si>
  <si>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</si>
  <si>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</si>
  <si>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</si>
  <si>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</si>
  <si>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</si>
  <si>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</si>
  <si>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</si>
  <si>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</si>
  <si>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</si>
  <si>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</si>
  <si>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</si>
  <si>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</si>
  <si>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</si>
  <si>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</si>
  <si>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</si>
  <si>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</si>
  <si>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</si>
  <si>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</si>
  <si>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</si>
  <si>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</si>
  <si>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</si>
  <si>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</si>
  <si>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</si>
  <si>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</si>
  <si>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</si>
  <si>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</si>
  <si>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</si>
  <si>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</si>
  <si>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</si>
  <si>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</si>
  <si>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</si>
  <si>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</si>
  <si>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</si>
  <si>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</si>
  <si>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</si>
  <si>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</si>
  <si>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</si>
  <si>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</si>
  <si>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</si>
  <si>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</si>
  <si>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</si>
  <si>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</si>
  <si>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wwww.lovo.ai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</si>
  <si>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</si>
  <si>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</si>
  <si>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</si>
  <si>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</si>
  <si>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</si>
  <si>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</si>
  <si>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</si>
  <si>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</si>
  <si>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</si>
  <si>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</si>
  <si>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</si>
  <si>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</si>
  <si>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</si>
  <si>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</si>
  <si>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</si>
  <si>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</si>
  <si>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</si>
  <si>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</si>
  <si>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</si>
  <si>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</si>
  <si>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</si>
  <si>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</si>
  <si>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</si>
  <si>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</si>
  <si>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</si>
  <si>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</si>
  <si>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</si>
  <si>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</si>
  <si>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</si>
  <si>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</si>
  <si>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</si>
  <si>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</si>
  <si>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</si>
  <si>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</si>
  <si>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</si>
  <si>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</si>
  <si>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</si>
  <si>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</si>
  <si>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</si>
  <si>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</si>
  <si>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</si>
  <si>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</si>
  <si>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</si>
  <si>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</si>
  <si>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</si>
  <si>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</si>
  <si>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</si>
  <si>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</si>
  <si>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</si>
  <si>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</si>
  <si>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</si>
  <si>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</si>
  <si>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</si>
  <si>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</si>
  <si>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</si>
  <si>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</si>
  <si>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</si>
  <si>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</si>
  <si>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</si>
  <si>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</si>
  <si>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</si>
  <si>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</si>
  <si>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</si>
  <si>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</si>
  <si>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</si>
  <si>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</si>
  <si>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</si>
  <si>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</si>
  <si>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</si>
  <si>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</si>
  <si>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</si>
  <si>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</si>
  <si>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</si>
  <si>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</si>
  <si>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</si>
  <si>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</si>
  <si>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</si>
  <si>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</si>
  <si>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</si>
  <si>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</si>
  <si>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</si>
  <si>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</si>
  <si>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</si>
  <si>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</si>
  <si>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</si>
  <si>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</si>
  <si>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</si>
  <si>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</si>
  <si>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</si>
  <si>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</si>
  <si>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</si>
  <si>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</si>
  <si>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</si>
  <si>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</si>
  <si>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</si>
  <si>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</si>
  <si>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</si>
  <si>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</si>
  <si>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</si>
  <si>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</si>
  <si>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</si>
  <si>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</si>
  <si>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</si>
  <si>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</si>
  <si>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</si>
  <si>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</si>
  <si>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</si>
  <si>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</si>
  <si>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</si>
  <si>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</si>
  <si>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</si>
  <si>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</si>
  <si>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</si>
  <si>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</si>
  <si>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</si>
  <si>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</si>
  <si>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</si>
  <si>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</si>
  <si>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</si>
  <si>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</si>
  <si>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</si>
  <si>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</si>
  <si>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</si>
  <si>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</si>
  <si>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</si>
  <si>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</si>
  <si>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</si>
  <si>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</si>
  <si>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</si>
  <si>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</si>
  <si>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</si>
  <si>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</si>
  <si>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</si>
  <si>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</si>
  <si>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</si>
  <si>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</si>
  <si>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</si>
  <si>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</si>
  <si>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</si>
  <si>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</si>
  <si>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</si>
  <si>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</si>
  <si>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</si>
  <si>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</si>
  <si>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</si>
  <si>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</si>
  <si>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</si>
  <si>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</si>
  <si>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</si>
  <si>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</si>
  <si>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</si>
  <si>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</si>
  <si>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</si>
  <si>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</si>
  <si>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</si>
  <si>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</si>
  <si>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</si>
  <si>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</si>
  <si>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</si>
  <si>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</si>
  <si>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</si>
  <si>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</si>
  <si>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</si>
  <si>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</si>
  <si>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</si>
  <si>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</si>
  <si>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</si>
  <si>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</si>
  <si>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</si>
  <si>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</si>
  <si>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</si>
  <si>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</si>
  <si>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</si>
  <si>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</si>
  <si>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</si>
  <si>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</si>
  <si>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</si>
  <si>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</si>
  <si>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</si>
  <si>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</si>
  <si>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</si>
  <si>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</si>
  <si>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</si>
  <si>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</si>
  <si>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</si>
  <si>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</si>
  <si>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</si>
  <si>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</si>
  <si>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</si>
  <si>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</si>
  <si>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</si>
  <si>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</si>
  <si>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</si>
  <si>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</si>
  <si>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</si>
  <si>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</si>
  <si>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</si>
  <si>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</si>
  <si>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</si>
  <si>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</si>
  <si>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</si>
  <si>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</si>
  <si>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</si>
  <si>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</si>
  <si>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</si>
  <si>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</si>
  <si>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</si>
  <si>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</si>
  <si>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</si>
  <si>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</si>
  <si>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</si>
  <si>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</si>
  <si>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</si>
  <si>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</si>
  <si>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</si>
  <si>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</si>
  <si>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</si>
  <si>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</si>
  <si>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</si>
  <si>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</si>
  <si>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</si>
  <si>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</si>
  <si>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</si>
  <si>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</si>
  <si>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</si>
  <si>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</si>
  <si>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</si>
  <si>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</si>
  <si>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</si>
  <si>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</si>
  <si>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</si>
  <si>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</si>
  <si>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</si>
  <si>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</si>
  <si>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</si>
  <si>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</si>
  <si>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</si>
  <si>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</si>
  <si>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</si>
  <si>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</si>
  <si>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</si>
  <si>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</si>
  <si>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</si>
  <si>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</si>
  <si>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</si>
  <si>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</si>
  <si>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</si>
  <si>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</si>
  <si>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</si>
  <si>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</si>
  <si>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</si>
  <si>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</si>
  <si>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</si>
  <si>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</si>
  <si>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</si>
  <si>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</si>
  <si>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</si>
  <si>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</si>
  <si>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</si>
  <si>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</si>
  <si>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</si>
  <si>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</si>
  <si>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</si>
  <si>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</si>
  <si>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</si>
  <si>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</si>
  <si>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</si>
  <si>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</si>
  <si>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</si>
  <si>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</si>
  <si>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</si>
  <si>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</si>
  <si>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</si>
  <si>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</si>
  <si>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</si>
  <si>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</si>
  <si>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</si>
  <si>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</si>
  <si>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</si>
  <si>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</si>
  <si>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</si>
  <si>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</si>
  <si>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</si>
  <si>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</si>
  <si>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</si>
  <si>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</si>
  <si>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</si>
  <si>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</si>
  <si>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</si>
  <si>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</si>
  <si>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</si>
  <si>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</si>
  <si>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</si>
  <si>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</si>
  <si>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</si>
  <si>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</si>
  <si>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</si>
  <si>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</si>
  <si>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</si>
  <si>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</si>
  <si>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</si>
  <si>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</si>
  <si>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</si>
  <si>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</si>
  <si>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</si>
  <si>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</si>
  <si>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</si>
  <si>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</si>
  <si>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</si>
  <si>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</si>
  <si>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</si>
  <si>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</si>
  <si>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</si>
  <si>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</si>
  <si>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</si>
  <si>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</si>
  <si>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</si>
  <si>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</si>
  <si>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</si>
  <si>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</si>
  <si>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</si>
  <si>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</si>
  <si>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</si>
  <si>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</si>
  <si>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</si>
  <si>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</si>
  <si>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</si>
  <si>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</si>
  <si>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</si>
  <si>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</si>
  <si>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</si>
  <si>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</si>
  <si>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</si>
  <si>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</si>
  <si>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</si>
  <si>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</si>
  <si>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</si>
  <si>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</si>
  <si>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</si>
  <si>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</si>
  <si>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</si>
  <si>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</si>
  <si>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</si>
  <si>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</si>
  <si>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</si>
  <si>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</si>
  <si>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</si>
  <si>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</si>
  <si>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</si>
  <si>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</si>
  <si>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</si>
  <si>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</si>
  <si>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</si>
  <si>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</si>
  <si>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</si>
  <si>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</si>
  <si>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</si>
  <si>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</si>
  <si>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</si>
  <si>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</si>
  <si>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</si>
  <si>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</si>
  <si>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</si>
  <si>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</si>
  <si>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</si>
  <si>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</si>
  <si>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</si>
  <si>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</si>
  <si>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</si>
  <si>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</si>
  <si>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</si>
  <si>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</si>
  <si>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</si>
  <si>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</si>
  <si>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</si>
  <si>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</si>
  <si>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</si>
  <si>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</si>
  <si>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</si>
  <si>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</si>
  <si>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</si>
  <si>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</si>
  <si>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</si>
  <si>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</si>
  <si>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</si>
  <si>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</si>
  <si>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</si>
  <si>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</si>
  <si>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</si>
  <si>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</si>
  <si>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</si>
  <si>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</si>
  <si>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</si>
  <si>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</si>
  <si>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</si>
  <si>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</si>
  <si>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</si>
  <si>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</si>
  <si>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</si>
  <si>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</si>
  <si>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</si>
  <si>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</si>
  <si>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</si>
  <si>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</si>
  <si>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</si>
  <si>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</si>
  <si>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</si>
  <si>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</si>
  <si>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</si>
  <si>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</si>
  <si>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</si>
  <si>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</si>
  <si>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</si>
  <si>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</si>
  <si>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</si>
  <si>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</si>
  <si>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</si>
  <si>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</si>
  <si>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</si>
  <si>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</si>
  <si>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</si>
  <si>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</si>
  <si>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</si>
  <si>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</si>
  <si>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</si>
  <si>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</si>
  <si>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</si>
  <si>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</si>
  <si>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</si>
  <si>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</si>
  <si>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</si>
  <si>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</si>
  <si>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</si>
  <si>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</si>
  <si>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</si>
  <si>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</si>
  <si>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</si>
  <si>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</si>
  <si>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</si>
  <si>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</si>
  <si>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</si>
  <si>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</si>
  <si>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</si>
  <si>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</si>
  <si>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</si>
  <si>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</si>
  <si>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</si>
  <si>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</si>
  <si>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</si>
  <si>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</si>
  <si>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</si>
  <si>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</si>
  <si>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</si>
  <si>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</si>
  <si>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</si>
  <si>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</si>
  <si>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</si>
  <si>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</si>
  <si>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</si>
  <si>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</si>
  <si>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</si>
  <si>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</si>
  <si>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</si>
  <si>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</si>
  <si>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</si>
  <si>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</si>
  <si>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</si>
  <si>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</si>
  <si>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</si>
  <si>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</si>
  <si>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</si>
  <si>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</si>
  <si>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</si>
  <si>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</si>
  <si>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</si>
  <si>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</si>
  <si>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</si>
  <si>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</si>
  <si>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</si>
  <si>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</si>
  <si>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</si>
  <si>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</si>
  <si>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</si>
  <si>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</si>
  <si>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</si>
  <si>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</si>
  <si>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</si>
  <si>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</si>
  <si>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</si>
  <si>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</si>
  <si>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</si>
  <si>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</si>
  <si>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</si>
  <si>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</si>
  <si>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</si>
  <si>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</si>
  <si>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</si>
  <si>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</si>
  <si>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</si>
  <si>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</si>
  <si>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</si>
  <si>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</si>
  <si>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</si>
  <si>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</si>
  <si>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</si>
  <si>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</si>
  <si>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</si>
  <si>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</si>
  <si>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</si>
  <si>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</si>
  <si>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</si>
  <si>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</si>
  <si>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</si>
  <si>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</si>
  <si>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</si>
  <si>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</si>
  <si>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</si>
  <si>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</si>
  <si>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</si>
  <si>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</si>
  <si>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</si>
  <si>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</si>
  <si>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</si>
  <si>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</si>
  <si>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</si>
  <si>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</si>
  <si>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</si>
  <si>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</si>
  <si>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</si>
  <si>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</si>
  <si>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</si>
  <si>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</si>
  <si>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</si>
  <si>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</si>
  <si>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</si>
  <si>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</si>
  <si>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</si>
  <si>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</si>
  <si>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</si>
  <si>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</si>
  <si>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</si>
  <si>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</si>
  <si>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</si>
  <si>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</si>
  <si>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</si>
  <si>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</si>
  <si>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</si>
  <si>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</si>
  <si>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</si>
  <si>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</si>
  <si>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</si>
  <si>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</si>
  <si>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</si>
  <si>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</si>
  <si>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</si>
  <si>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</si>
  <si>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</si>
  <si>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</si>
  <si>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</si>
  <si>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</si>
  <si>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</si>
  <si>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</si>
  <si>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</si>
  <si>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</si>
  <si>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</si>
  <si>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</si>
  <si>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</si>
  <si>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</si>
  <si>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</si>
  <si>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</si>
  <si>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</si>
  <si>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</si>
  <si>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</si>
  <si>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</si>
  <si>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</si>
  <si>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</si>
  <si>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</si>
  <si>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</si>
  <si>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</si>
  <si>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</si>
  <si>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</si>
  <si>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</si>
  <si>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</si>
  <si>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</si>
  <si>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</si>
  <si>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</si>
  <si>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</si>
  <si>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</si>
  <si>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</si>
  <si>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</si>
  <si>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</si>
  <si>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</si>
  <si>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</si>
  <si>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</si>
  <si>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</si>
  <si>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</si>
  <si>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</si>
  <si>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</si>
  <si>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</si>
  <si>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</si>
  <si>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</si>
  <si>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</si>
  <si>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</si>
  <si>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</si>
  <si>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</si>
  <si>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</si>
  <si>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</si>
  <si>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</si>
  <si>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</si>
  <si>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</si>
  <si>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</si>
  <si>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</si>
  <si>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</si>
  <si>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</si>
  <si>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</si>
  <si>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</si>
  <si>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</si>
  <si>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</si>
  <si>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</si>
  <si>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</si>
  <si>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</si>
  <si>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</si>
  <si>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</si>
  <si>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</si>
  <si>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</si>
  <si>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</si>
  <si>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</si>
  <si>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</si>
  <si>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</si>
  <si>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</si>
  <si>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</si>
  <si>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</si>
  <si>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</si>
  <si>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</si>
  <si>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</si>
  <si>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</si>
  <si>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</si>
  <si>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</si>
  <si>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</si>
  <si>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</si>
  <si>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</si>
  <si>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</si>
  <si>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</si>
  <si>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</si>
  <si>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</si>
  <si>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</si>
  <si>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</si>
  <si>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</si>
  <si>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</si>
  <si>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</si>
  <si>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</si>
  <si>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</si>
  <si>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</si>
  <si>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</si>
  <si>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</si>
  <si>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</si>
  <si>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</si>
  <si>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</si>
  <si>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</si>
  <si>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</si>
  <si>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</si>
  <si>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</si>
  <si>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</si>
  <si>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</si>
  <si>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</si>
  <si>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</si>
  <si>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</si>
  <si>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</si>
  <si>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</si>
  <si>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</si>
  <si>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</si>
  <si>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</si>
  <si>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</si>
  <si>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</si>
  <si>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</si>
  <si>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</si>
  <si>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</si>
  <si>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</si>
  <si>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</si>
  <si>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</si>
  <si>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</si>
  <si>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</si>
  <si>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</si>
  <si>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</si>
  <si>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</si>
  <si>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</si>
  <si>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</si>
  <si>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</si>
  <si>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</si>
  <si>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</si>
  <si>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</si>
  <si>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</si>
  <si>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</si>
  <si>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</si>
  <si>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</si>
  <si>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</si>
  <si>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</si>
  <si>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</si>
  <si>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</si>
  <si>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</si>
  <si>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</si>
  <si>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</si>
  <si>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</si>
  <si>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</si>
  <si>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</si>
  <si>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</si>
  <si>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</si>
  <si>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</si>
  <si>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</si>
  <si>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</si>
  <si>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</si>
  <si>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</si>
  <si>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</si>
  <si>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</si>
  <si>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</si>
  <si>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</si>
  <si>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</si>
  <si>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</si>
  <si>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</si>
  <si>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</si>
  <si>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</si>
  <si>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</si>
  <si>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</si>
  <si>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</si>
  <si>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</si>
  <si>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</si>
  <si>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</si>
  <si>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</si>
  <si>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</si>
  <si>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</si>
  <si>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</si>
  <si>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</si>
  <si>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</si>
  <si>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</si>
  <si>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</si>
  <si>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</si>
  <si>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</si>
  <si>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</si>
  <si>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</si>
  <si>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</si>
  <si>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</si>
  <si>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</si>
  <si>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</si>
  <si>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</si>
  <si>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</si>
  <si>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</si>
  <si>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</si>
  <si>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</si>
  <si>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</si>
  <si>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</si>
  <si>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</si>
  <si>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</si>
  <si>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</si>
  <si>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</si>
  <si>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</si>
  <si>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</si>
  <si>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</si>
  <si>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</si>
  <si>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</si>
  <si>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</si>
  <si>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</si>
  <si>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</si>
  <si>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</si>
  <si>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</si>
  <si>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</si>
  <si>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</si>
  <si>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</si>
  <si>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</si>
  <si>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</si>
  <si>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</si>
  <si>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</si>
  <si>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</si>
  <si>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</si>
  <si>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</si>
  <si>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</si>
  <si>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</si>
  <si>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</si>
  <si>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</si>
  <si>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</si>
  <si>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</si>
  <si>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</si>
  <si>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</si>
  <si>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</si>
  <si>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</si>
  <si>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</si>
  <si>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</si>
  <si>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</si>
  <si>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</si>
  <si>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</si>
  <si>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</si>
  <si>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</si>
  <si>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</si>
  <si>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</si>
  <si>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</si>
  <si>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</si>
  <si>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</si>
  <si>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</si>
  <si>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</si>
  <si>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</si>
  <si>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</si>
  <si>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</si>
  <si>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</si>
  <si>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</si>
  <si>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</si>
  <si>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</si>
  <si>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</si>
  <si>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</si>
  <si>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</si>
  <si>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</si>
  <si>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</si>
  <si>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</si>
  <si>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</si>
  <si>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</si>
  <si>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</si>
  <si>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</si>
  <si>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</si>
  <si>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</si>
  <si>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</si>
  <si>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</si>
  <si>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</si>
  <si>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</si>
  <si>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</si>
  <si>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</si>
  <si>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</si>
  <si>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</si>
  <si>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</si>
  <si>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</si>
  <si>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</si>
  <si>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</si>
  <si>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</si>
  <si>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</si>
  <si>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</si>
  <si>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</si>
  <si>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</si>
  <si>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</si>
  <si>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</si>
  <si>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</si>
  <si>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</si>
  <si>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</si>
  <si>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</si>
  <si>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</si>
  <si>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</si>
  <si>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</si>
  <si>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</si>
  <si>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</si>
  <si>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</si>
  <si>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</si>
  <si>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</si>
  <si>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</si>
  <si>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</si>
  <si>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</si>
  <si>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</si>
  <si>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</si>
  <si>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</si>
  <si>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</si>
  <si>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</si>
  <si>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</si>
  <si>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</si>
  <si>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</si>
  <si>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</si>
  <si>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</si>
  <si>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</si>
  <si>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</si>
  <si>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</si>
  <si>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</si>
  <si>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</si>
  <si>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</si>
  <si>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</si>
  <si>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</si>
  <si>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</si>
  <si>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</si>
  <si>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</si>
  <si>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</si>
  <si>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</si>
  <si>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</si>
  <si>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</si>
  <si>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</si>
  <si>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</si>
  <si>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</si>
  <si>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</si>
  <si>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</si>
  <si>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</si>
  <si>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</si>
  <si>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</si>
  <si>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</si>
  <si>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</si>
  <si>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</si>
  <si>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</si>
  <si>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</si>
  <si>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</si>
  <si>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</si>
  <si>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</si>
  <si>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</si>
  <si>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</si>
  <si>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</si>
  <si>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</si>
  <si>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</si>
  <si>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</si>
  <si>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</si>
  <si>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</si>
  <si>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</si>
  <si>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</si>
  <si>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</si>
  <si>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</si>
  <si>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</si>
  <si>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</si>
  <si>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</si>
  <si>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</si>
  <si>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</si>
  <si>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</si>
  <si>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</si>
  <si>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</si>
  <si>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</si>
  <si>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</si>
  <si>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</si>
  <si>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</si>
  <si>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</si>
  <si>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</si>
  <si>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</si>
  <si>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</si>
  <si>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</si>
  <si>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</si>
  <si>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</si>
  <si>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</si>
  <si>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</si>
  <si>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</si>
  <si>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</si>
  <si>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</si>
  <si>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</si>
  <si>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</si>
  <si>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</si>
  <si>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</si>
  <si>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</si>
  <si>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</si>
  <si>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</si>
  <si>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</si>
  <si>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</si>
  <si>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</si>
  <si>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</si>
  <si>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</si>
  <si>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</si>
  <si>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</si>
  <si>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</si>
  <si>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</si>
  <si>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</si>
  <si>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</si>
  <si>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</si>
  <si>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</si>
  <si>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</si>
  <si>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</si>
  <si>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</si>
  <si>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</si>
  <si>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</si>
  <si>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</si>
  <si>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</si>
  <si>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</si>
  <si>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</si>
  <si>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</si>
  <si>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</si>
  <si>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</si>
  <si>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</si>
  <si>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</si>
  <si>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</si>
  <si>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</si>
  <si>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</si>
  <si>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</si>
  <si>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</si>
  <si>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</si>
  <si>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</si>
  <si>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</si>
  <si>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</si>
  <si>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</si>
  <si>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</si>
  <si>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</si>
  <si>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</si>
  <si>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</si>
  <si>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</si>
  <si>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</si>
  <si>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</si>
  <si>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</si>
  <si>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</si>
  <si>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</si>
  <si>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</si>
  <si>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</si>
  <si>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</si>
  <si>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</si>
  <si>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</si>
  <si>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</si>
  <si>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</si>
  <si>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</si>
  <si>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</si>
  <si>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</si>
  <si>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</si>
  <si>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</si>
  <si>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</si>
  <si>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</si>
  <si>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</si>
  <si>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</si>
  <si>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</si>
  <si>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</si>
  <si>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</si>
  <si>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</si>
  <si>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</si>
  <si>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</si>
  <si>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</si>
  <si>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</si>
  <si>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</si>
  <si>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</si>
  <si>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</si>
  <si>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</si>
  <si>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</si>
  <si>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</si>
  <si>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</si>
  <si>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</si>
  <si>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</si>
  <si>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</si>
  <si>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</si>
  <si>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</si>
  <si>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</si>
  <si>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</si>
  <si>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</si>
  <si>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</si>
  <si>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</si>
  <si>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</si>
  <si>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</si>
  <si>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</si>
  <si>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</si>
  <si>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</si>
  <si>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</si>
  <si>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</si>
  <si>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</si>
  <si>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</si>
  <si>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</si>
  <si>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</si>
  <si>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</si>
  <si>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</si>
  <si>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</si>
  <si>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</si>
  <si>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</si>
  <si>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</si>
  <si>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</si>
  <si>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</si>
  <si>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</si>
  <si>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</si>
  <si>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</si>
  <si>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</si>
  <si>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</si>
  <si>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</si>
  <si>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</si>
  <si>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</si>
  <si>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</si>
  <si>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</si>
  <si>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</si>
  <si>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</si>
  <si>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</si>
  <si>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</si>
  <si>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</si>
  <si>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</si>
  <si>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</si>
  <si>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</si>
  <si>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</si>
  <si>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</si>
  <si>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</si>
  <si>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</si>
  <si>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</si>
  <si>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</si>
  <si>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</si>
  <si>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</si>
  <si>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</si>
  <si>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</si>
  <si>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</si>
  <si>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</si>
  <si>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</si>
  <si>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</si>
  <si>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</si>
  <si>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</si>
  <si>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</si>
  <si>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</si>
  <si>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</si>
  <si>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</si>
  <si>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</si>
  <si>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</si>
  <si>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</si>
  <si>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</si>
  <si>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</si>
  <si>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</si>
  <si>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</si>
  <si>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</si>
  <si>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</si>
  <si>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</si>
  <si>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</si>
  <si>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</si>
  <si>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</si>
  <si>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</si>
  <si>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</si>
  <si>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</si>
  <si>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</si>
  <si>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</si>
  <si>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</si>
  <si>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</si>
  <si>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</si>
  <si>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</si>
  <si>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</si>
  <si>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</si>
  <si>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</si>
  <si>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</si>
  <si>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</si>
  <si>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</si>
  <si>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</si>
  <si>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</si>
  <si>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</si>
  <si>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</si>
  <si>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</si>
  <si>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</si>
  <si>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</si>
  <si>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</si>
  <si>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</si>
  <si>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</si>
  <si>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</si>
  <si>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</si>
  <si>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</si>
  <si>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</si>
  <si>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</si>
  <si>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</si>
  <si>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</si>
  <si>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</si>
  <si>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</si>
  <si>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</si>
  <si>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</si>
  <si>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</si>
  <si>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</si>
  <si>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</si>
  <si>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</si>
  <si>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</si>
  <si>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</si>
  <si>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</si>
  <si>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</si>
  <si>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</si>
  <si>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</si>
  <si>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</si>
  <si>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</si>
  <si>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</si>
  <si>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</si>
  <si>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</si>
  <si>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</si>
  <si>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</si>
  <si>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</si>
  <si>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</si>
  <si>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</si>
  <si>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</si>
  <si>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</si>
  <si>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</si>
  <si>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</si>
  <si>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</si>
  <si>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</si>
  <si>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</si>
  <si>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</si>
  <si>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</si>
  <si>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</si>
  <si>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</si>
  <si>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</si>
  <si>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</si>
  <si>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</si>
  <si>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</si>
  <si>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</si>
  <si>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</si>
  <si>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</si>
  <si>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</si>
  <si>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</si>
  <si>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</si>
  <si>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</si>
  <si>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</si>
  <si>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</si>
  <si>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</si>
  <si>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</si>
  <si>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</si>
  <si>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</si>
  <si>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</si>
  <si>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</si>
  <si>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</si>
  <si>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</si>
  <si>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</si>
  <si>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</si>
  <si>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</si>
  <si>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</si>
  <si>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</si>
  <si>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</si>
  <si>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</si>
  <si>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</si>
  <si>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</si>
  <si>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</si>
  <si>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</si>
  <si>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</si>
  <si>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</si>
  <si>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</si>
  <si>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</si>
  <si>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</si>
  <si>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</si>
  <si>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</si>
  <si>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</si>
  <si>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</si>
  <si>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</si>
  <si>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</si>
  <si>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</si>
  <si>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</si>
  <si>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</si>
  <si>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</si>
  <si>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</si>
  <si>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</si>
  <si>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</si>
  <si>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</si>
  <si>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</si>
  <si>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</si>
  <si>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</si>
  <si>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</si>
  <si>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</si>
  <si>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</si>
  <si>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</si>
  <si>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</si>
  <si>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</si>
  <si>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</si>
  <si>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</si>
  <si>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</si>
  <si>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</si>
  <si>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</si>
  <si>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</si>
  <si>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</si>
  <si>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</si>
  <si>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</si>
  <si>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</si>
  <si>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</si>
  <si>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</si>
  <si>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</si>
  <si>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</si>
  <si>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</si>
  <si>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</si>
  <si>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</si>
  <si>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</si>
  <si>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</si>
  <si>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</si>
  <si>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</si>
  <si>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</si>
  <si>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</si>
  <si>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</si>
  <si>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</si>
  <si>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</si>
  <si>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</si>
  <si>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</si>
  <si>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</si>
  <si>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</si>
  <si>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</si>
  <si>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</si>
  <si>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</si>
  <si>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</si>
  <si>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</si>
  <si>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</si>
  <si>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</si>
  <si>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</si>
  <si>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</si>
  <si>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</si>
  <si>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</si>
  <si>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</si>
  <si>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</si>
  <si>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</si>
  <si>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</si>
  <si>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</si>
  <si>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</si>
  <si>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</si>
  <si>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</si>
  <si>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</si>
  <si>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</si>
  <si>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</si>
  <si>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</si>
  <si>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</si>
  <si>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</si>
  <si>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</si>
  <si>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</si>
  <si>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</si>
  <si>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</si>
  <si>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</si>
  <si>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</si>
  <si>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</si>
  <si>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</si>
  <si>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</si>
  <si>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</si>
  <si>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</si>
  <si>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</si>
  <si>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</si>
  <si>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</si>
  <si>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</si>
  <si>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</si>
  <si>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</si>
  <si>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</si>
  <si>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</si>
  <si>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</si>
  <si>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</si>
  <si>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</si>
  <si>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</si>
  <si>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</si>
  <si>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</si>
  <si>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</si>
  <si>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</si>
  <si>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</si>
  <si>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</si>
  <si>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</si>
  <si>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</si>
  <si>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</si>
  <si>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</si>
  <si>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</si>
  <si>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</si>
  <si>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</si>
  <si>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</si>
  <si>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</si>
  <si>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</si>
  <si>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</si>
  <si>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</si>
  <si>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</si>
  <si>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</si>
  <si>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</si>
  <si>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</si>
  <si>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</si>
  <si>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</si>
  <si>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</si>
  <si>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</si>
  <si>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</si>
  <si>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</si>
  <si>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</si>
  <si>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</si>
  <si>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</si>
  <si>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</si>
  <si>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</si>
  <si>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</si>
  <si>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</si>
  <si>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</si>
  <si>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</si>
  <si>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</si>
  <si>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</si>
  <si>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</si>
  <si>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</si>
  <si>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</si>
  <si>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</si>
  <si>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</si>
  <si>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</si>
  <si>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</si>
  <si>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</si>
  <si>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</si>
  <si>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</si>
  <si>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</si>
  <si>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</si>
  <si>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</si>
  <si>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</si>
  <si>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</si>
  <si>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</si>
  <si>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</si>
  <si>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</si>
  <si>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</si>
  <si>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</si>
  <si>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</si>
  <si>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</si>
  <si>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</si>
  <si>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</si>
  <si>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</si>
  <si>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</si>
  <si>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</si>
  <si>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</si>
  <si>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</si>
  <si>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</si>
  <si>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</si>
  <si>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</si>
  <si>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</si>
  <si>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</si>
  <si>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</si>
  <si>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</si>
  <si>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</si>
  <si>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</si>
  <si>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</si>
  <si>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</si>
  <si>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</si>
  <si>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</si>
  <si>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</si>
  <si>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</si>
  <si>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</si>
  <si>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</si>
  <si>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</si>
  <si>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</si>
  <si>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</si>
  <si>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</si>
  <si>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</si>
  <si>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</si>
  <si>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</si>
  <si>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</si>
  <si>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</si>
  <si>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</si>
  <si>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</si>
  <si>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</si>
  <si>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</si>
  <si>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</si>
  <si>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</si>
  <si>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</si>
  <si>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</si>
  <si>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</si>
  <si>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</si>
  <si>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</si>
  <si>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</si>
  <si>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</si>
  <si>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</si>
  <si>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</si>
  <si>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</si>
  <si>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</si>
  <si>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</si>
  <si>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</si>
  <si>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</si>
  <si>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</si>
  <si>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</si>
  <si>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</si>
  <si>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</si>
  <si>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</si>
  <si>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</si>
  <si>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</si>
  <si>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</si>
  <si>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</si>
  <si>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</si>
  <si>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</si>
  <si>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</si>
  <si>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</si>
  <si>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</si>
  <si>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</si>
  <si>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</si>
  <si>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</si>
  <si>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</si>
  <si>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</si>
  <si>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</si>
  <si>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</si>
  <si>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</si>
  <si>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</si>
  <si>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</si>
  <si>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</si>
  <si>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</si>
  <si>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</si>
  <si>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</si>
  <si>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</si>
  <si>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</si>
  <si>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</si>
  <si>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</si>
  <si>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</si>
  <si>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</si>
  <si>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</si>
  <si>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</si>
  <si>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</si>
  <si>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</si>
  <si>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</si>
  <si>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</si>
  <si>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</si>
  <si>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</si>
  <si>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</si>
  <si>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</si>
  <si>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</si>
  <si>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</si>
  <si>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</si>
  <si>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</si>
  <si>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</si>
  <si>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</si>
  <si>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</si>
  <si>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</si>
  <si>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</si>
  <si>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</si>
  <si>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</si>
  <si>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</si>
  <si>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</si>
  <si>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</si>
  <si>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</si>
  <si>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</si>
  <si>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</si>
  <si>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</si>
  <si>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</si>
  <si>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</si>
  <si>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</si>
  <si>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</si>
  <si>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</si>
  <si>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</si>
  <si>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</si>
  <si>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</si>
  <si>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</si>
  <si>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</si>
  <si>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</si>
  <si>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</si>
  <si>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</si>
  <si>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</si>
  <si>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</si>
  <si>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</si>
  <si>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</si>
  <si>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</si>
  <si>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</si>
  <si>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</si>
  <si>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</si>
  <si>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</si>
  <si>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</si>
  <si>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</si>
  <si>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</si>
  <si>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</si>
  <si>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</si>
  <si>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</si>
  <si>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</si>
  <si>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</si>
  <si>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</si>
  <si>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</si>
  <si>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</si>
  <si>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</si>
  <si>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</si>
  <si>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</si>
  <si>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</si>
  <si>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</si>
  <si>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</si>
  <si>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</si>
  <si>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</si>
  <si>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</si>
  <si>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</si>
  <si>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</si>
  <si>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</si>
  <si>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</si>
  <si>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</si>
  <si>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</si>
  <si>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</si>
  <si>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</si>
  <si>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</si>
  <si>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</si>
  <si>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</si>
  <si>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</si>
  <si>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</si>
  <si>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</si>
  <si>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</si>
  <si>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</si>
  <si>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</si>
  <si>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</si>
  <si>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</si>
  <si>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</si>
  <si>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</si>
  <si>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</si>
  <si>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</si>
  <si>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</si>
  <si>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</si>
  <si>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</si>
  <si>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</si>
  <si>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</si>
  <si>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</si>
  <si>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</si>
  <si>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</si>
  <si>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</si>
  <si>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</si>
  <si>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</si>
  <si>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</si>
  <si>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</si>
  <si>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</si>
  <si>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</si>
  <si>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</si>
  <si>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</si>
  <si>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</si>
  <si>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</si>
  <si>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</si>
  <si>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</si>
  <si>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</si>
  <si>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</si>
  <si>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</si>
  <si>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</si>
  <si>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</si>
  <si>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</si>
  <si>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</si>
  <si>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</si>
  <si>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</si>
  <si>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</si>
  <si>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</si>
  <si>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</si>
  <si>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</si>
  <si>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</si>
  <si>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</si>
  <si>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</si>
  <si>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</si>
  <si>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</si>
  <si>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</si>
  <si>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</si>
  <si>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</si>
  <si>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</si>
  <si>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</si>
  <si>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</si>
  <si>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</si>
  <si>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</si>
  <si>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</si>
  <si>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</si>
  <si>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</si>
  <si>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</si>
  <si>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</si>
  <si>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</si>
  <si>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</si>
  <si>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</si>
  <si>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</si>
  <si>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</si>
  <si>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</si>
  <si>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</si>
  <si>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</si>
  <si>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</si>
  <si>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</si>
  <si>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</si>
  <si>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</si>
  <si>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</si>
  <si>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Abbreviated CLS, begins tokenizing</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</si>
  <si>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</si>
  <si>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</si>
  <si>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</si>
  <si>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</si>
  <si>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</si>
  <si>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</si>
  <si>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</si>
  <si>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</si>
  <si>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</si>
  <si>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</si>
  <si>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</si>
  <si>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</si>
  <si>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</si>
  <si>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</si>
  <si>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</si>
  <si>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</si>
  <si>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</si>
  <si>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</si>
  <si>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</si>
  <si>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</si>
  <si>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</si>
  <si>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</si>
  <si>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</si>
  <si>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</si>
  <si>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</si>
  <si>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</si>
  <si>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</si>
  <si>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</si>
  <si>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</si>
  <si>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back-propagation</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</si>
  <si>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</si>
  <si>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</si>
  <si>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</si>
  <si>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</si>
  <si>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</si>
  <si>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</si>
  <si>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</si>
  <si>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</si>
  <si>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</si>
  <si>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</si>
  <si>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</si>
  <si>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</si>
  <si>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</si>
  <si>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</si>
  <si>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</si>
  <si>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</si>
  <si>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</si>
  <si>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</si>
  <si>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</si>
  <si>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</si>
  <si>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</si>
  <si>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</si>
  <si>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</si>
  <si>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</si>
  <si>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</si>
  <si>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</si>
  <si>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</si>
  <si>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</si>
  <si>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</si>
  <si>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</si>
  <si>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</si>
  <si>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</si>
  <si>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</si>
  <si>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</si>
  <si>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</si>
  <si>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</si>
  <si>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</si>
  <si>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</si>
  <si>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</si>
  <si>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</si>
  <si>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</si>
  <si>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</si>
  <si>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</si>
  <si>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</si>
  <si>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</si>
  <si>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</si>
  <si>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</si>
  <si>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</si>
  <si>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</si>
  <si>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</si>
  <si>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</si>
  <si>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</si>
  <si>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</si>
  <si>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</si>
  <si>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</si>
  <si>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</si>
  <si>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</si>
  <si>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</si>
  <si>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</si>
  <si>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</si>
  <si>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</si>
  <si>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</si>
  <si>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</si>
  <si>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</si>
  <si>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</si>
  <si>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</si>
  <si>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</si>
  <si>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</si>
  <si>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</si>
  <si>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</si>
  <si>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</si>
  <si>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</si>
  <si>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</si>
  <si>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</si>
  <si>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</si>
  <si>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</si>
  <si>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</si>
  <si>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</si>
  <si>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</si>
  <si>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</si>
  <si>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</si>
  <si>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</si>
  <si>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</si>
  <si>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</si>
  <si>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</si>
  <si>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</si>
  <si>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</si>
  <si>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</si>
  <si>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</si>
  <si>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</si>
  <si>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</si>
  <si>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</si>
  <si>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</si>
  <si>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</si>
  <si>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</si>
  <si>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</si>
  <si>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</si>
  <si>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</si>
  <si>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</si>
  <si>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</si>
  <si>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</si>
  <si>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</si>
  <si>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</si>
  <si>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</si>
  <si>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</si>
  <si>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</si>
  <si>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</si>
  <si>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</si>
  <si>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</si>
  <si>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</si>
  <si>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</si>
  <si>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</si>
  <si>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</si>
  <si>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</si>
  <si>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</si>
  <si>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</si>
  <si>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</si>
  <si>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</si>
  <si>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</si>
  <si>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</si>
  <si>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</si>
  <si>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</si>
  <si>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</si>
  <si>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</si>
  <si>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</si>
  <si>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</si>
  <si>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</si>
  <si>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</si>
  <si>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</si>
  <si>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</si>
  <si>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</si>
  <si>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</si>
  <si>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</si>
  <si>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</si>
  <si>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</si>
  <si>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</si>
  <si>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</si>
  <si>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</si>
  <si>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</si>
  <si>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</si>
  <si>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</si>
  <si>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</si>
  <si>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</si>
  <si>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</si>
  <si>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</si>
  <si>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</si>
  <si>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</si>
  <si>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</si>
  <si>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</si>
  <si>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</si>
  <si>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</si>
  <si>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</si>
  <si>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</si>
  <si>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</si>
  <si>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</si>
  <si>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</si>
  <si>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</si>
  <si>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</si>
  <si>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</si>
  <si>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</si>
  <si>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</si>
  <si>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</si>
  <si>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</si>
  <si>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</si>
  <si>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</si>
  <si>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</si>
  <si>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</si>
  <si>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</si>
  <si>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</si>
  <si>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</si>
  <si>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</si>
  <si>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</si>
  <si>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</si>
  <si>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</si>
  <si>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</si>
  <si>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</si>
  <si>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</si>
  <si>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</si>
  <si>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</si>
  <si>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</si>
  <si>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</si>
  <si>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</si>
  <si>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</si>
  <si>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</si>
  <si>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</si>
  <si>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</si>
  <si>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</si>
  <si>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</si>
  <si>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</si>
  <si>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</si>
  <si>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</si>
  <si>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</si>
  <si>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</si>
  <si>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</si>
  <si>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</si>
  <si>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</si>
  <si>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</si>
  <si>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</si>
  <si>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</si>
  <si>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</si>
  <si>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</si>
  <si>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</si>
  <si>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</si>
  <si>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</si>
  <si>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</si>
  <si>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</si>
  <si>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</si>
  <si>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</si>
  <si>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</si>
  <si>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</si>
  <si>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</si>
  <si>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</si>
  <si>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</si>
  <si>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</si>
  <si>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</si>
  <si>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</si>
  <si>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</si>
  <si>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</si>
  <si>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</si>
  <si>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</si>
  <si>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</si>
  <si>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</si>
  <si>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</si>
  <si>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</si>
  <si>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</si>
  <si>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</si>
  <si>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</si>
  <si>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</si>
  <si>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</si>
  <si>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</si>
  <si>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</si>
  <si>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</si>
  <si>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</si>
  <si>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</si>
  <si>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</si>
  <si>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</si>
  <si>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</si>
  <si>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</si>
  <si>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</si>
  <si>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</si>
  <si>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</si>
  <si>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</si>
  <si>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</si>
  <si>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</si>
  <si>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</si>
  <si>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</si>
  <si>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</si>
  <si>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</si>
  <si>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</si>
  <si>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</si>
  <si>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</si>
  <si>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</si>
  <si>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</si>
  <si>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</si>
  <si>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</si>
  <si>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</si>
  <si>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</si>
  <si>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</si>
  <si>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</si>
  <si>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</si>
  <si>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</si>
  <si>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</si>
  <si>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</si>
  <si>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</si>
  <si>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</si>
  <si>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</si>
  <si>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</si>
  <si>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</si>
  <si>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</si>
  <si>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</si>
  <si>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</si>
  <si>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</si>
  <si>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</si>
  <si>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</si>
  <si>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</si>
  <si>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</si>
  <si>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108-20 71st Avenue Apt. Ph2C</t>
  </si>
  <si>
    <t>Forest Hills, NY 11375</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</si>
  <si>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</si>
  <si>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</si>
  <si>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</si>
  <si>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</si>
  <si>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</si>
  <si>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</si>
  <si>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</si>
  <si>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</si>
  <si>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</si>
  <si>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</si>
  <si>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</si>
  <si>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</si>
  <si>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Ping An Capital</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</si>
  <si>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</si>
  <si>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</si>
  <si>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</si>
  <si>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</si>
  <si>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</si>
  <si>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</si>
  <si>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</si>
  <si>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</si>
  <si>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</si>
  <si>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</si>
  <si>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</si>
  <si>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</si>
  <si>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</si>
  <si>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</si>
  <si>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</si>
  <si>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</si>
  <si>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</si>
  <si>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</si>
  <si>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</si>
  <si>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</si>
  <si>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</si>
  <si>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</si>
  <si>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</si>
  <si>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</si>
  <si>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</si>
  <si>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</si>
  <si>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</si>
  <si>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</si>
  <si>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</si>
  <si>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</si>
  <si>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</si>
  <si>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</si>
  <si>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</si>
  <si>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</si>
  <si>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</si>
  <si>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</si>
  <si>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</si>
  <si>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</si>
  <si>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</si>
  <si>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</si>
  <si>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</si>
  <si>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</si>
  <si>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</si>
  <si>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</si>
  <si>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</si>
  <si>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</si>
  <si>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</si>
  <si>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</si>
  <si>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</si>
  <si>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</si>
  <si>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</si>
  <si>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</si>
  <si>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</si>
  <si>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</si>
  <si>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</si>
  <si>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</si>
  <si>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</si>
  <si>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</si>
  <si>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</si>
  <si>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</si>
  <si>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</si>
  <si>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</si>
  <si>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</si>
  <si>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</si>
  <si>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</si>
  <si>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</si>
  <si>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old knowledge base AI approach. Used CycL language</t>
  </si>
  <si>
    <t>machine learning</t>
  </si>
  <si>
    <t>subgroup of AI where machines can extract patterns from raw data</t>
  </si>
  <si>
    <t>A simple ML algorithm which otimizes a quadratic.</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</si>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</sst>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2"/>
      <color theme="1"/>
      <name val="Calibri"/>
      <family val="2"/>
      <scheme val="minor"/>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1" fillId="0" borderId="0"/>
    <xf numFmtId="0" fontId="6" fillId="0" borderId="0" applyNumberFormat="0" applyFill="0" applyBorder="0" applyAlignment="0" applyProtection="0"/>
    <xf numFmtId="0" fontId="2" fillId="0" borderId="0"/>
    <xf numFmtId="0" fontId="7" fillId="0" borderId="0" applyNumberFormat="0" applyFill="0" applyBorder="0" applyAlignment="0" applyProtection="0"/>
  </cellStyleXfs>
  <cellXfs count="76">
    <xf numFmtId="0" fontId="0" fillId="0" borderId="0" xfId="0"/>
    <xf numFmtId="0" fontId="2" fillId="0" borderId="0" xfId="1" applyFont="1"/>
    <xf numFmtId="0" fontId="2" fillId="0" borderId="0" xfId="1" applyFont="1" applyAlignment="1">
      <alignment horizontal="right"/>
    </xf>
    <xf numFmtId="3" fontId="2" fillId="0" borderId="0" xfId="1" applyNumberFormat="1" applyFont="1" applyAlignment="1">
      <alignment horizontal="right"/>
    </xf>
    <xf numFmtId="14" fontId="2" fillId="0" borderId="0" xfId="1" applyNumberFormat="1" applyFont="1" applyAlignment="1">
      <alignment horizontal="right"/>
    </xf>
    <xf numFmtId="3" fontId="2" fillId="0" borderId="0" xfId="1" applyNumberFormat="1" applyFont="1"/>
    <xf numFmtId="3" fontId="2" fillId="0" borderId="0" xfId="1" quotePrefix="1" applyNumberFormat="1" applyFont="1" applyAlignment="1">
      <alignment horizontal="right"/>
    </xf>
    <xf numFmtId="0" fontId="2" fillId="0" borderId="0" xfId="1" quotePrefix="1" applyFont="1"/>
    <xf numFmtId="4" fontId="2" fillId="0" borderId="0" xfId="1" applyNumberFormat="1" applyFont="1"/>
    <xf numFmtId="14" fontId="3" fillId="0" borderId="0" xfId="1" applyNumberFormat="1" applyFont="1" applyAlignment="1">
      <alignment horizontal="right"/>
    </xf>
    <xf numFmtId="3" fontId="3" fillId="0" borderId="0" xfId="1" applyNumberFormat="1" applyFont="1" applyAlignment="1">
      <alignment horizontal="right"/>
    </xf>
    <xf numFmtId="0" fontId="3" fillId="0" borderId="0" xfId="1" applyFont="1" applyAlignment="1">
      <alignment horizontal="right"/>
    </xf>
    <xf numFmtId="0" fontId="4" fillId="0" borderId="0" xfId="1" applyFont="1"/>
    <xf numFmtId="0" fontId="4" fillId="0" borderId="0" xfId="1" applyFont="1" applyAlignment="1">
      <alignment horizontal="right"/>
    </xf>
    <xf numFmtId="14" fontId="4" fillId="0" borderId="0" xfId="1" applyNumberFormat="1" applyFont="1" applyAlignment="1">
      <alignment horizontal="right"/>
    </xf>
    <xf numFmtId="3" fontId="4" fillId="0" borderId="0" xfId="1" applyNumberFormat="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9" fontId="2" fillId="0" borderId="0" xfId="1" applyNumberFormat="1" applyFont="1"/>
    <xf numFmtId="164" fontId="2" fillId="0" borderId="0" xfId="1" applyNumberFormat="1" applyFont="1"/>
    <xf numFmtId="10" fontId="2" fillId="0" borderId="0" xfId="1" applyNumberFormat="1" applyFont="1"/>
    <xf numFmtId="164" fontId="4" fillId="0" borderId="0" xfId="1" applyNumberFormat="1" applyFont="1"/>
    <xf numFmtId="10" fontId="4" fillId="0" borderId="0" xfId="1" applyNumberFormat="1" applyFont="1"/>
    <xf numFmtId="0" fontId="4" fillId="0" borderId="0" xfId="1" applyFont="1" applyAlignment="1">
      <alignment horizontal="left"/>
    </xf>
    <xf numFmtId="0" fontId="2" fillId="0" borderId="0" xfId="1" applyFont="1" applyAlignment="1">
      <alignment horizontal="left"/>
    </xf>
    <xf numFmtId="0" fontId="2" fillId="0" borderId="0" xfId="1" applyFont="1" applyAlignment="1">
      <alignment horizontal="center"/>
    </xf>
    <xf numFmtId="0" fontId="2" fillId="0" borderId="1" xfId="1" applyFont="1" applyBorder="1"/>
    <xf numFmtId="0" fontId="7" fillId="0" borderId="0" xfId="2" applyFont="1"/>
    <xf numFmtId="0" fontId="8" fillId="0" borderId="0" xfId="1" applyFont="1"/>
    <xf numFmtId="3" fontId="2" fillId="0" borderId="0" xfId="1" applyNumberFormat="1" applyFont="1" applyAlignment="1">
      <alignment horizontal="left"/>
    </xf>
    <xf numFmtId="14" fontId="9" fillId="0" borderId="0" xfId="1" applyNumberFormat="1" applyFont="1" applyAlignment="1">
      <alignment horizontal="right"/>
    </xf>
    <xf numFmtId="14" fontId="2" fillId="0" borderId="0" xfId="1" applyNumberFormat="1" applyFont="1"/>
    <xf numFmtId="0" fontId="10" fillId="0" borderId="0" xfId="2" applyFont="1"/>
    <xf numFmtId="17" fontId="2" fillId="0" borderId="0" xfId="1" applyNumberFormat="1" applyFont="1"/>
    <xf numFmtId="0" fontId="4" fillId="0" borderId="0" xfId="1" applyFont="1" applyAlignment="1">
      <alignment horizontal="center"/>
    </xf>
    <xf numFmtId="14" fontId="4" fillId="0" borderId="0" xfId="1" applyNumberFormat="1" applyFont="1"/>
    <xf numFmtId="0" fontId="9" fillId="0" borderId="0" xfId="1" applyFont="1" applyAlignment="1">
      <alignment horizontal="right"/>
    </xf>
    <xf numFmtId="17" fontId="4" fillId="0" borderId="0" xfId="1" applyNumberFormat="1" applyFont="1"/>
    <xf numFmtId="0" fontId="4" fillId="0" borderId="0" xfId="1" quotePrefix="1" applyFont="1" applyAlignment="1">
      <alignment horizontal="right"/>
    </xf>
    <xf numFmtId="0" fontId="11" fillId="0" borderId="0" xfId="1" applyFont="1"/>
    <xf numFmtId="14" fontId="2" fillId="0" borderId="0" xfId="1" applyNumberFormat="1" applyFont="1" applyAlignment="1">
      <alignment horizontal="left"/>
    </xf>
    <xf numFmtId="14" fontId="12" fillId="0" borderId="0" xfId="1" applyNumberFormat="1" applyFont="1" applyAlignment="1">
      <alignment horizontal="right"/>
    </xf>
    <xf numFmtId="0" fontId="2" fillId="0" borderId="0" xfId="1" quotePrefix="1" applyFont="1" applyAlignment="1">
      <alignment horizontal="right"/>
    </xf>
    <xf numFmtId="17" fontId="2" fillId="0" borderId="0" xfId="1" quotePrefix="1" applyNumberFormat="1" applyFont="1" applyAlignment="1">
      <alignment horizontal="right"/>
    </xf>
    <xf numFmtId="0" fontId="13" fillId="0" borderId="0" xfId="1" applyFont="1"/>
    <xf numFmtId="17" fontId="4" fillId="0" borderId="0" xfId="1" quotePrefix="1" applyNumberFormat="1" applyFont="1" applyAlignment="1">
      <alignment horizontal="right"/>
    </xf>
    <xf numFmtId="0" fontId="4" fillId="0" borderId="0" xfId="1" quotePrefix="1" applyFont="1"/>
    <xf numFmtId="0" fontId="14" fillId="0" borderId="0" xfId="2" applyFont="1"/>
    <xf numFmtId="14" fontId="2" fillId="0" borderId="0" xfId="1" quotePrefix="1" applyNumberFormat="1" applyFont="1" applyAlignment="1">
      <alignment horizontal="right"/>
    </xf>
    <xf numFmtId="17" fontId="13" fillId="0" borderId="0" xfId="1" applyNumberFormat="1" applyFont="1"/>
    <xf numFmtId="4" fontId="2" fillId="0" borderId="0" xfId="1" applyNumberFormat="1" applyFont="1" applyAlignment="1">
      <alignment horizontal="left"/>
    </xf>
    <xf numFmtId="0" fontId="15" fillId="0" borderId="0" xfId="2" applyFont="1"/>
    <xf numFmtId="3" fontId="9" fillId="0" borderId="0" xfId="1" applyNumberFormat="1" applyFont="1" applyAlignment="1">
      <alignment horizontal="right"/>
    </xf>
    <xf numFmtId="3" fontId="2" fillId="2" borderId="0" xfId="1" applyNumberFormat="1" applyFont="1" applyFill="1" applyAlignment="1">
      <alignment horizontal="right"/>
    </xf>
    <xf numFmtId="0" fontId="2" fillId="0" borderId="0" xfId="3"/>
    <xf numFmtId="0" fontId="2" fillId="0" borderId="0" xfId="3" applyAlignment="1">
      <alignment horizontal="left"/>
    </xf>
    <xf numFmtId="0" fontId="2" fillId="0" borderId="0" xfId="3" applyAlignment="1">
      <alignment horizontal="right"/>
    </xf>
    <xf numFmtId="3" fontId="2" fillId="0" borderId="0" xfId="3" applyNumberFormat="1" applyAlignment="1">
      <alignment horizontal="right"/>
    </xf>
    <xf numFmtId="0" fontId="2" fillId="0" borderId="0" xfId="3" applyAlignment="1">
      <alignment horizontal="center"/>
    </xf>
    <xf numFmtId="0" fontId="7" fillId="0" borderId="0" xfId="4" applyAlignment="1"/>
    <xf numFmtId="0" fontId="7" fillId="0" borderId="0" xfId="4"/>
    <xf numFmtId="0" fontId="8" fillId="0" borderId="0" xfId="3" applyFont="1"/>
    <xf numFmtId="0" fontId="4" fillId="0" borderId="0" xfId="3" applyFont="1"/>
    <xf numFmtId="0" fontId="6" fillId="0" borderId="0" xfId="2"/>
    <xf numFmtId="0" fontId="2" fillId="0" borderId="0" xfId="0" applyFont="1"/>
    <xf numFmtId="0" fontId="2" fillId="2" borderId="0" xfId="1" applyFont="1" applyFill="1"/>
    <xf numFmtId="0" fontId="2" fillId="2" borderId="0" xfId="1" applyFont="1" applyFill="1" applyAlignment="1">
      <alignment horizontal="right"/>
    </xf>
    <xf numFmtId="14" fontId="2" fillId="2" borderId="0" xfId="1" applyNumberFormat="1" applyFont="1" applyFill="1" applyAlignment="1">
      <alignment horizontal="right"/>
    </xf>
    <xf numFmtId="0" fontId="4" fillId="2" borderId="0" xfId="1" applyFont="1" applyFill="1"/>
    <xf numFmtId="0" fontId="4" fillId="2" borderId="0" xfId="1" applyFont="1" applyFill="1" applyAlignment="1">
      <alignment horizontal="right"/>
    </xf>
    <xf numFmtId="3" fontId="4" fillId="2" borderId="0" xfId="1" applyNumberFormat="1" applyFont="1" applyFill="1" applyAlignment="1">
      <alignment horizontal="right"/>
    </xf>
    <xf numFmtId="14" fontId="4" fillId="2" borderId="0" xfId="1" applyNumberFormat="1" applyFont="1" applyFill="1" applyAlignment="1">
      <alignment horizontal="right"/>
    </xf>
    <xf numFmtId="0" fontId="2" fillId="0" borderId="2" xfId="1" applyFont="1" applyBorder="1" applyAlignment="1">
      <alignment horizontal="right"/>
    </xf>
    <xf numFmtId="3" fontId="4" fillId="0" borderId="0" xfId="1" applyNumberFormat="1" applyFont="1"/>
    <xf numFmtId="3" fontId="16"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42"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614" dT="2023-06-28T22:40:44.43" personId="{00000000-0000-0000-0000-000000000000}" id="{2693FE7F-F554-E548-8264-1036732DDEF4}">
    <text>Amplify Partners V, Amplify Select (6/13/22)</text>
  </threadedComment>
  <threadedComment ref="I800"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117" Type="http://schemas.openxmlformats.org/officeDocument/2006/relationships/printerSettings" Target="../printerSettings/printerSettings1.bin"/><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vmlDrawing" Target="../drawings/vmlDrawing1.vm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openxmlformats.org/officeDocument/2006/relationships/comments" Target="../comments1.xm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44" Type="http://schemas.openxmlformats.org/officeDocument/2006/relationships/hyperlink" Target="http://www.gong.io/" TargetMode="External"/><Relationship Id="rId52" Type="http://schemas.openxmlformats.org/officeDocument/2006/relationships/hyperlink" Target="http://www.shift-technology.com/"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120" Type="http://schemas.microsoft.com/office/2017/10/relationships/threadedComment" Target="../threadedComments/threadedComment1.x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election activeCell="D2" sqref="D2"/>
    </sheetView>
  </sheetViews>
  <sheetFormatPr baseColWidth="10" defaultRowHeight="16"/>
  <cols>
    <col min="1" max="1" width="3.6640625" customWidth="1"/>
  </cols>
  <sheetData>
    <row r="2" spans="2:2">
      <c r="B2" s="64" t="s">
        <v>4411</v>
      </c>
    </row>
    <row r="3" spans="2:2">
      <c r="B3" s="64" t="s">
        <v>4080</v>
      </c>
    </row>
    <row r="4" spans="2:2">
      <c r="B4" t="s">
        <v>4412</v>
      </c>
    </row>
    <row r="5" spans="2:2">
      <c r="B5" t="s">
        <v>4413</v>
      </c>
    </row>
    <row r="6" spans="2:2">
      <c r="B6" t="s">
        <v>4084</v>
      </c>
    </row>
  </sheetData>
  <hyperlinks>
    <hyperlink ref="B2" location="Companies!A1" display="Companies" xr:uid="{B492CD14-87EE-8946-8D30-3C22D044802C}"/>
    <hyperlink ref="B3" location="Investors!A1" display="Investors" xr:uid="{45D318EA-841D-A546-9FF6-68D1D961E75A}"/>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46"/>
  <sheetViews>
    <sheetView tabSelected="1" zoomScaleNormal="100" workbookViewId="0">
      <pane xSplit="2" ySplit="2" topLeftCell="C1305" activePane="bottomRight" state="frozen"/>
      <selection pane="topRight" activeCell="C1" sqref="C1"/>
      <selection pane="bottomLeft" activeCell="A3" sqref="A3"/>
      <selection pane="bottomRight" activeCell="C1346" sqref="C1346"/>
    </sheetView>
  </sheetViews>
  <sheetFormatPr baseColWidth="10" defaultColWidth="9.1640625" defaultRowHeight="13"/>
  <cols>
    <col min="1" max="1" width="5" style="1" bestFit="1" customWidth="1"/>
    <col min="2" max="2" width="25.1640625" style="1" customWidth="1"/>
    <col min="3" max="3" width="10.83203125" style="26" customWidth="1"/>
    <col min="4" max="4" width="10.33203125" style="3" customWidth="1"/>
    <col min="5" max="5" width="11" style="1" customWidth="1"/>
    <col min="6" max="6" width="9.1640625" style="3"/>
    <col min="7" max="7" width="11.33203125" style="2" customWidth="1"/>
    <col min="8" max="8" width="23.5" style="1" customWidth="1"/>
    <col min="9" max="9" width="20.6640625" style="1" customWidth="1"/>
    <col min="10" max="10" width="10.1640625" style="1" bestFit="1" customWidth="1"/>
    <col min="11" max="11" width="11.5" style="1" customWidth="1"/>
    <col min="12" max="12" width="11.6640625" style="1" customWidth="1"/>
    <col min="13" max="13" width="14.83203125" style="1" customWidth="1"/>
    <col min="14" max="14" width="9.1640625" style="1"/>
    <col min="15" max="26" width="9.1640625" style="25"/>
    <col min="27" max="27" width="16" style="1" customWidth="1"/>
    <col min="28" max="28" width="9.1640625" style="1"/>
    <col min="29" max="29" width="10.33203125" style="1" customWidth="1"/>
    <col min="30" max="16384" width="9.1640625" style="1"/>
  </cols>
  <sheetData>
    <row r="1" spans="1:30">
      <c r="A1" s="28" t="s">
        <v>1203</v>
      </c>
      <c r="D1" s="3">
        <f>SUM(D10:D310)</f>
        <v>346271.21428571426</v>
      </c>
    </row>
    <row r="2" spans="1:30">
      <c r="B2" s="1" t="s">
        <v>4089</v>
      </c>
      <c r="C2" s="26" t="s">
        <v>4088</v>
      </c>
      <c r="D2" s="3" t="s">
        <v>4087</v>
      </c>
      <c r="E2" s="1" t="s">
        <v>4086</v>
      </c>
      <c r="F2" s="3" t="s">
        <v>1195</v>
      </c>
      <c r="G2" s="2" t="s">
        <v>1194</v>
      </c>
      <c r="H2" s="1" t="s">
        <v>4085</v>
      </c>
      <c r="I2" s="1" t="s">
        <v>4084</v>
      </c>
      <c r="J2" s="1" t="s">
        <v>4083</v>
      </c>
      <c r="K2" s="1" t="s">
        <v>4082</v>
      </c>
      <c r="L2" s="2" t="s">
        <v>1191</v>
      </c>
      <c r="M2" s="1" t="s">
        <v>1188</v>
      </c>
      <c r="N2" s="1" t="s">
        <v>4080</v>
      </c>
      <c r="O2" s="25" t="s">
        <v>4081</v>
      </c>
      <c r="P2" s="25" t="s">
        <v>1195</v>
      </c>
      <c r="Q2" s="25" t="s">
        <v>4080</v>
      </c>
      <c r="R2" s="25" t="s">
        <v>4081</v>
      </c>
      <c r="S2" s="25" t="s">
        <v>1195</v>
      </c>
      <c r="T2" s="25" t="s">
        <v>4080</v>
      </c>
      <c r="U2" s="25" t="s">
        <v>4081</v>
      </c>
      <c r="V2" s="25" t="s">
        <v>1195</v>
      </c>
      <c r="W2" s="25" t="s">
        <v>4080</v>
      </c>
      <c r="X2" s="25" t="s">
        <v>4081</v>
      </c>
      <c r="Y2" s="25" t="s">
        <v>1195</v>
      </c>
      <c r="Z2" s="25" t="s">
        <v>4080</v>
      </c>
      <c r="AA2" s="1" t="s">
        <v>4079</v>
      </c>
      <c r="AB2" s="1" t="s">
        <v>4078</v>
      </c>
    </row>
    <row r="3" spans="1:30" ht="14">
      <c r="A3" s="1">
        <v>1</v>
      </c>
      <c r="B3" s="1" t="s">
        <v>4046</v>
      </c>
      <c r="C3" s="26" t="s">
        <v>4077</v>
      </c>
      <c r="D3" s="3">
        <v>2000000</v>
      </c>
      <c r="E3" s="1" t="s">
        <v>1</v>
      </c>
      <c r="F3" s="3" t="s">
        <v>1</v>
      </c>
      <c r="G3" s="2" t="s">
        <v>1</v>
      </c>
      <c r="H3" s="1" t="s">
        <v>4447</v>
      </c>
      <c r="I3" s="1" t="s">
        <v>4076</v>
      </c>
      <c r="J3" s="1" t="s">
        <v>2091</v>
      </c>
      <c r="K3" s="1" t="s">
        <v>2102</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4075</v>
      </c>
      <c r="AB3" s="33" t="s">
        <v>4074</v>
      </c>
      <c r="AC3" s="33" t="s">
        <v>4073</v>
      </c>
      <c r="AD3" s="1">
        <v>14000</v>
      </c>
    </row>
    <row r="4" spans="1:30" ht="14">
      <c r="A4" s="1">
        <f>A3+1</f>
        <v>2</v>
      </c>
      <c r="B4" s="1" t="s">
        <v>3944</v>
      </c>
      <c r="C4" s="26" t="s">
        <v>4072</v>
      </c>
      <c r="D4" s="3">
        <v>1000000</v>
      </c>
      <c r="E4" s="1" t="s">
        <v>1</v>
      </c>
      <c r="F4" s="3" t="s">
        <v>1</v>
      </c>
      <c r="G4" s="2" t="s">
        <v>1</v>
      </c>
      <c r="H4" s="1" t="s">
        <v>4071</v>
      </c>
      <c r="I4" s="1" t="s">
        <v>4440</v>
      </c>
      <c r="J4" s="1" t="s">
        <v>2361</v>
      </c>
      <c r="K4" s="1" t="s">
        <v>2829</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2089</v>
      </c>
      <c r="AB4" s="33" t="s">
        <v>4069</v>
      </c>
      <c r="AC4" s="33" t="s">
        <v>4068</v>
      </c>
      <c r="AD4" s="1">
        <v>600</v>
      </c>
    </row>
    <row r="5" spans="1:30" ht="14">
      <c r="A5" s="1">
        <f t="shared" ref="A5:A71" si="0">A4+1</f>
        <v>3</v>
      </c>
      <c r="B5" s="1" t="s">
        <v>4067</v>
      </c>
      <c r="C5" s="26" t="s">
        <v>4066</v>
      </c>
      <c r="D5" s="3">
        <v>1000000</v>
      </c>
      <c r="E5" s="1" t="s">
        <v>1</v>
      </c>
      <c r="F5" s="3" t="s">
        <v>1</v>
      </c>
      <c r="G5" s="2" t="s">
        <v>1</v>
      </c>
      <c r="H5" s="1" t="s">
        <v>4036</v>
      </c>
      <c r="J5" s="1" t="s">
        <v>2361</v>
      </c>
      <c r="K5" s="1" t="s">
        <v>3999</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4065</v>
      </c>
      <c r="AB5" s="33" t="s">
        <v>4064</v>
      </c>
      <c r="AC5" s="1" t="s">
        <v>4063</v>
      </c>
      <c r="AD5" s="1">
        <v>250</v>
      </c>
    </row>
    <row r="6" spans="1:30">
      <c r="A6" s="1">
        <f t="shared" si="0"/>
        <v>4</v>
      </c>
      <c r="B6" s="1" t="s">
        <v>4062</v>
      </c>
      <c r="C6" s="26" t="s">
        <v>4061</v>
      </c>
      <c r="D6" s="3">
        <v>1000000</v>
      </c>
      <c r="E6" s="1" t="s">
        <v>1</v>
      </c>
      <c r="F6" s="3" t="s">
        <v>1</v>
      </c>
      <c r="G6" s="2" t="s">
        <v>1</v>
      </c>
      <c r="H6" s="1" t="s">
        <v>4503</v>
      </c>
      <c r="J6" s="1" t="s">
        <v>2091</v>
      </c>
      <c r="K6" s="1" t="s">
        <v>2102</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2964</v>
      </c>
      <c r="AB6" s="28" t="s">
        <v>4528</v>
      </c>
      <c r="AC6" s="28" t="s">
        <v>4060</v>
      </c>
      <c r="AD6" s="1">
        <v>50</v>
      </c>
    </row>
    <row r="7" spans="1:30" ht="14">
      <c r="A7" s="1">
        <f t="shared" si="0"/>
        <v>5</v>
      </c>
      <c r="B7" s="1" t="s">
        <v>1115</v>
      </c>
      <c r="C7" s="26" t="s">
        <v>4059</v>
      </c>
      <c r="D7" s="3">
        <v>1000000</v>
      </c>
      <c r="E7" s="1" t="s">
        <v>1</v>
      </c>
      <c r="F7" s="3" t="s">
        <v>1</v>
      </c>
      <c r="G7" s="2" t="s">
        <v>1</v>
      </c>
      <c r="H7" s="1" t="s">
        <v>4441</v>
      </c>
      <c r="J7" s="1" t="s">
        <v>2091</v>
      </c>
      <c r="K7" s="1" t="s">
        <v>2147</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2330</v>
      </c>
      <c r="AB7" s="33" t="s">
        <v>4058</v>
      </c>
    </row>
    <row r="8" spans="1:30" ht="14">
      <c r="A8" s="1">
        <f t="shared" si="0"/>
        <v>6</v>
      </c>
      <c r="B8" s="1" t="s">
        <v>794</v>
      </c>
      <c r="C8" s="26" t="s">
        <v>4057</v>
      </c>
      <c r="D8" s="3">
        <v>750000</v>
      </c>
      <c r="E8" s="1" t="s">
        <v>1</v>
      </c>
      <c r="F8" s="3" t="s">
        <v>1</v>
      </c>
      <c r="G8" s="2" t="s">
        <v>1</v>
      </c>
      <c r="H8" s="1" t="s">
        <v>4448</v>
      </c>
      <c r="I8" s="1" t="s">
        <v>4056</v>
      </c>
      <c r="J8" s="1" t="s">
        <v>2361</v>
      </c>
      <c r="K8" s="1" t="s">
        <v>2762</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3728</v>
      </c>
      <c r="AB8" s="33" t="s">
        <v>4055</v>
      </c>
    </row>
    <row r="9" spans="1:30">
      <c r="A9" s="1">
        <f t="shared" si="0"/>
        <v>7</v>
      </c>
      <c r="B9" s="1" t="s">
        <v>4054</v>
      </c>
      <c r="C9" s="26" t="s">
        <v>4053</v>
      </c>
      <c r="D9" s="3">
        <v>50000</v>
      </c>
      <c r="E9" s="1" t="s">
        <v>3887</v>
      </c>
      <c r="F9" s="3">
        <v>109</v>
      </c>
      <c r="G9" s="4">
        <v>38569</v>
      </c>
      <c r="H9" s="1" t="s">
        <v>4052</v>
      </c>
      <c r="I9" s="1" t="s">
        <v>4051</v>
      </c>
      <c r="J9" s="1" t="s">
        <v>2091</v>
      </c>
      <c r="K9" s="1" t="s">
        <v>2829</v>
      </c>
      <c r="L9" s="1">
        <v>1999</v>
      </c>
      <c r="N9" s="1" t="s">
        <v>1</v>
      </c>
      <c r="O9" s="1" t="s">
        <v>1</v>
      </c>
      <c r="P9" s="1" t="s">
        <v>1</v>
      </c>
      <c r="Q9" s="1" t="s">
        <v>1</v>
      </c>
      <c r="R9" s="1" t="s">
        <v>1</v>
      </c>
      <c r="S9" s="1" t="s">
        <v>1</v>
      </c>
      <c r="T9" s="1" t="s">
        <v>1</v>
      </c>
      <c r="U9" s="1" t="s">
        <v>1</v>
      </c>
      <c r="V9" s="1" t="s">
        <v>1</v>
      </c>
      <c r="W9" s="1" t="s">
        <v>1</v>
      </c>
      <c r="X9" s="1" t="s">
        <v>1</v>
      </c>
      <c r="Y9" s="1" t="s">
        <v>1</v>
      </c>
      <c r="Z9" s="1" t="s">
        <v>1</v>
      </c>
      <c r="AA9" s="1" t="s">
        <v>2423</v>
      </c>
      <c r="AB9" s="28" t="s">
        <v>4050</v>
      </c>
    </row>
    <row r="10" spans="1:30" s="12" customFormat="1">
      <c r="A10" s="1">
        <f t="shared" si="0"/>
        <v>8</v>
      </c>
      <c r="B10" s="12" t="s">
        <v>0</v>
      </c>
      <c r="C10" s="35" t="s">
        <v>1729</v>
      </c>
      <c r="D10" s="15">
        <v>28700</v>
      </c>
      <c r="E10" s="12" t="s">
        <v>1</v>
      </c>
      <c r="F10" s="15">
        <v>300</v>
      </c>
      <c r="G10" s="14">
        <v>45044</v>
      </c>
      <c r="H10" s="12" t="s">
        <v>4049</v>
      </c>
      <c r="I10" s="12" t="s">
        <v>4669</v>
      </c>
      <c r="J10" s="12" t="s">
        <v>2626</v>
      </c>
      <c r="K10" s="12" t="s">
        <v>3234</v>
      </c>
      <c r="L10" s="12">
        <v>2015</v>
      </c>
      <c r="N10" s="12" t="s">
        <v>4048</v>
      </c>
      <c r="O10" s="24" t="s">
        <v>1</v>
      </c>
      <c r="P10" s="24" t="s">
        <v>4047</v>
      </c>
      <c r="Q10" s="24" t="s">
        <v>4046</v>
      </c>
      <c r="R10" s="24" t="s">
        <v>4</v>
      </c>
      <c r="S10" s="24" t="s">
        <v>1</v>
      </c>
      <c r="T10" s="24" t="s">
        <v>4045</v>
      </c>
      <c r="U10" s="24" t="s">
        <v>1</v>
      </c>
      <c r="V10" s="24" t="s">
        <v>1</v>
      </c>
      <c r="W10" s="24" t="s">
        <v>1</v>
      </c>
      <c r="X10" s="24" t="s">
        <v>1</v>
      </c>
      <c r="Y10" s="24" t="s">
        <v>1</v>
      </c>
      <c r="Z10" s="24" t="s">
        <v>1</v>
      </c>
      <c r="AA10" s="12" t="s">
        <v>2415</v>
      </c>
      <c r="AB10" s="28" t="s">
        <v>4044</v>
      </c>
    </row>
    <row r="11" spans="1:30">
      <c r="A11" s="1">
        <f t="shared" si="0"/>
        <v>9</v>
      </c>
      <c r="B11" s="1" t="s">
        <v>4043</v>
      </c>
      <c r="C11" s="26" t="s">
        <v>4042</v>
      </c>
      <c r="D11" s="3">
        <v>32480</v>
      </c>
      <c r="E11" s="1" t="s">
        <v>3887</v>
      </c>
      <c r="F11" s="3">
        <v>444</v>
      </c>
      <c r="G11" s="4">
        <v>41894</v>
      </c>
      <c r="I11" s="1" t="s">
        <v>4549</v>
      </c>
      <c r="J11" s="1" t="s">
        <v>2091</v>
      </c>
      <c r="K11" s="1" t="s">
        <v>2102</v>
      </c>
      <c r="L11" s="1">
        <v>2003</v>
      </c>
      <c r="N11" s="1" t="s">
        <v>4563</v>
      </c>
      <c r="O11" s="25" t="s">
        <v>2539</v>
      </c>
      <c r="P11" s="25" t="s">
        <v>4559</v>
      </c>
      <c r="Q11" s="25" t="s">
        <v>4560</v>
      </c>
      <c r="R11" s="25" t="s">
        <v>513</v>
      </c>
      <c r="S11" s="25">
        <v>56</v>
      </c>
      <c r="T11" s="25" t="s">
        <v>4557</v>
      </c>
      <c r="U11" s="25" t="s">
        <v>9</v>
      </c>
      <c r="V11" s="25">
        <v>50</v>
      </c>
      <c r="W11" s="25" t="s">
        <v>4555</v>
      </c>
      <c r="X11" s="25" t="s">
        <v>8</v>
      </c>
      <c r="Y11" s="25" t="s">
        <v>4556</v>
      </c>
      <c r="Z11" s="25" t="s">
        <v>4553</v>
      </c>
      <c r="AA11" s="1" t="s">
        <v>4530</v>
      </c>
      <c r="AB11" s="28" t="s">
        <v>4529</v>
      </c>
    </row>
    <row r="12" spans="1:30">
      <c r="A12" s="1">
        <f t="shared" si="0"/>
        <v>10</v>
      </c>
      <c r="B12" s="1" t="s">
        <v>1024</v>
      </c>
      <c r="C12" s="26" t="s">
        <v>1729</v>
      </c>
      <c r="D12" s="3">
        <v>25000</v>
      </c>
      <c r="F12" s="3">
        <v>1600</v>
      </c>
      <c r="H12" s="1" t="s">
        <v>4041</v>
      </c>
      <c r="J12" s="1" t="s">
        <v>2091</v>
      </c>
      <c r="K12" s="1" t="s">
        <v>4040</v>
      </c>
      <c r="L12" s="1">
        <v>2013</v>
      </c>
      <c r="N12" s="1" t="s">
        <v>4039</v>
      </c>
      <c r="AA12" s="1" t="s">
        <v>2415</v>
      </c>
      <c r="AB12" s="28" t="s">
        <v>4531</v>
      </c>
    </row>
    <row r="13" spans="1:30" ht="14">
      <c r="A13" s="1">
        <f t="shared" si="0"/>
        <v>11</v>
      </c>
      <c r="B13" s="1" t="s">
        <v>4038</v>
      </c>
      <c r="C13" s="26" t="s">
        <v>1729</v>
      </c>
      <c r="D13" s="3">
        <v>21000</v>
      </c>
      <c r="F13" s="3" t="s">
        <v>4037</v>
      </c>
      <c r="H13" s="1" t="s">
        <v>4036</v>
      </c>
      <c r="J13" s="1" t="s">
        <v>2361</v>
      </c>
      <c r="K13" s="1" t="s">
        <v>3999</v>
      </c>
      <c r="L13" s="1">
        <v>2013</v>
      </c>
      <c r="AA13" s="1" t="s">
        <v>2415</v>
      </c>
      <c r="AB13" s="33" t="s">
        <v>4532</v>
      </c>
    </row>
    <row r="14" spans="1:30" ht="14">
      <c r="A14" s="1">
        <f t="shared" si="0"/>
        <v>12</v>
      </c>
      <c r="B14" s="1" t="s">
        <v>1159</v>
      </c>
      <c r="C14" s="26" t="s">
        <v>1729</v>
      </c>
      <c r="D14" s="3">
        <v>30000</v>
      </c>
      <c r="E14" s="1" t="s">
        <v>7</v>
      </c>
      <c r="F14" s="3">
        <v>2500</v>
      </c>
      <c r="G14" s="4">
        <v>44363</v>
      </c>
      <c r="H14" s="1" t="s">
        <v>4036</v>
      </c>
      <c r="I14" s="1" t="s">
        <v>4035</v>
      </c>
      <c r="J14" s="1" t="s">
        <v>2361</v>
      </c>
      <c r="K14" s="1" t="s">
        <v>3999</v>
      </c>
      <c r="L14" s="1">
        <v>2009</v>
      </c>
      <c r="M14" s="1" t="s">
        <v>4034</v>
      </c>
      <c r="N14" s="1" t="s">
        <v>4033</v>
      </c>
      <c r="O14" s="25" t="s">
        <v>5</v>
      </c>
      <c r="P14" s="25">
        <v>3000</v>
      </c>
      <c r="Q14" s="25" t="s">
        <v>4032</v>
      </c>
      <c r="R14" s="25" t="s">
        <v>1</v>
      </c>
      <c r="S14" s="25" t="s">
        <v>1</v>
      </c>
      <c r="T14" s="25" t="s">
        <v>1</v>
      </c>
      <c r="U14" s="25" t="s">
        <v>1</v>
      </c>
      <c r="V14" s="25" t="s">
        <v>1</v>
      </c>
      <c r="W14" s="25" t="s">
        <v>1</v>
      </c>
      <c r="X14" s="25" t="s">
        <v>1</v>
      </c>
      <c r="Y14" s="25" t="s">
        <v>1</v>
      </c>
      <c r="Z14" s="25" t="s">
        <v>1</v>
      </c>
      <c r="AA14" s="1" t="s">
        <v>2089</v>
      </c>
      <c r="AB14" s="33" t="s">
        <v>4533</v>
      </c>
    </row>
    <row r="15" spans="1:30" ht="14">
      <c r="A15" s="1">
        <f t="shared" si="0"/>
        <v>13</v>
      </c>
      <c r="B15" s="1" t="s">
        <v>4031</v>
      </c>
      <c r="C15" s="26" t="s">
        <v>4030</v>
      </c>
      <c r="D15" s="3">
        <v>20000</v>
      </c>
      <c r="E15" s="1" t="s">
        <v>3887</v>
      </c>
      <c r="F15" s="3" t="s">
        <v>1</v>
      </c>
      <c r="G15" s="4">
        <v>39591</v>
      </c>
      <c r="H15" s="1" t="s">
        <v>4029</v>
      </c>
      <c r="I15" s="1" t="s">
        <v>4028</v>
      </c>
      <c r="J15" s="1" t="s">
        <v>2361</v>
      </c>
      <c r="K15" s="1" t="s">
        <v>2578</v>
      </c>
      <c r="L15" s="1">
        <v>1999</v>
      </c>
      <c r="M15" s="1" t="s">
        <v>3560</v>
      </c>
      <c r="N15" s="1" t="s">
        <v>3887</v>
      </c>
      <c r="O15" s="25" t="s">
        <v>1</v>
      </c>
      <c r="P15" s="25" t="s">
        <v>1</v>
      </c>
      <c r="Q15" s="25" t="s">
        <v>1</v>
      </c>
      <c r="R15" s="25" t="s">
        <v>1</v>
      </c>
      <c r="S15" s="25" t="s">
        <v>1</v>
      </c>
      <c r="T15" s="25" t="s">
        <v>1</v>
      </c>
      <c r="U15" s="25" t="s">
        <v>1</v>
      </c>
      <c r="V15" s="25" t="s">
        <v>1</v>
      </c>
      <c r="W15" s="25" t="s">
        <v>1</v>
      </c>
      <c r="X15" s="25" t="s">
        <v>1</v>
      </c>
      <c r="Y15" s="25" t="s">
        <v>1</v>
      </c>
      <c r="Z15" s="25" t="s">
        <v>1</v>
      </c>
      <c r="AA15" s="1" t="s">
        <v>4027</v>
      </c>
      <c r="AB15" s="33" t="s">
        <v>4534</v>
      </c>
    </row>
    <row r="16" spans="1:30">
      <c r="A16" s="1">
        <f t="shared" si="0"/>
        <v>14</v>
      </c>
      <c r="B16" s="1" t="s">
        <v>4026</v>
      </c>
      <c r="C16" s="26" t="s">
        <v>4025</v>
      </c>
      <c r="D16" s="3">
        <v>12570</v>
      </c>
      <c r="E16" s="1" t="s">
        <v>1</v>
      </c>
      <c r="F16" s="1" t="s">
        <v>1</v>
      </c>
      <c r="G16" s="1" t="s">
        <v>1</v>
      </c>
      <c r="H16" s="1" t="s">
        <v>4024</v>
      </c>
      <c r="J16" s="1" t="s">
        <v>2091</v>
      </c>
      <c r="K16" s="1" t="s">
        <v>2372</v>
      </c>
      <c r="L16" s="1">
        <v>1986</v>
      </c>
      <c r="M16" s="1" t="s">
        <v>4023</v>
      </c>
      <c r="N16" s="1" t="s">
        <v>1</v>
      </c>
      <c r="O16" s="1" t="s">
        <v>1</v>
      </c>
      <c r="P16" s="1" t="s">
        <v>1</v>
      </c>
      <c r="Q16" s="1" t="s">
        <v>1</v>
      </c>
      <c r="R16" s="1" t="s">
        <v>1</v>
      </c>
      <c r="S16" s="1" t="s">
        <v>1</v>
      </c>
      <c r="T16" s="1" t="s">
        <v>1</v>
      </c>
      <c r="U16" s="1" t="s">
        <v>1</v>
      </c>
      <c r="V16" s="1" t="s">
        <v>1</v>
      </c>
      <c r="W16" s="1" t="s">
        <v>1</v>
      </c>
      <c r="X16" s="1" t="s">
        <v>1</v>
      </c>
      <c r="Y16" s="1" t="s">
        <v>1</v>
      </c>
      <c r="Z16" s="1" t="s">
        <v>1</v>
      </c>
      <c r="AA16" s="1" t="s">
        <v>4022</v>
      </c>
      <c r="AB16" s="28" t="s">
        <v>4021</v>
      </c>
    </row>
    <row r="17" spans="1:28" ht="14">
      <c r="A17" s="1">
        <f t="shared" si="0"/>
        <v>15</v>
      </c>
      <c r="B17" s="1" t="s">
        <v>4020</v>
      </c>
      <c r="C17" s="26" t="s">
        <v>4019</v>
      </c>
      <c r="D17" s="3">
        <v>11000</v>
      </c>
      <c r="E17" s="1" t="s">
        <v>3887</v>
      </c>
      <c r="F17" s="3">
        <v>740</v>
      </c>
      <c r="G17" s="4">
        <v>44560</v>
      </c>
      <c r="H17" s="1" t="s">
        <v>2090</v>
      </c>
      <c r="I17" s="1" t="s">
        <v>4018</v>
      </c>
      <c r="J17" s="1" t="s">
        <v>2091</v>
      </c>
      <c r="K17" s="1" t="s">
        <v>2090</v>
      </c>
      <c r="L17" s="32">
        <v>41913</v>
      </c>
      <c r="M17" s="1" t="s">
        <v>3560</v>
      </c>
      <c r="N17" s="1" t="s">
        <v>3887</v>
      </c>
      <c r="O17" s="25" t="s">
        <v>4017</v>
      </c>
      <c r="P17" s="25">
        <v>1000</v>
      </c>
      <c r="Q17" s="25" t="s">
        <v>1187</v>
      </c>
      <c r="R17" s="25" t="s">
        <v>4016</v>
      </c>
      <c r="S17" s="25">
        <v>320</v>
      </c>
      <c r="T17" s="25" t="s">
        <v>4015</v>
      </c>
      <c r="U17" s="25" t="s">
        <v>18</v>
      </c>
      <c r="V17" s="25">
        <v>600</v>
      </c>
      <c r="W17" s="25" t="s">
        <v>4014</v>
      </c>
      <c r="X17" s="25" t="s">
        <v>7</v>
      </c>
      <c r="Y17" s="25">
        <v>410</v>
      </c>
      <c r="Z17" s="25" t="s">
        <v>4013</v>
      </c>
      <c r="AA17" s="1" t="s">
        <v>4012</v>
      </c>
      <c r="AB17" s="33" t="s">
        <v>4535</v>
      </c>
    </row>
    <row r="18" spans="1:28">
      <c r="A18" s="1">
        <f t="shared" si="0"/>
        <v>16</v>
      </c>
      <c r="B18" s="1" t="s">
        <v>166</v>
      </c>
      <c r="C18" s="26" t="s">
        <v>1729</v>
      </c>
      <c r="D18" s="3">
        <v>8500</v>
      </c>
      <c r="E18" s="1" t="s">
        <v>8</v>
      </c>
      <c r="F18" s="3" t="s">
        <v>1</v>
      </c>
      <c r="G18" s="4">
        <v>44626</v>
      </c>
      <c r="H18" s="1" t="s">
        <v>3866</v>
      </c>
      <c r="I18" s="1" t="s">
        <v>4011</v>
      </c>
      <c r="J18" s="1" t="s">
        <v>2361</v>
      </c>
      <c r="K18" s="1" t="s">
        <v>3999</v>
      </c>
      <c r="L18" s="1">
        <v>2016</v>
      </c>
      <c r="N18" s="1" t="s">
        <v>1</v>
      </c>
      <c r="O18" s="25" t="s">
        <v>18</v>
      </c>
      <c r="P18" s="25" t="s">
        <v>4010</v>
      </c>
      <c r="Q18" s="25" t="s">
        <v>4009</v>
      </c>
      <c r="R18" s="25" t="s">
        <v>18</v>
      </c>
      <c r="S18" s="25" t="s">
        <v>4008</v>
      </c>
      <c r="T18" s="25" t="s">
        <v>4007</v>
      </c>
      <c r="U18" s="25" t="s">
        <v>7</v>
      </c>
      <c r="V18" s="25" t="s">
        <v>4006</v>
      </c>
      <c r="W18" s="25" t="s">
        <v>4005</v>
      </c>
      <c r="X18" s="25" t="s">
        <v>5</v>
      </c>
      <c r="Y18" s="25">
        <v>102</v>
      </c>
      <c r="Z18" s="25" t="s">
        <v>4004</v>
      </c>
      <c r="AA18" s="1" t="s">
        <v>4003</v>
      </c>
      <c r="AB18" s="28" t="s">
        <v>4002</v>
      </c>
    </row>
    <row r="19" spans="1:28">
      <c r="A19" s="1">
        <f t="shared" si="0"/>
        <v>17</v>
      </c>
      <c r="B19" s="1" t="s">
        <v>260</v>
      </c>
      <c r="C19" s="26" t="s">
        <v>1729</v>
      </c>
      <c r="D19" s="3">
        <v>8000</v>
      </c>
      <c r="E19" s="1" t="s">
        <v>8</v>
      </c>
      <c r="F19" s="3">
        <v>600</v>
      </c>
      <c r="G19" s="4">
        <v>44502</v>
      </c>
      <c r="H19" s="1" t="s">
        <v>4001</v>
      </c>
      <c r="I19" s="1" t="s">
        <v>4000</v>
      </c>
      <c r="J19" s="1" t="s">
        <v>2091</v>
      </c>
      <c r="K19" s="1" t="s">
        <v>3999</v>
      </c>
      <c r="L19" s="1">
        <v>2016</v>
      </c>
      <c r="M19" s="1" t="s">
        <v>3998</v>
      </c>
      <c r="N19" s="1" t="s">
        <v>3997</v>
      </c>
      <c r="O19" s="25" t="s">
        <v>3996</v>
      </c>
      <c r="P19" s="25">
        <v>500</v>
      </c>
      <c r="Q19" s="25" t="s">
        <v>3995</v>
      </c>
      <c r="R19" s="25" t="s">
        <v>3994</v>
      </c>
      <c r="S19" s="25">
        <v>940</v>
      </c>
      <c r="T19" s="25" t="s">
        <v>3993</v>
      </c>
      <c r="U19" s="25" t="s">
        <v>5</v>
      </c>
      <c r="V19" s="25">
        <v>92</v>
      </c>
      <c r="W19" s="25" t="s">
        <v>3992</v>
      </c>
      <c r="X19" s="25" t="s">
        <v>5</v>
      </c>
      <c r="Y19" s="25">
        <v>1</v>
      </c>
      <c r="Z19" s="25" t="s">
        <v>879</v>
      </c>
      <c r="AA19" s="1" t="s">
        <v>2089</v>
      </c>
      <c r="AB19" s="28" t="s">
        <v>3991</v>
      </c>
    </row>
    <row r="20" spans="1:28" ht="14">
      <c r="A20" s="1">
        <f t="shared" si="0"/>
        <v>18</v>
      </c>
      <c r="B20" s="1" t="s">
        <v>3990</v>
      </c>
      <c r="C20" s="26" t="s">
        <v>1729</v>
      </c>
      <c r="D20" s="3">
        <v>7000</v>
      </c>
      <c r="E20" s="1" t="s">
        <v>9</v>
      </c>
      <c r="F20" s="3">
        <v>325</v>
      </c>
      <c r="G20" s="4">
        <v>44299</v>
      </c>
      <c r="H20" s="1" t="s">
        <v>3208</v>
      </c>
      <c r="I20" s="1" t="s">
        <v>3989</v>
      </c>
      <c r="J20" s="1" t="s">
        <v>2626</v>
      </c>
      <c r="K20" s="1" t="s">
        <v>2102</v>
      </c>
      <c r="L20" s="32">
        <v>42522</v>
      </c>
      <c r="M20" s="1" t="s">
        <v>3988</v>
      </c>
      <c r="N20" s="1" t="s">
        <v>3987</v>
      </c>
      <c r="O20" s="25" t="s">
        <v>3986</v>
      </c>
      <c r="P20" s="25">
        <v>155</v>
      </c>
      <c r="Q20" s="25" t="s">
        <v>3985</v>
      </c>
      <c r="R20" s="25" t="s">
        <v>18</v>
      </c>
      <c r="S20" s="25">
        <v>100</v>
      </c>
      <c r="T20" s="25" t="s">
        <v>3984</v>
      </c>
      <c r="U20" s="25" t="s">
        <v>7</v>
      </c>
      <c r="V20" s="25">
        <v>18</v>
      </c>
      <c r="W20" s="25" t="s">
        <v>3983</v>
      </c>
      <c r="X20" s="25" t="s">
        <v>5</v>
      </c>
      <c r="Y20" s="25">
        <v>4.5</v>
      </c>
      <c r="Z20" s="25" t="s">
        <v>3982</v>
      </c>
      <c r="AA20" s="1" t="s">
        <v>2415</v>
      </c>
      <c r="AB20" s="33" t="s">
        <v>4536</v>
      </c>
    </row>
    <row r="21" spans="1:28">
      <c r="A21" s="1">
        <f t="shared" si="0"/>
        <v>19</v>
      </c>
      <c r="B21" s="1" t="s">
        <v>3981</v>
      </c>
      <c r="C21" s="26" t="s">
        <v>1729</v>
      </c>
      <c r="D21" s="3">
        <v>7000</v>
      </c>
      <c r="E21" s="1" t="s">
        <v>9</v>
      </c>
      <c r="F21" s="3">
        <v>250</v>
      </c>
      <c r="G21" s="4">
        <v>44350</v>
      </c>
      <c r="H21" s="1" t="s">
        <v>3980</v>
      </c>
      <c r="I21" s="1" t="s">
        <v>3979</v>
      </c>
      <c r="J21" s="1" t="s">
        <v>2091</v>
      </c>
      <c r="K21" s="1" t="s">
        <v>2173</v>
      </c>
      <c r="L21" s="1">
        <v>2015</v>
      </c>
      <c r="M21" s="1" t="s">
        <v>3978</v>
      </c>
      <c r="N21" s="1" t="s">
        <v>3977</v>
      </c>
      <c r="O21" s="25" t="s">
        <v>8</v>
      </c>
      <c r="P21" s="25">
        <v>200</v>
      </c>
      <c r="Q21" s="25" t="s">
        <v>3976</v>
      </c>
      <c r="R21" s="25" t="s">
        <v>18</v>
      </c>
      <c r="S21" s="25" t="s">
        <v>3975</v>
      </c>
      <c r="T21" s="25" t="s">
        <v>3974</v>
      </c>
      <c r="U21" s="25" t="s">
        <v>7</v>
      </c>
      <c r="V21" s="25">
        <v>40</v>
      </c>
      <c r="W21" s="25" t="s">
        <v>3973</v>
      </c>
      <c r="X21" s="25" t="s">
        <v>5</v>
      </c>
      <c r="Y21" s="25">
        <v>22</v>
      </c>
      <c r="Z21" s="25" t="s">
        <v>3972</v>
      </c>
      <c r="AA21" s="1" t="s">
        <v>2094</v>
      </c>
      <c r="AB21" s="28" t="s">
        <v>3971</v>
      </c>
    </row>
    <row r="22" spans="1:28" ht="14">
      <c r="A22" s="1">
        <f t="shared" si="0"/>
        <v>20</v>
      </c>
      <c r="B22" s="12" t="s">
        <v>3970</v>
      </c>
      <c r="C22" s="26" t="s">
        <v>1729</v>
      </c>
      <c r="D22" s="3">
        <v>6000</v>
      </c>
      <c r="E22" s="1" t="s">
        <v>513</v>
      </c>
      <c r="F22" s="3">
        <v>250</v>
      </c>
      <c r="G22" s="4">
        <v>44376</v>
      </c>
      <c r="H22" s="1" t="s">
        <v>2941</v>
      </c>
      <c r="I22" s="1" t="s">
        <v>3969</v>
      </c>
      <c r="J22" s="1" t="s">
        <v>2091</v>
      </c>
      <c r="K22" s="1" t="s">
        <v>2102</v>
      </c>
      <c r="L22" s="1">
        <v>2012</v>
      </c>
      <c r="N22" s="1" t="s">
        <v>3968</v>
      </c>
      <c r="O22" s="25" t="s">
        <v>55</v>
      </c>
      <c r="P22" s="25">
        <v>270</v>
      </c>
      <c r="Q22" s="25" t="s">
        <v>3967</v>
      </c>
      <c r="R22" s="25" t="s">
        <v>9</v>
      </c>
      <c r="S22" s="25">
        <v>206</v>
      </c>
      <c r="T22" s="25" t="s">
        <v>3966</v>
      </c>
      <c r="U22" s="25" t="s">
        <v>8</v>
      </c>
      <c r="V22" s="25">
        <v>100</v>
      </c>
      <c r="W22" s="25" t="s">
        <v>3965</v>
      </c>
      <c r="X22" s="25" t="s">
        <v>18</v>
      </c>
      <c r="Y22" s="25">
        <v>67.2</v>
      </c>
      <c r="Z22" s="25" t="s">
        <v>3964</v>
      </c>
      <c r="AA22" s="1" t="s">
        <v>2211</v>
      </c>
      <c r="AB22" s="33" t="s">
        <v>4537</v>
      </c>
    </row>
    <row r="23" spans="1:28">
      <c r="A23" s="1">
        <f t="shared" si="0"/>
        <v>21</v>
      </c>
      <c r="B23" s="1" t="s">
        <v>215</v>
      </c>
      <c r="C23" s="26" t="s">
        <v>1729</v>
      </c>
      <c r="D23" s="3">
        <v>4400</v>
      </c>
      <c r="E23" s="1" t="s">
        <v>8</v>
      </c>
      <c r="F23" s="3">
        <v>676</v>
      </c>
      <c r="G23" s="4">
        <v>44299</v>
      </c>
      <c r="H23" s="1" t="s">
        <v>3963</v>
      </c>
      <c r="I23" s="1" t="s">
        <v>3962</v>
      </c>
      <c r="J23" s="1" t="s">
        <v>2091</v>
      </c>
      <c r="K23" s="1" t="s">
        <v>2914</v>
      </c>
      <c r="L23" s="1">
        <v>2017</v>
      </c>
      <c r="N23" s="1" t="s">
        <v>3961</v>
      </c>
      <c r="O23" s="25" t="s">
        <v>3960</v>
      </c>
      <c r="P23" s="25">
        <v>250</v>
      </c>
      <c r="Q23" s="25" t="s">
        <v>3959</v>
      </c>
      <c r="R23" s="25" t="s">
        <v>7</v>
      </c>
      <c r="S23" s="25">
        <v>150</v>
      </c>
      <c r="T23" s="25" t="s">
        <v>3958</v>
      </c>
      <c r="U23" s="25" t="s">
        <v>5</v>
      </c>
      <c r="V23" s="25">
        <v>56</v>
      </c>
      <c r="W23" s="25" t="s">
        <v>3957</v>
      </c>
      <c r="X23" s="25" t="s">
        <v>4</v>
      </c>
      <c r="Y23" s="25">
        <v>2</v>
      </c>
      <c r="Z23" s="25" t="s">
        <v>1136</v>
      </c>
      <c r="AA23" s="1" t="s">
        <v>2204</v>
      </c>
      <c r="AB23" s="28" t="s">
        <v>3956</v>
      </c>
    </row>
    <row r="24" spans="1:28">
      <c r="A24" s="1">
        <f t="shared" si="0"/>
        <v>22</v>
      </c>
      <c r="B24" s="1" t="s">
        <v>252</v>
      </c>
      <c r="C24" s="26" t="s">
        <v>1729</v>
      </c>
      <c r="D24" s="3">
        <v>4200</v>
      </c>
      <c r="E24" s="1" t="s">
        <v>18</v>
      </c>
      <c r="F24" s="3">
        <v>820</v>
      </c>
      <c r="G24" s="4">
        <v>43223</v>
      </c>
      <c r="H24" s="1" t="s">
        <v>3955</v>
      </c>
      <c r="I24" s="1" t="s">
        <v>3954</v>
      </c>
      <c r="J24" s="1" t="s">
        <v>2091</v>
      </c>
      <c r="K24" s="1" t="s">
        <v>2402</v>
      </c>
      <c r="L24" s="1">
        <v>2012</v>
      </c>
      <c r="N24" s="1" t="s">
        <v>3953</v>
      </c>
      <c r="O24" s="25" t="s">
        <v>3952</v>
      </c>
      <c r="P24" s="25">
        <v>100</v>
      </c>
      <c r="Q24" s="25" t="s">
        <v>3951</v>
      </c>
      <c r="R24" s="25" t="s">
        <v>5</v>
      </c>
      <c r="S24" s="25">
        <v>20</v>
      </c>
      <c r="T24" s="25" t="s">
        <v>253</v>
      </c>
      <c r="U24" s="25" t="s">
        <v>1</v>
      </c>
      <c r="V24" s="25" t="s">
        <v>1</v>
      </c>
      <c r="W24" s="25" t="s">
        <v>1</v>
      </c>
      <c r="X24" s="25" t="s">
        <v>1</v>
      </c>
      <c r="Y24" s="25" t="s">
        <v>1</v>
      </c>
      <c r="Z24" s="25" t="s">
        <v>1</v>
      </c>
      <c r="AA24" s="1" t="s">
        <v>3950</v>
      </c>
      <c r="AB24" s="28" t="s">
        <v>3949</v>
      </c>
    </row>
    <row r="25" spans="1:28" ht="14">
      <c r="A25" s="1">
        <f t="shared" si="0"/>
        <v>23</v>
      </c>
      <c r="B25" s="1" t="s">
        <v>981</v>
      </c>
      <c r="C25" s="26" t="s">
        <v>1729</v>
      </c>
      <c r="D25" s="3">
        <v>4100</v>
      </c>
      <c r="E25" s="1" t="s">
        <v>18</v>
      </c>
      <c r="F25" s="3">
        <v>450</v>
      </c>
      <c r="G25" s="4">
        <v>45069</v>
      </c>
      <c r="H25" s="1" t="s">
        <v>3948</v>
      </c>
      <c r="I25" s="1" t="s">
        <v>3947</v>
      </c>
      <c r="J25" s="1" t="s">
        <v>2626</v>
      </c>
      <c r="K25" s="1" t="s">
        <v>3234</v>
      </c>
      <c r="L25" s="1">
        <v>2021</v>
      </c>
      <c r="M25" s="1" t="s">
        <v>3946</v>
      </c>
      <c r="N25" s="1" t="s">
        <v>3945</v>
      </c>
      <c r="O25" s="25" t="s">
        <v>1116</v>
      </c>
      <c r="P25" s="25">
        <v>300</v>
      </c>
      <c r="Q25" s="25" t="s">
        <v>3944</v>
      </c>
      <c r="R25" s="25" t="s">
        <v>7</v>
      </c>
      <c r="S25" s="25">
        <v>580</v>
      </c>
      <c r="T25" s="25" t="s">
        <v>984</v>
      </c>
      <c r="U25" s="25" t="s">
        <v>5</v>
      </c>
      <c r="V25" s="25">
        <v>124</v>
      </c>
      <c r="W25" s="25" t="s">
        <v>3943</v>
      </c>
      <c r="X25" s="25" t="s">
        <v>1</v>
      </c>
      <c r="Y25" s="25" t="s">
        <v>1</v>
      </c>
      <c r="Z25" s="25" t="s">
        <v>1</v>
      </c>
      <c r="AA25" s="1" t="s">
        <v>2415</v>
      </c>
      <c r="AB25" s="33" t="s">
        <v>4538</v>
      </c>
    </row>
    <row r="26" spans="1:28">
      <c r="A26" s="1">
        <f t="shared" si="0"/>
        <v>24</v>
      </c>
      <c r="B26" s="1" t="s">
        <v>49</v>
      </c>
      <c r="C26" s="26" t="s">
        <v>1729</v>
      </c>
      <c r="D26" s="3">
        <v>4100</v>
      </c>
      <c r="E26" s="1" t="s">
        <v>55</v>
      </c>
      <c r="F26" s="3">
        <v>100</v>
      </c>
      <c r="G26" s="4">
        <v>44515</v>
      </c>
      <c r="I26" s="1" t="s">
        <v>3942</v>
      </c>
      <c r="J26" s="1" t="s">
        <v>2091</v>
      </c>
      <c r="K26" s="1" t="s">
        <v>2117</v>
      </c>
      <c r="L26" s="1">
        <v>2012</v>
      </c>
      <c r="N26" s="1" t="s">
        <v>3941</v>
      </c>
      <c r="O26" s="25" t="s">
        <v>9</v>
      </c>
      <c r="P26" s="25" t="s">
        <v>3940</v>
      </c>
      <c r="Q26" s="25" t="s">
        <v>3939</v>
      </c>
      <c r="R26" s="25" t="s">
        <v>8</v>
      </c>
      <c r="S26" s="25" t="s">
        <v>3938</v>
      </c>
      <c r="T26" s="25" t="s">
        <v>3937</v>
      </c>
      <c r="U26" s="25" t="s">
        <v>18</v>
      </c>
      <c r="V26" s="25">
        <v>60</v>
      </c>
      <c r="W26" s="25" t="s">
        <v>3936</v>
      </c>
      <c r="X26" s="25" t="s">
        <v>18</v>
      </c>
      <c r="Y26" s="25">
        <v>50</v>
      </c>
      <c r="Z26" s="25" t="s">
        <v>3935</v>
      </c>
      <c r="AA26" s="1" t="s">
        <v>2089</v>
      </c>
      <c r="AB26" s="28" t="s">
        <v>3934</v>
      </c>
    </row>
    <row r="27" spans="1:28" ht="14">
      <c r="A27" s="1">
        <f t="shared" si="0"/>
        <v>25</v>
      </c>
      <c r="B27" s="1" t="s">
        <v>1168</v>
      </c>
      <c r="C27" s="26" t="s">
        <v>1729</v>
      </c>
      <c r="D27" s="3">
        <v>4000</v>
      </c>
      <c r="E27" s="1" t="s">
        <v>5</v>
      </c>
      <c r="F27" s="54">
        <v>1300</v>
      </c>
      <c r="G27" s="4">
        <v>44694</v>
      </c>
      <c r="H27" s="1" t="s">
        <v>3933</v>
      </c>
      <c r="I27" s="1" t="s">
        <v>3932</v>
      </c>
      <c r="J27" s="1" t="s">
        <v>2361</v>
      </c>
      <c r="K27" s="1" t="s">
        <v>2520</v>
      </c>
      <c r="L27" s="1">
        <v>2022</v>
      </c>
      <c r="M27" s="1" t="s">
        <v>3931</v>
      </c>
      <c r="N27" s="1" t="s">
        <v>3930</v>
      </c>
      <c r="O27" s="25" t="s">
        <v>5</v>
      </c>
      <c r="P27" s="25">
        <v>225</v>
      </c>
      <c r="Q27" s="1" t="s">
        <v>1169</v>
      </c>
      <c r="R27" s="25" t="s">
        <v>1</v>
      </c>
      <c r="S27" s="25" t="s">
        <v>1</v>
      </c>
      <c r="T27" s="25" t="s">
        <v>1</v>
      </c>
      <c r="U27" s="25" t="s">
        <v>1</v>
      </c>
      <c r="V27" s="25" t="s">
        <v>1</v>
      </c>
      <c r="W27" s="25" t="s">
        <v>1</v>
      </c>
      <c r="X27" s="25" t="s">
        <v>1</v>
      </c>
      <c r="Y27" s="25" t="s">
        <v>1</v>
      </c>
      <c r="Z27" s="25" t="s">
        <v>1</v>
      </c>
      <c r="AA27" s="1" t="s">
        <v>2204</v>
      </c>
      <c r="AB27" s="33" t="s">
        <v>4539</v>
      </c>
    </row>
    <row r="28" spans="1:28">
      <c r="A28" s="1">
        <f t="shared" si="0"/>
        <v>26</v>
      </c>
      <c r="B28" s="1" t="s">
        <v>76</v>
      </c>
      <c r="C28" s="26" t="s">
        <v>1729</v>
      </c>
      <c r="D28" s="3">
        <v>3800</v>
      </c>
      <c r="E28" s="1" t="s">
        <v>55</v>
      </c>
      <c r="F28" s="3">
        <v>250</v>
      </c>
      <c r="G28" s="4">
        <v>44510</v>
      </c>
      <c r="H28" s="1" t="s">
        <v>3929</v>
      </c>
      <c r="I28" s="1" t="s">
        <v>3928</v>
      </c>
      <c r="J28" s="1" t="s">
        <v>2147</v>
      </c>
      <c r="K28" s="1" t="s">
        <v>3927</v>
      </c>
      <c r="L28" s="1">
        <v>2016</v>
      </c>
      <c r="N28" s="1" t="s">
        <v>3926</v>
      </c>
      <c r="O28" s="25" t="s">
        <v>9</v>
      </c>
      <c r="P28" s="25" t="s">
        <v>3925</v>
      </c>
      <c r="Q28" s="25" t="s">
        <v>1</v>
      </c>
      <c r="R28" s="25" t="s">
        <v>8</v>
      </c>
      <c r="S28" s="25" t="s">
        <v>3924</v>
      </c>
      <c r="T28" s="25" t="s">
        <v>3923</v>
      </c>
      <c r="U28" s="25" t="s">
        <v>18</v>
      </c>
      <c r="V28" s="25">
        <v>60</v>
      </c>
      <c r="W28" s="25" t="s">
        <v>3922</v>
      </c>
      <c r="X28" s="25" t="s">
        <v>7</v>
      </c>
      <c r="Y28" s="25">
        <v>25</v>
      </c>
      <c r="Z28" s="25" t="s">
        <v>3921</v>
      </c>
      <c r="AA28" s="1" t="s">
        <v>2244</v>
      </c>
      <c r="AB28" s="28" t="s">
        <v>3920</v>
      </c>
    </row>
    <row r="29" spans="1:28">
      <c r="A29" s="1">
        <f t="shared" si="0"/>
        <v>27</v>
      </c>
      <c r="B29" s="1" t="s">
        <v>181</v>
      </c>
      <c r="C29" s="26" t="s">
        <v>1729</v>
      </c>
      <c r="D29" s="3">
        <v>3600</v>
      </c>
      <c r="E29" s="1" t="s">
        <v>55</v>
      </c>
      <c r="F29" s="3">
        <v>475</v>
      </c>
      <c r="G29" s="4">
        <v>44278</v>
      </c>
      <c r="H29" s="1" t="s">
        <v>3919</v>
      </c>
      <c r="I29" s="1" t="s">
        <v>3918</v>
      </c>
      <c r="J29" s="1" t="s">
        <v>2091</v>
      </c>
      <c r="K29" s="1" t="s">
        <v>3917</v>
      </c>
      <c r="L29" s="1">
        <v>2009</v>
      </c>
      <c r="N29" s="1" t="s">
        <v>3916</v>
      </c>
      <c r="O29" s="25" t="s">
        <v>3915</v>
      </c>
      <c r="P29" s="25">
        <v>392</v>
      </c>
      <c r="Q29" s="25" t="s">
        <v>3914</v>
      </c>
      <c r="R29" s="25" t="s">
        <v>3913</v>
      </c>
      <c r="S29" s="25">
        <v>130</v>
      </c>
      <c r="T29" s="25" t="s">
        <v>3912</v>
      </c>
      <c r="U29" s="25" t="s">
        <v>18</v>
      </c>
      <c r="V29" s="25">
        <v>34</v>
      </c>
      <c r="W29" s="25" t="s">
        <v>3911</v>
      </c>
      <c r="X29" s="25" t="s">
        <v>7</v>
      </c>
      <c r="Y29" s="25">
        <v>16.5</v>
      </c>
      <c r="Z29" s="25" t="s">
        <v>3910</v>
      </c>
      <c r="AA29" s="1" t="s">
        <v>2101</v>
      </c>
      <c r="AB29" s="28" t="s">
        <v>3909</v>
      </c>
    </row>
    <row r="30" spans="1:28">
      <c r="A30" s="1">
        <f t="shared" si="0"/>
        <v>28</v>
      </c>
      <c r="B30" s="1" t="s">
        <v>239</v>
      </c>
      <c r="C30" s="26" t="s">
        <v>1729</v>
      </c>
      <c r="D30" s="3">
        <v>3300</v>
      </c>
      <c r="E30" s="1" t="s">
        <v>8</v>
      </c>
      <c r="F30" s="3">
        <v>750</v>
      </c>
      <c r="G30" s="4">
        <v>43593</v>
      </c>
      <c r="H30" s="1" t="s">
        <v>3908</v>
      </c>
      <c r="I30" s="1" t="s">
        <v>3907</v>
      </c>
      <c r="J30" s="1" t="s">
        <v>2091</v>
      </c>
      <c r="K30" s="1" t="s">
        <v>2090</v>
      </c>
      <c r="L30" s="1">
        <v>2011</v>
      </c>
      <c r="M30" s="1" t="s">
        <v>3906</v>
      </c>
      <c r="N30" s="1" t="s">
        <v>3905</v>
      </c>
      <c r="O30" s="25" t="s">
        <v>18</v>
      </c>
      <c r="P30" s="25">
        <v>460</v>
      </c>
      <c r="Q30" s="25" t="s">
        <v>3904</v>
      </c>
      <c r="R30" s="25" t="s">
        <v>18</v>
      </c>
      <c r="S30" s="25">
        <v>100</v>
      </c>
      <c r="T30" s="25" t="s">
        <v>3903</v>
      </c>
      <c r="U30" s="25" t="s">
        <v>7</v>
      </c>
      <c r="V30" s="25">
        <v>22</v>
      </c>
      <c r="W30" s="25" t="s">
        <v>3902</v>
      </c>
      <c r="X30" s="25" t="s">
        <v>5</v>
      </c>
      <c r="Y30" s="25" t="s">
        <v>1</v>
      </c>
      <c r="Z30" s="25" t="s">
        <v>3901</v>
      </c>
      <c r="AA30" s="1" t="s">
        <v>2423</v>
      </c>
      <c r="AB30" s="28" t="s">
        <v>3900</v>
      </c>
    </row>
    <row r="31" spans="1:28" ht="14">
      <c r="A31" s="1">
        <f t="shared" si="0"/>
        <v>29</v>
      </c>
      <c r="B31" s="1" t="s">
        <v>159</v>
      </c>
      <c r="C31" s="26" t="s">
        <v>1729</v>
      </c>
      <c r="D31" s="3">
        <v>3500</v>
      </c>
      <c r="E31" s="1" t="s">
        <v>55</v>
      </c>
      <c r="F31" s="3">
        <v>200</v>
      </c>
      <c r="G31" s="4">
        <v>44907</v>
      </c>
      <c r="H31" s="1" t="s">
        <v>3899</v>
      </c>
      <c r="I31" s="1" t="s">
        <v>3898</v>
      </c>
      <c r="J31" s="1" t="s">
        <v>2091</v>
      </c>
      <c r="K31" s="1" t="s">
        <v>2914</v>
      </c>
      <c r="L31" s="1">
        <v>2013</v>
      </c>
      <c r="N31" s="1" t="s">
        <v>3897</v>
      </c>
      <c r="O31" s="25" t="s">
        <v>9</v>
      </c>
      <c r="P31" s="25" t="s">
        <v>3896</v>
      </c>
      <c r="Q31" s="25" t="s">
        <v>3895</v>
      </c>
      <c r="R31" s="25" t="s">
        <v>8</v>
      </c>
      <c r="S31" s="25">
        <v>100</v>
      </c>
      <c r="T31" s="25" t="s">
        <v>3894</v>
      </c>
      <c r="U31" s="25" t="s">
        <v>18</v>
      </c>
      <c r="V31" s="25">
        <v>101</v>
      </c>
      <c r="W31" s="25" t="s">
        <v>3893</v>
      </c>
      <c r="X31" s="25" t="s">
        <v>7</v>
      </c>
      <c r="Y31" s="25">
        <v>28</v>
      </c>
      <c r="Z31" s="25" t="s">
        <v>3892</v>
      </c>
      <c r="AA31" s="1" t="s">
        <v>2541</v>
      </c>
      <c r="AB31" s="33" t="s">
        <v>3891</v>
      </c>
    </row>
    <row r="32" spans="1:28" ht="14">
      <c r="A32" s="1">
        <f t="shared" si="0"/>
        <v>30</v>
      </c>
      <c r="B32" s="1" t="s">
        <v>3890</v>
      </c>
      <c r="C32" s="26" t="s">
        <v>3889</v>
      </c>
      <c r="D32" s="3">
        <v>3500</v>
      </c>
      <c r="E32" s="1" t="s">
        <v>3887</v>
      </c>
      <c r="F32" s="3">
        <v>651</v>
      </c>
      <c r="G32" s="4">
        <v>44174</v>
      </c>
      <c r="H32" s="1" t="s">
        <v>2091</v>
      </c>
      <c r="I32" s="1" t="s">
        <v>3888</v>
      </c>
      <c r="J32" s="1" t="s">
        <v>2091</v>
      </c>
      <c r="K32" s="1" t="s">
        <v>2283</v>
      </c>
      <c r="L32" s="1">
        <v>2009</v>
      </c>
      <c r="N32" s="1" t="s">
        <v>3887</v>
      </c>
      <c r="O32" s="25" t="s">
        <v>55</v>
      </c>
      <c r="P32" s="25">
        <v>106</v>
      </c>
      <c r="Q32" s="25" t="s">
        <v>3886</v>
      </c>
      <c r="S32" s="25" t="s">
        <v>1</v>
      </c>
      <c r="T32" s="25" t="s">
        <v>1</v>
      </c>
      <c r="U32" s="25" t="s">
        <v>1</v>
      </c>
      <c r="V32" s="25" t="s">
        <v>1</v>
      </c>
      <c r="W32" s="25" t="s">
        <v>1</v>
      </c>
      <c r="X32" s="25" t="s">
        <v>1</v>
      </c>
      <c r="Y32" s="25" t="s">
        <v>1</v>
      </c>
      <c r="Z32" s="25" t="s">
        <v>1</v>
      </c>
      <c r="AA32" s="1" t="s">
        <v>3186</v>
      </c>
      <c r="AB32" s="33" t="s">
        <v>4540</v>
      </c>
    </row>
    <row r="33" spans="1:28">
      <c r="A33" s="1">
        <f t="shared" si="0"/>
        <v>31</v>
      </c>
      <c r="B33" s="1" t="s">
        <v>218</v>
      </c>
      <c r="C33" s="26" t="s">
        <v>1729</v>
      </c>
      <c r="D33" s="3">
        <v>3500</v>
      </c>
      <c r="E33" s="1" t="s">
        <v>8</v>
      </c>
      <c r="F33" s="3">
        <v>700</v>
      </c>
      <c r="G33" s="4">
        <v>44218</v>
      </c>
      <c r="H33" s="1" t="s">
        <v>3885</v>
      </c>
      <c r="I33" s="1" t="s">
        <v>3884</v>
      </c>
      <c r="J33" s="1" t="s">
        <v>2091</v>
      </c>
      <c r="K33" s="1" t="s">
        <v>2102</v>
      </c>
      <c r="L33" s="1">
        <v>2014</v>
      </c>
      <c r="M33" s="1" t="s">
        <v>3883</v>
      </c>
      <c r="N33" s="1" t="s">
        <v>3882</v>
      </c>
      <c r="O33" s="25" t="s">
        <v>18</v>
      </c>
      <c r="P33" s="25" t="s">
        <v>3881</v>
      </c>
      <c r="Q33" s="25" t="s">
        <v>3880</v>
      </c>
      <c r="R33" s="25" t="s">
        <v>18</v>
      </c>
      <c r="S33" s="25">
        <v>140</v>
      </c>
      <c r="T33" s="25" t="s">
        <v>3879</v>
      </c>
      <c r="U33" s="25" t="s">
        <v>7</v>
      </c>
      <c r="V33" s="25" t="s">
        <v>1</v>
      </c>
      <c r="W33" s="25" t="s">
        <v>3878</v>
      </c>
      <c r="X33" s="25" t="s">
        <v>5</v>
      </c>
      <c r="Y33" s="25" t="s">
        <v>1</v>
      </c>
      <c r="Z33" s="25" t="s">
        <v>3877</v>
      </c>
      <c r="AA33" s="1" t="s">
        <v>2423</v>
      </c>
      <c r="AB33" s="28" t="s">
        <v>3876</v>
      </c>
    </row>
    <row r="34" spans="1:28">
      <c r="A34" s="1">
        <f t="shared" si="0"/>
        <v>32</v>
      </c>
      <c r="B34" s="1" t="s">
        <v>3875</v>
      </c>
      <c r="C34" s="26" t="s">
        <v>1729</v>
      </c>
      <c r="D34" s="3">
        <v>3000</v>
      </c>
      <c r="E34" s="1" t="s">
        <v>1</v>
      </c>
      <c r="F34" s="3" t="s">
        <v>1</v>
      </c>
      <c r="G34" s="3" t="s">
        <v>1</v>
      </c>
      <c r="H34" s="1" t="s">
        <v>3874</v>
      </c>
      <c r="I34" s="1" t="s">
        <v>3873</v>
      </c>
      <c r="J34" s="1" t="s">
        <v>2091</v>
      </c>
      <c r="K34" s="1" t="s">
        <v>2117</v>
      </c>
      <c r="L34" s="1">
        <v>2017</v>
      </c>
      <c r="M34" s="1" t="s">
        <v>3872</v>
      </c>
      <c r="N34" s="1" t="s">
        <v>1</v>
      </c>
      <c r="O34" s="1" t="s">
        <v>1</v>
      </c>
      <c r="P34" s="1" t="s">
        <v>1</v>
      </c>
      <c r="Q34" s="1" t="s">
        <v>1</v>
      </c>
      <c r="R34" s="1" t="s">
        <v>1</v>
      </c>
      <c r="S34" s="1" t="s">
        <v>1</v>
      </c>
      <c r="T34" s="1" t="s">
        <v>1</v>
      </c>
      <c r="U34" s="1" t="s">
        <v>1</v>
      </c>
      <c r="V34" s="1" t="s">
        <v>1</v>
      </c>
      <c r="W34" s="1" t="s">
        <v>1</v>
      </c>
      <c r="X34" s="1" t="s">
        <v>1</v>
      </c>
      <c r="Y34" s="1" t="s">
        <v>1</v>
      </c>
      <c r="Z34" s="1" t="s">
        <v>1</v>
      </c>
      <c r="AA34" s="1" t="s">
        <v>2204</v>
      </c>
      <c r="AB34" s="28" t="s">
        <v>3871</v>
      </c>
    </row>
    <row r="35" spans="1:28" ht="14">
      <c r="A35" s="1">
        <f t="shared" si="0"/>
        <v>33</v>
      </c>
      <c r="B35" s="1" t="s">
        <v>951</v>
      </c>
      <c r="C35" s="26" t="s">
        <v>1729</v>
      </c>
      <c r="D35" s="3">
        <v>3000</v>
      </c>
      <c r="E35" s="1" t="s">
        <v>4</v>
      </c>
      <c r="F35" s="3">
        <v>100</v>
      </c>
      <c r="G35" s="4">
        <v>44846</v>
      </c>
      <c r="H35" s="1" t="s">
        <v>3870</v>
      </c>
      <c r="I35" s="1" t="s">
        <v>3869</v>
      </c>
      <c r="J35" s="1" t="s">
        <v>2361</v>
      </c>
      <c r="K35" s="1" t="s">
        <v>2762</v>
      </c>
      <c r="L35" s="1">
        <v>2019</v>
      </c>
      <c r="M35" s="1" t="s">
        <v>3868</v>
      </c>
      <c r="N35" s="1" t="s">
        <v>3867</v>
      </c>
      <c r="O35" s="25" t="s">
        <v>1</v>
      </c>
      <c r="P35" s="25" t="s">
        <v>1</v>
      </c>
      <c r="Q35" s="25" t="s">
        <v>1</v>
      </c>
      <c r="R35" s="25" t="s">
        <v>1</v>
      </c>
      <c r="S35" s="25" t="s">
        <v>1</v>
      </c>
      <c r="T35" s="25" t="s">
        <v>1</v>
      </c>
      <c r="U35" s="25" t="s">
        <v>1</v>
      </c>
      <c r="V35" s="25" t="s">
        <v>1</v>
      </c>
      <c r="W35" s="25" t="s">
        <v>1</v>
      </c>
      <c r="X35" s="25" t="s">
        <v>1</v>
      </c>
      <c r="Y35" s="25" t="s">
        <v>1</v>
      </c>
      <c r="Z35" s="25" t="s">
        <v>1</v>
      </c>
      <c r="AA35" s="1" t="s">
        <v>2141</v>
      </c>
      <c r="AB35" s="33" t="s">
        <v>4541</v>
      </c>
    </row>
    <row r="36" spans="1:28" ht="14">
      <c r="A36" s="1">
        <f t="shared" si="0"/>
        <v>34</v>
      </c>
      <c r="B36" s="1" t="s">
        <v>203</v>
      </c>
      <c r="C36" s="26" t="s">
        <v>1729</v>
      </c>
      <c r="D36" s="3">
        <v>2500</v>
      </c>
      <c r="E36" s="1" t="s">
        <v>18</v>
      </c>
      <c r="F36" s="3">
        <v>500</v>
      </c>
      <c r="G36" s="4">
        <v>44274</v>
      </c>
      <c r="H36" s="1" t="s">
        <v>3866</v>
      </c>
      <c r="J36" s="1" t="s">
        <v>2091</v>
      </c>
      <c r="K36" s="1" t="s">
        <v>2256</v>
      </c>
      <c r="L36" s="1">
        <v>2016</v>
      </c>
      <c r="N36" s="1" t="s">
        <v>3865</v>
      </c>
      <c r="O36" s="25" t="s">
        <v>7</v>
      </c>
      <c r="P36" s="25" t="s">
        <v>3864</v>
      </c>
      <c r="Q36" s="25" t="s">
        <v>3863</v>
      </c>
      <c r="R36" s="25" t="s">
        <v>7</v>
      </c>
      <c r="S36" s="25">
        <v>32</v>
      </c>
      <c r="T36" s="25" t="s">
        <v>1103</v>
      </c>
      <c r="U36" s="25" t="s">
        <v>7</v>
      </c>
      <c r="V36" s="25">
        <v>46</v>
      </c>
      <c r="W36" s="25" t="s">
        <v>3862</v>
      </c>
      <c r="X36" s="25" t="s">
        <v>5</v>
      </c>
      <c r="Y36" s="25" t="s">
        <v>1</v>
      </c>
      <c r="Z36" s="25" t="s">
        <v>3861</v>
      </c>
      <c r="AA36" s="1" t="s">
        <v>2423</v>
      </c>
      <c r="AB36" s="33" t="s">
        <v>3860</v>
      </c>
    </row>
    <row r="37" spans="1:28">
      <c r="A37" s="1">
        <f t="shared" si="0"/>
        <v>35</v>
      </c>
      <c r="B37" s="1" t="s">
        <v>719</v>
      </c>
      <c r="C37" s="26" t="s">
        <v>1729</v>
      </c>
      <c r="D37" s="53">
        <v>2500</v>
      </c>
      <c r="E37" s="1" t="s">
        <v>9</v>
      </c>
      <c r="F37" s="3">
        <v>222</v>
      </c>
      <c r="G37" s="4">
        <v>44194</v>
      </c>
      <c r="H37" s="1" t="s">
        <v>3858</v>
      </c>
      <c r="I37" s="1" t="s">
        <v>3859</v>
      </c>
      <c r="J37" s="1" t="s">
        <v>2147</v>
      </c>
      <c r="K37" s="1" t="s">
        <v>3858</v>
      </c>
      <c r="L37" s="1">
        <v>2016</v>
      </c>
      <c r="M37" s="1" t="s">
        <v>3857</v>
      </c>
      <c r="N37" s="1" t="s">
        <v>3856</v>
      </c>
      <c r="O37" s="25" t="s">
        <v>8</v>
      </c>
      <c r="P37" s="25" t="s">
        <v>3855</v>
      </c>
      <c r="Q37" s="25" t="s">
        <v>3854</v>
      </c>
      <c r="R37" s="25" t="s">
        <v>8</v>
      </c>
      <c r="S37" s="25" t="s">
        <v>3853</v>
      </c>
      <c r="T37" s="25" t="s">
        <v>3852</v>
      </c>
      <c r="U37" s="25" t="s">
        <v>18</v>
      </c>
      <c r="V37" s="25">
        <v>50</v>
      </c>
      <c r="W37" s="25" t="s">
        <v>3851</v>
      </c>
      <c r="X37" s="25" t="s">
        <v>5</v>
      </c>
      <c r="Y37" s="25">
        <v>30</v>
      </c>
      <c r="Z37" s="25" t="s">
        <v>3850</v>
      </c>
      <c r="AA37" s="1" t="s">
        <v>3849</v>
      </c>
      <c r="AB37" s="28" t="s">
        <v>3848</v>
      </c>
    </row>
    <row r="38" spans="1:28">
      <c r="A38" s="1">
        <f t="shared" si="0"/>
        <v>36</v>
      </c>
      <c r="B38" s="1" t="s">
        <v>3</v>
      </c>
      <c r="C38" s="26" t="s">
        <v>1729</v>
      </c>
      <c r="D38" s="3">
        <v>2200</v>
      </c>
      <c r="E38" s="1" t="s">
        <v>9</v>
      </c>
      <c r="F38" s="3">
        <v>90</v>
      </c>
      <c r="G38" s="4">
        <v>44721</v>
      </c>
      <c r="H38" s="1" t="s">
        <v>3847</v>
      </c>
      <c r="I38" s="1" t="s">
        <v>3846</v>
      </c>
      <c r="J38" s="1" t="s">
        <v>2237</v>
      </c>
      <c r="K38" s="1" t="s">
        <v>3845</v>
      </c>
      <c r="L38" s="1">
        <v>2015</v>
      </c>
      <c r="N38" s="1" t="s">
        <v>3844</v>
      </c>
      <c r="O38" s="25" t="s">
        <v>8</v>
      </c>
      <c r="P38" s="25" t="s">
        <v>3843</v>
      </c>
      <c r="Q38" s="25" t="s">
        <v>3842</v>
      </c>
      <c r="R38" s="25" t="s">
        <v>18</v>
      </c>
      <c r="S38" s="25">
        <v>70</v>
      </c>
      <c r="T38" s="25" t="s">
        <v>3841</v>
      </c>
      <c r="U38" s="25" t="s">
        <v>7</v>
      </c>
      <c r="V38" s="25">
        <v>25</v>
      </c>
      <c r="W38" s="25" t="s">
        <v>3840</v>
      </c>
      <c r="X38" s="25" t="s">
        <v>5</v>
      </c>
      <c r="Y38" s="25">
        <v>10</v>
      </c>
      <c r="Z38" s="25" t="s">
        <v>3839</v>
      </c>
      <c r="AA38" s="1" t="s">
        <v>2097</v>
      </c>
      <c r="AB38" s="28" t="s">
        <v>3838</v>
      </c>
    </row>
    <row r="39" spans="1:28" ht="14">
      <c r="A39" s="1">
        <f t="shared" si="0"/>
        <v>37</v>
      </c>
      <c r="B39" s="1" t="s">
        <v>3837</v>
      </c>
      <c r="C39" s="26" t="s">
        <v>1729</v>
      </c>
      <c r="D39" s="3">
        <v>2100</v>
      </c>
      <c r="E39" s="1" t="s">
        <v>9</v>
      </c>
      <c r="F39" s="3">
        <v>400</v>
      </c>
      <c r="G39" s="4">
        <v>44608</v>
      </c>
      <c r="H39" s="1" t="s">
        <v>3836</v>
      </c>
      <c r="I39" s="1" t="s">
        <v>3835</v>
      </c>
      <c r="J39" s="1" t="s">
        <v>2091</v>
      </c>
      <c r="K39" s="1" t="s">
        <v>2578</v>
      </c>
      <c r="L39" s="1">
        <v>2008</v>
      </c>
      <c r="N39" s="1" t="s">
        <v>3834</v>
      </c>
      <c r="O39" s="25" t="s">
        <v>8</v>
      </c>
      <c r="P39" s="25">
        <v>140</v>
      </c>
      <c r="Q39" s="25" t="s">
        <v>3833</v>
      </c>
      <c r="R39" s="25" t="s">
        <v>18</v>
      </c>
      <c r="S39" s="25">
        <v>110</v>
      </c>
      <c r="T39" s="25" t="s">
        <v>3832</v>
      </c>
      <c r="U39" s="25" t="s">
        <v>7</v>
      </c>
      <c r="V39" s="25">
        <v>9.4</v>
      </c>
      <c r="W39" s="25" t="s">
        <v>3831</v>
      </c>
      <c r="X39" s="25" t="s">
        <v>5</v>
      </c>
      <c r="Y39" s="25">
        <v>5.5</v>
      </c>
      <c r="Z39" s="25" t="s">
        <v>3830</v>
      </c>
      <c r="AA39" s="1" t="s">
        <v>2204</v>
      </c>
      <c r="AB39" s="33" t="s">
        <v>4542</v>
      </c>
    </row>
    <row r="40" spans="1:28" s="12" customFormat="1" ht="14">
      <c r="A40" s="1">
        <f t="shared" si="0"/>
        <v>38</v>
      </c>
      <c r="B40" s="12" t="s">
        <v>896</v>
      </c>
      <c r="C40" s="35" t="s">
        <v>1729</v>
      </c>
      <c r="D40" s="15">
        <v>2100</v>
      </c>
      <c r="E40" s="12" t="s">
        <v>18</v>
      </c>
      <c r="F40" s="15">
        <v>200</v>
      </c>
      <c r="G40" s="42">
        <v>44377</v>
      </c>
      <c r="H40" s="12" t="s">
        <v>2758</v>
      </c>
      <c r="I40" s="12" t="s">
        <v>3829</v>
      </c>
      <c r="J40" s="12" t="s">
        <v>2091</v>
      </c>
      <c r="K40" s="12" t="s">
        <v>3828</v>
      </c>
      <c r="L40" s="12">
        <v>2016</v>
      </c>
      <c r="N40" s="12" t="s">
        <v>3827</v>
      </c>
      <c r="O40" s="24" t="s">
        <v>7</v>
      </c>
      <c r="P40" s="24">
        <v>75</v>
      </c>
      <c r="Q40" s="24" t="s">
        <v>3826</v>
      </c>
      <c r="R40" s="24" t="s">
        <v>5</v>
      </c>
      <c r="S40" s="24">
        <v>30</v>
      </c>
      <c r="T40" s="24" t="s">
        <v>3825</v>
      </c>
      <c r="U40" s="24" t="s">
        <v>1</v>
      </c>
      <c r="V40" s="24" t="s">
        <v>1</v>
      </c>
      <c r="W40" s="24" t="s">
        <v>1</v>
      </c>
      <c r="X40" s="24" t="s">
        <v>1</v>
      </c>
      <c r="Y40" s="24" t="s">
        <v>1</v>
      </c>
      <c r="Z40" s="24" t="s">
        <v>1</v>
      </c>
      <c r="AA40" s="12" t="s">
        <v>2415</v>
      </c>
      <c r="AB40" s="33" t="s">
        <v>4543</v>
      </c>
    </row>
    <row r="41" spans="1:28" ht="14">
      <c r="A41" s="1">
        <f t="shared" si="0"/>
        <v>39</v>
      </c>
      <c r="B41" s="1" t="s">
        <v>969</v>
      </c>
      <c r="C41" s="26" t="s">
        <v>1729</v>
      </c>
      <c r="D41" s="3">
        <v>2000</v>
      </c>
      <c r="E41" s="1" t="s">
        <v>18</v>
      </c>
      <c r="F41" s="3">
        <v>270</v>
      </c>
      <c r="G41" s="4">
        <v>45048</v>
      </c>
      <c r="H41" s="1" t="s">
        <v>3824</v>
      </c>
      <c r="I41" s="1" t="s">
        <v>3823</v>
      </c>
      <c r="J41" s="1" t="s">
        <v>2626</v>
      </c>
      <c r="K41" s="1" t="s">
        <v>3234</v>
      </c>
      <c r="L41" s="1">
        <v>2019</v>
      </c>
      <c r="M41" s="1" t="s">
        <v>3822</v>
      </c>
      <c r="N41" s="1" t="s">
        <v>3821</v>
      </c>
      <c r="O41" s="25" t="s">
        <v>7</v>
      </c>
      <c r="P41" s="25">
        <v>130</v>
      </c>
      <c r="Q41" s="25" t="s">
        <v>3820</v>
      </c>
      <c r="R41" s="25" t="s">
        <v>5</v>
      </c>
      <c r="S41" s="25">
        <v>40</v>
      </c>
      <c r="T41" s="25" t="s">
        <v>3819</v>
      </c>
      <c r="U41" s="25" t="s">
        <v>1</v>
      </c>
      <c r="V41" s="25" t="s">
        <v>1</v>
      </c>
      <c r="W41" s="25" t="s">
        <v>1</v>
      </c>
      <c r="X41" s="25" t="s">
        <v>1</v>
      </c>
      <c r="Y41" s="25" t="s">
        <v>1</v>
      </c>
      <c r="Z41" s="25" t="s">
        <v>1</v>
      </c>
      <c r="AA41" s="1" t="s">
        <v>2968</v>
      </c>
      <c r="AB41" s="33" t="s">
        <v>4544</v>
      </c>
    </row>
    <row r="42" spans="1:28">
      <c r="A42" s="1">
        <f t="shared" si="0"/>
        <v>40</v>
      </c>
      <c r="B42" s="1" t="s">
        <v>2186</v>
      </c>
      <c r="C42" s="26" t="s">
        <v>1729</v>
      </c>
      <c r="D42" s="3">
        <v>2000</v>
      </c>
      <c r="E42" s="1" t="s">
        <v>8</v>
      </c>
      <c r="F42" s="3">
        <v>220</v>
      </c>
      <c r="G42" s="4">
        <v>44287</v>
      </c>
      <c r="H42" s="1" t="s">
        <v>4511</v>
      </c>
      <c r="I42" s="1" t="s">
        <v>2185</v>
      </c>
      <c r="J42" s="1" t="s">
        <v>2147</v>
      </c>
      <c r="K42" s="1" t="s">
        <v>2164</v>
      </c>
      <c r="L42" s="1">
        <v>2016</v>
      </c>
      <c r="N42" s="1" t="s">
        <v>2184</v>
      </c>
      <c r="O42" s="25" t="s">
        <v>8</v>
      </c>
      <c r="P42" s="25">
        <v>200</v>
      </c>
      <c r="Q42" s="25" t="s">
        <v>4518</v>
      </c>
      <c r="R42" s="25" t="s">
        <v>18</v>
      </c>
      <c r="S42" s="25">
        <v>100</v>
      </c>
      <c r="T42" s="25" t="s">
        <v>4525</v>
      </c>
      <c r="U42" s="25" t="s">
        <v>5</v>
      </c>
      <c r="V42" s="25" t="s">
        <v>1</v>
      </c>
      <c r="W42" s="25" t="s">
        <v>4526</v>
      </c>
      <c r="X42" s="25" t="s">
        <v>4</v>
      </c>
      <c r="Y42" s="25" t="s">
        <v>1</v>
      </c>
      <c r="Z42" s="25" t="s">
        <v>4527</v>
      </c>
      <c r="AA42" s="1" t="s">
        <v>2183</v>
      </c>
      <c r="AB42" s="28" t="s">
        <v>2182</v>
      </c>
    </row>
    <row r="43" spans="1:28" ht="14">
      <c r="A43" s="1">
        <f t="shared" si="0"/>
        <v>41</v>
      </c>
      <c r="B43" s="1" t="s">
        <v>3818</v>
      </c>
      <c r="C43" s="26" t="s">
        <v>1729</v>
      </c>
      <c r="D43" s="3">
        <v>2000</v>
      </c>
      <c r="E43" s="1" t="s">
        <v>18</v>
      </c>
      <c r="F43" s="3">
        <v>100</v>
      </c>
      <c r="G43" s="4">
        <v>44690</v>
      </c>
      <c r="H43" s="1" t="s">
        <v>3817</v>
      </c>
      <c r="I43" s="1" t="s">
        <v>3816</v>
      </c>
      <c r="J43" s="1" t="s">
        <v>2626</v>
      </c>
      <c r="K43" s="1" t="s">
        <v>2102</v>
      </c>
      <c r="L43" s="1">
        <v>2016</v>
      </c>
      <c r="M43" s="52" t="s">
        <v>3815</v>
      </c>
      <c r="N43" s="1" t="s">
        <v>3814</v>
      </c>
      <c r="O43" s="25" t="s">
        <v>7</v>
      </c>
      <c r="P43" s="25">
        <v>40</v>
      </c>
      <c r="Q43" s="25" t="s">
        <v>3813</v>
      </c>
      <c r="R43" s="25" t="s">
        <v>5</v>
      </c>
      <c r="S43" s="25">
        <v>15</v>
      </c>
      <c r="T43" s="25" t="s">
        <v>3812</v>
      </c>
      <c r="U43" s="25" t="s">
        <v>4</v>
      </c>
      <c r="V43" s="25">
        <v>4</v>
      </c>
      <c r="W43" s="25" t="s">
        <v>3811</v>
      </c>
      <c r="X43" s="25" t="s">
        <v>285</v>
      </c>
      <c r="Y43" s="25">
        <v>1.2</v>
      </c>
      <c r="Z43" s="25" t="s">
        <v>3810</v>
      </c>
      <c r="AA43" s="1" t="s">
        <v>2101</v>
      </c>
      <c r="AB43" s="33" t="s">
        <v>4545</v>
      </c>
    </row>
    <row r="44" spans="1:28">
      <c r="A44" s="1">
        <f t="shared" si="0"/>
        <v>42</v>
      </c>
      <c r="B44" s="1" t="s">
        <v>3809</v>
      </c>
      <c r="C44" s="26" t="s">
        <v>1729</v>
      </c>
      <c r="D44" s="3">
        <v>2000</v>
      </c>
      <c r="E44" s="1" t="s">
        <v>7</v>
      </c>
      <c r="F44" s="3">
        <v>138</v>
      </c>
      <c r="G44" s="4">
        <v>44872</v>
      </c>
      <c r="H44" s="1" t="s">
        <v>3808</v>
      </c>
      <c r="J44" s="1" t="s">
        <v>2091</v>
      </c>
      <c r="K44" s="1" t="s">
        <v>3347</v>
      </c>
      <c r="L44" s="1">
        <v>2014</v>
      </c>
      <c r="M44" s="1" t="s">
        <v>3807</v>
      </c>
      <c r="N44" s="1" t="s">
        <v>1</v>
      </c>
      <c r="O44" s="25" t="s">
        <v>5</v>
      </c>
      <c r="P44" s="25" t="s">
        <v>1</v>
      </c>
      <c r="Q44" s="25" t="s">
        <v>3806</v>
      </c>
      <c r="AA44" s="1" t="s">
        <v>2423</v>
      </c>
    </row>
    <row r="45" spans="1:28">
      <c r="A45" s="1">
        <f t="shared" si="0"/>
        <v>43</v>
      </c>
      <c r="B45" s="1" t="s">
        <v>3805</v>
      </c>
      <c r="C45" s="26" t="s">
        <v>1729</v>
      </c>
      <c r="D45" s="3">
        <v>2000</v>
      </c>
      <c r="E45" s="1" t="s">
        <v>18</v>
      </c>
      <c r="F45" s="3">
        <v>50</v>
      </c>
      <c r="G45" s="4">
        <v>44380</v>
      </c>
      <c r="I45" s="1" t="s">
        <v>3804</v>
      </c>
      <c r="J45" s="1" t="s">
        <v>2361</v>
      </c>
      <c r="K45" s="1" t="s">
        <v>2343</v>
      </c>
      <c r="L45" s="1">
        <v>2014</v>
      </c>
      <c r="N45" s="1" t="s">
        <v>3803</v>
      </c>
      <c r="O45" s="25" t="s">
        <v>7</v>
      </c>
      <c r="P45" s="25">
        <v>150</v>
      </c>
      <c r="Q45" s="25" t="s">
        <v>3802</v>
      </c>
      <c r="R45" s="25" t="s">
        <v>5</v>
      </c>
      <c r="S45" s="25">
        <f>150/6</f>
        <v>25</v>
      </c>
      <c r="T45" s="25" t="s">
        <v>3801</v>
      </c>
      <c r="U45" s="25" t="s">
        <v>1</v>
      </c>
      <c r="V45" s="25" t="s">
        <v>1</v>
      </c>
      <c r="W45" s="25" t="s">
        <v>1</v>
      </c>
      <c r="X45" s="25" t="s">
        <v>1</v>
      </c>
      <c r="Y45" s="25" t="s">
        <v>1</v>
      </c>
      <c r="Z45" s="25" t="s">
        <v>1</v>
      </c>
      <c r="AA45" s="1" t="s">
        <v>3707</v>
      </c>
    </row>
    <row r="46" spans="1:28">
      <c r="A46" s="1">
        <f t="shared" si="0"/>
        <v>44</v>
      </c>
      <c r="B46" s="1" t="s">
        <v>41</v>
      </c>
      <c r="C46" s="26" t="s">
        <v>1729</v>
      </c>
      <c r="D46" s="3">
        <v>2000</v>
      </c>
      <c r="E46" s="1" t="s">
        <v>9</v>
      </c>
      <c r="F46" s="3">
        <v>230</v>
      </c>
      <c r="G46" s="4">
        <v>44984</v>
      </c>
      <c r="H46" s="1" t="s">
        <v>3799</v>
      </c>
      <c r="I46" s="1" t="s">
        <v>3800</v>
      </c>
      <c r="J46" s="1" t="s">
        <v>2147</v>
      </c>
      <c r="K46" s="1" t="s">
        <v>3799</v>
      </c>
      <c r="L46" s="1">
        <v>2014</v>
      </c>
      <c r="M46" s="1" t="s">
        <v>3798</v>
      </c>
      <c r="N46" s="1" t="s">
        <v>3797</v>
      </c>
      <c r="O46" s="25" t="s">
        <v>8</v>
      </c>
      <c r="P46" s="25" t="s">
        <v>3796</v>
      </c>
      <c r="Q46" s="25" t="s">
        <v>3795</v>
      </c>
      <c r="R46" s="25" t="s">
        <v>18</v>
      </c>
      <c r="S46" s="25">
        <v>100</v>
      </c>
      <c r="T46" s="25" t="s">
        <v>3794</v>
      </c>
      <c r="U46" s="25" t="s">
        <v>7</v>
      </c>
      <c r="V46" s="25">
        <v>42</v>
      </c>
      <c r="W46" s="25" t="s">
        <v>3793</v>
      </c>
      <c r="X46" s="25" t="s">
        <v>5</v>
      </c>
      <c r="Y46" s="25">
        <v>25</v>
      </c>
      <c r="Z46" s="25" t="s">
        <v>3792</v>
      </c>
      <c r="AA46" s="1" t="s">
        <v>3186</v>
      </c>
      <c r="AB46" s="28" t="s">
        <v>3791</v>
      </c>
    </row>
    <row r="47" spans="1:28">
      <c r="B47" s="1" t="s">
        <v>2180</v>
      </c>
      <c r="C47" s="26" t="s">
        <v>1729</v>
      </c>
      <c r="D47" s="3">
        <v>2000</v>
      </c>
      <c r="E47" s="1" t="s">
        <v>7</v>
      </c>
      <c r="F47" s="3">
        <f>147*1.2</f>
        <v>176.4</v>
      </c>
      <c r="G47" s="4">
        <v>44578</v>
      </c>
      <c r="H47" s="1" t="s">
        <v>4585</v>
      </c>
      <c r="I47" s="1" t="s">
        <v>4582</v>
      </c>
      <c r="J47" s="1" t="s">
        <v>4584</v>
      </c>
      <c r="K47" s="1" t="s">
        <v>2164</v>
      </c>
      <c r="L47" s="1">
        <v>2017</v>
      </c>
      <c r="N47" s="1" t="s">
        <v>4586</v>
      </c>
      <c r="O47" s="25" t="s">
        <v>5</v>
      </c>
      <c r="P47" s="25">
        <v>20</v>
      </c>
      <c r="Q47" s="25" t="s">
        <v>4593</v>
      </c>
      <c r="R47" s="25" t="s">
        <v>5</v>
      </c>
      <c r="S47" s="25">
        <v>20</v>
      </c>
      <c r="T47" s="25" t="s">
        <v>4595</v>
      </c>
      <c r="U47" s="25" t="s">
        <v>4</v>
      </c>
      <c r="V47" s="25">
        <v>3</v>
      </c>
      <c r="W47" s="25" t="s">
        <v>4596</v>
      </c>
      <c r="X47" s="25" t="s">
        <v>1</v>
      </c>
      <c r="Y47" s="25" t="s">
        <v>1</v>
      </c>
      <c r="Z47" s="25" t="s">
        <v>1</v>
      </c>
      <c r="AA47" s="1" t="s">
        <v>2141</v>
      </c>
      <c r="AB47" s="28" t="s">
        <v>2179</v>
      </c>
    </row>
    <row r="48" spans="1:28">
      <c r="A48" s="1">
        <f>A46+1</f>
        <v>45</v>
      </c>
      <c r="B48" s="1" t="s">
        <v>3790</v>
      </c>
      <c r="C48" s="26" t="s">
        <v>1729</v>
      </c>
      <c r="D48" s="3">
        <v>1900</v>
      </c>
      <c r="E48" s="1" t="s">
        <v>9</v>
      </c>
      <c r="F48" s="3">
        <v>220</v>
      </c>
      <c r="G48" s="4">
        <v>44357</v>
      </c>
      <c r="H48" s="1" t="s">
        <v>3789</v>
      </c>
      <c r="I48" s="1" t="s">
        <v>3788</v>
      </c>
      <c r="J48" s="1" t="s">
        <v>2091</v>
      </c>
      <c r="K48" s="1" t="s">
        <v>2177</v>
      </c>
      <c r="L48" s="1">
        <v>2016</v>
      </c>
      <c r="N48" s="1" t="s">
        <v>3787</v>
      </c>
      <c r="O48" s="25" t="s">
        <v>8</v>
      </c>
      <c r="P48" s="25" t="s">
        <v>3786</v>
      </c>
      <c r="Q48" s="25" t="s">
        <v>3785</v>
      </c>
      <c r="R48" s="25" t="s">
        <v>18</v>
      </c>
      <c r="S48" s="25">
        <v>28</v>
      </c>
      <c r="T48" s="25" t="s">
        <v>3784</v>
      </c>
      <c r="U48" s="25" t="s">
        <v>7</v>
      </c>
      <c r="V48" s="25">
        <v>18</v>
      </c>
      <c r="W48" s="25" t="s">
        <v>3783</v>
      </c>
      <c r="X48" s="25" t="s">
        <v>5</v>
      </c>
      <c r="Y48" s="25">
        <v>5.8</v>
      </c>
      <c r="Z48" s="25" t="s">
        <v>1</v>
      </c>
      <c r="AA48" s="1" t="s">
        <v>2330</v>
      </c>
      <c r="AB48" s="28" t="s">
        <v>3782</v>
      </c>
    </row>
    <row r="49" spans="1:28">
      <c r="A49" s="1">
        <f t="shared" si="0"/>
        <v>46</v>
      </c>
      <c r="B49" s="1" t="s">
        <v>775</v>
      </c>
      <c r="C49" s="26" t="s">
        <v>1729</v>
      </c>
      <c r="D49" s="3">
        <v>1500</v>
      </c>
      <c r="E49" s="1" t="s">
        <v>5</v>
      </c>
      <c r="F49" s="3">
        <v>125</v>
      </c>
      <c r="G49" s="4">
        <v>44852</v>
      </c>
      <c r="H49" s="1" t="s">
        <v>2613</v>
      </c>
      <c r="I49" s="1" t="s">
        <v>3781</v>
      </c>
      <c r="J49" s="1" t="s">
        <v>2361</v>
      </c>
      <c r="K49" s="1" t="s">
        <v>2762</v>
      </c>
      <c r="L49" s="1">
        <v>2021</v>
      </c>
      <c r="M49" s="1" t="s">
        <v>3780</v>
      </c>
      <c r="N49" s="1" t="s">
        <v>3779</v>
      </c>
      <c r="O49" s="25" t="s">
        <v>4</v>
      </c>
      <c r="P49" s="25">
        <v>6</v>
      </c>
      <c r="Q49" s="25" t="s">
        <v>3778</v>
      </c>
      <c r="R49" s="25" t="s">
        <v>285</v>
      </c>
      <c r="S49" s="25">
        <v>1</v>
      </c>
      <c r="T49" s="25" t="s">
        <v>3777</v>
      </c>
      <c r="U49" s="25" t="s">
        <v>1</v>
      </c>
      <c r="V49" s="25" t="s">
        <v>1</v>
      </c>
      <c r="W49" s="25" t="s">
        <v>1</v>
      </c>
      <c r="X49" s="25" t="s">
        <v>1</v>
      </c>
      <c r="Y49" s="25" t="s">
        <v>1</v>
      </c>
      <c r="Z49" s="25" t="s">
        <v>1</v>
      </c>
      <c r="AA49" s="1" t="s">
        <v>3776</v>
      </c>
    </row>
    <row r="50" spans="1:28">
      <c r="A50" s="1">
        <f t="shared" si="0"/>
        <v>47</v>
      </c>
      <c r="B50" s="1" t="s">
        <v>59</v>
      </c>
      <c r="C50" s="26" t="s">
        <v>1729</v>
      </c>
      <c r="D50" s="3">
        <v>1500</v>
      </c>
      <c r="E50" s="1" t="s">
        <v>8</v>
      </c>
      <c r="F50" s="3">
        <v>250</v>
      </c>
      <c r="G50" s="4">
        <v>45069</v>
      </c>
      <c r="H50" s="1" t="s">
        <v>3775</v>
      </c>
      <c r="I50" s="1" t="s">
        <v>3774</v>
      </c>
      <c r="J50" s="1" t="s">
        <v>2091</v>
      </c>
      <c r="K50" s="1" t="s">
        <v>2290</v>
      </c>
      <c r="L50" s="1">
        <v>2016</v>
      </c>
      <c r="M50" s="1" t="s">
        <v>3773</v>
      </c>
      <c r="N50" s="1" t="s">
        <v>3772</v>
      </c>
      <c r="O50" s="25" t="s">
        <v>18</v>
      </c>
      <c r="P50" s="25">
        <v>100</v>
      </c>
      <c r="Q50" s="25" t="s">
        <v>3771</v>
      </c>
      <c r="R50" s="25" t="s">
        <v>7</v>
      </c>
      <c r="S50" s="25" t="s">
        <v>1</v>
      </c>
      <c r="T50" s="25" t="s">
        <v>3770</v>
      </c>
      <c r="U50" s="25" t="s">
        <v>5</v>
      </c>
      <c r="V50" s="25">
        <v>29.5</v>
      </c>
      <c r="W50" s="25" t="s">
        <v>3769</v>
      </c>
      <c r="X50" s="25" t="s">
        <v>1</v>
      </c>
      <c r="Y50" s="25" t="s">
        <v>1</v>
      </c>
      <c r="Z50" s="25" t="s">
        <v>1</v>
      </c>
      <c r="AA50" s="1" t="s">
        <v>2141</v>
      </c>
      <c r="AB50" s="28" t="s">
        <v>3768</v>
      </c>
    </row>
    <row r="51" spans="1:28">
      <c r="A51" s="1">
        <f t="shared" si="0"/>
        <v>48</v>
      </c>
      <c r="B51" s="1" t="s">
        <v>974</v>
      </c>
      <c r="C51" s="26" t="s">
        <v>1729</v>
      </c>
      <c r="D51" s="3">
        <v>1400</v>
      </c>
      <c r="E51" s="1" t="s">
        <v>8</v>
      </c>
      <c r="F51" s="3">
        <v>100</v>
      </c>
      <c r="G51" s="4">
        <v>45051</v>
      </c>
      <c r="H51" s="1" t="s">
        <v>2356</v>
      </c>
      <c r="I51" s="1" t="s">
        <v>3767</v>
      </c>
      <c r="J51" s="1" t="s">
        <v>2361</v>
      </c>
      <c r="K51" s="1" t="s">
        <v>2355</v>
      </c>
      <c r="L51" s="32">
        <v>43101</v>
      </c>
      <c r="M51" s="1" t="s">
        <v>4461</v>
      </c>
      <c r="N51" s="1" t="s">
        <v>3766</v>
      </c>
      <c r="O51" s="25" t="s">
        <v>18</v>
      </c>
      <c r="P51" s="25">
        <v>50</v>
      </c>
      <c r="Q51" s="25" t="s">
        <v>3765</v>
      </c>
      <c r="R51" s="25" t="s">
        <v>7</v>
      </c>
      <c r="S51" s="25">
        <v>35</v>
      </c>
      <c r="T51" s="25" t="s">
        <v>3764</v>
      </c>
      <c r="U51" s="25" t="s">
        <v>5</v>
      </c>
      <c r="V51" s="25">
        <v>8.5</v>
      </c>
      <c r="W51" s="25" t="s">
        <v>3763</v>
      </c>
      <c r="X51" s="25" t="s">
        <v>4</v>
      </c>
      <c r="Y51" s="25">
        <v>2</v>
      </c>
      <c r="Z51" s="25" t="s">
        <v>3762</v>
      </c>
      <c r="AA51" s="1" t="s">
        <v>2101</v>
      </c>
    </row>
    <row r="52" spans="1:28">
      <c r="A52" s="1">
        <f t="shared" si="0"/>
        <v>49</v>
      </c>
      <c r="B52" s="1" t="s">
        <v>617</v>
      </c>
      <c r="C52" s="26" t="s">
        <v>1729</v>
      </c>
      <c r="D52" s="3">
        <v>1300</v>
      </c>
      <c r="E52" s="1" t="s">
        <v>9</v>
      </c>
      <c r="F52" s="3">
        <v>132</v>
      </c>
      <c r="G52" s="4">
        <v>44215</v>
      </c>
      <c r="H52" s="1" t="s">
        <v>3761</v>
      </c>
      <c r="I52" s="1" t="s">
        <v>3760</v>
      </c>
      <c r="J52" s="1" t="s">
        <v>2361</v>
      </c>
      <c r="K52" s="1" t="s">
        <v>2108</v>
      </c>
      <c r="L52" s="1">
        <v>2016</v>
      </c>
      <c r="N52" s="1" t="s">
        <v>3759</v>
      </c>
      <c r="O52" s="25" t="s">
        <v>8</v>
      </c>
      <c r="P52" s="25">
        <v>42</v>
      </c>
      <c r="Q52" s="25" t="s">
        <v>3758</v>
      </c>
      <c r="R52" s="25" t="s">
        <v>18</v>
      </c>
      <c r="S52" s="25">
        <v>48</v>
      </c>
      <c r="T52" s="25" t="s">
        <v>3757</v>
      </c>
      <c r="U52" s="25" t="s">
        <v>7</v>
      </c>
      <c r="V52" s="25">
        <v>25</v>
      </c>
      <c r="W52" s="25" t="s">
        <v>3756</v>
      </c>
      <c r="X52" s="25" t="s">
        <v>5</v>
      </c>
      <c r="Y52" s="25">
        <v>5.8</v>
      </c>
      <c r="Z52" s="25" t="s">
        <v>3755</v>
      </c>
      <c r="AA52" s="1" t="s">
        <v>2101</v>
      </c>
    </row>
    <row r="53" spans="1:28">
      <c r="B53" s="1" t="s">
        <v>2178</v>
      </c>
      <c r="C53" s="26" t="s">
        <v>1729</v>
      </c>
      <c r="D53" s="3">
        <v>1300</v>
      </c>
      <c r="E53" s="1" t="s">
        <v>18</v>
      </c>
      <c r="F53" s="3">
        <v>200</v>
      </c>
      <c r="G53" s="4">
        <v>44557</v>
      </c>
      <c r="H53" s="1" t="s">
        <v>4658</v>
      </c>
      <c r="I53" s="1" t="s">
        <v>4657</v>
      </c>
      <c r="J53" s="1" t="s">
        <v>2091</v>
      </c>
      <c r="K53" s="1" t="s">
        <v>2177</v>
      </c>
      <c r="L53" s="1">
        <v>2016</v>
      </c>
      <c r="N53" s="1" t="s">
        <v>4659</v>
      </c>
      <c r="O53" s="25" t="s">
        <v>7</v>
      </c>
      <c r="P53" s="25">
        <v>40</v>
      </c>
      <c r="Q53" s="25" t="s">
        <v>4664</v>
      </c>
      <c r="R53" s="25" t="s">
        <v>5</v>
      </c>
      <c r="S53" s="25">
        <v>13.3</v>
      </c>
      <c r="T53" s="25" t="s">
        <v>1</v>
      </c>
      <c r="U53" s="25" t="s">
        <v>1</v>
      </c>
      <c r="V53" s="25" t="s">
        <v>1</v>
      </c>
      <c r="W53" s="25" t="s">
        <v>1</v>
      </c>
      <c r="X53" s="25" t="s">
        <v>1</v>
      </c>
      <c r="Y53" s="25" t="s">
        <v>1</v>
      </c>
      <c r="Z53" s="25" t="s">
        <v>1</v>
      </c>
      <c r="AA53" s="1" t="s">
        <v>2176</v>
      </c>
      <c r="AB53" s="28" t="s">
        <v>2175</v>
      </c>
    </row>
    <row r="54" spans="1:28">
      <c r="A54" s="1">
        <f>A52+1</f>
        <v>50</v>
      </c>
      <c r="B54" s="1" t="s">
        <v>82</v>
      </c>
      <c r="C54" s="26" t="s">
        <v>1729</v>
      </c>
      <c r="D54" s="3">
        <v>1285.7142857142858</v>
      </c>
      <c r="E54" s="1" t="s">
        <v>18</v>
      </c>
      <c r="F54" s="3">
        <v>257.14285714285717</v>
      </c>
      <c r="G54" s="4">
        <v>44201</v>
      </c>
      <c r="H54" s="1" t="s">
        <v>2425</v>
      </c>
      <c r="I54" s="1" t="s">
        <v>3754</v>
      </c>
      <c r="J54" s="1" t="s">
        <v>2091</v>
      </c>
      <c r="K54" s="1" t="s">
        <v>2147</v>
      </c>
      <c r="L54" s="1">
        <v>2018</v>
      </c>
      <c r="N54" s="1" t="s">
        <v>3753</v>
      </c>
      <c r="O54" s="25" t="s">
        <v>7</v>
      </c>
      <c r="P54" s="25">
        <v>100</v>
      </c>
      <c r="Q54" s="25" t="s">
        <v>3752</v>
      </c>
      <c r="R54" s="25" t="s">
        <v>5</v>
      </c>
      <c r="S54" s="25">
        <v>43</v>
      </c>
      <c r="T54" s="25" t="s">
        <v>3751</v>
      </c>
      <c r="U54" s="25" t="s">
        <v>4</v>
      </c>
      <c r="V54" s="30">
        <f>340/7</f>
        <v>48.571428571428569</v>
      </c>
      <c r="W54" s="25" t="s">
        <v>3750</v>
      </c>
      <c r="X54" s="25" t="s">
        <v>1</v>
      </c>
      <c r="Y54" s="25" t="s">
        <v>1</v>
      </c>
      <c r="Z54" s="25" t="s">
        <v>1</v>
      </c>
      <c r="AA54" s="1" t="s">
        <v>3707</v>
      </c>
      <c r="AB54" s="28" t="s">
        <v>3749</v>
      </c>
    </row>
    <row r="55" spans="1:28">
      <c r="B55" s="1" t="s">
        <v>2181</v>
      </c>
      <c r="C55" s="26" t="s">
        <v>1729</v>
      </c>
      <c r="D55" s="3">
        <f>7700/7</f>
        <v>1100</v>
      </c>
      <c r="E55" s="1" t="s">
        <v>7</v>
      </c>
      <c r="F55" s="3">
        <f>1300/7</f>
        <v>185.71428571428572</v>
      </c>
      <c r="G55" s="4">
        <v>44648</v>
      </c>
      <c r="H55" s="1" t="s">
        <v>4572</v>
      </c>
      <c r="I55" s="1" t="s">
        <v>4573</v>
      </c>
      <c r="J55" s="1" t="s">
        <v>2091</v>
      </c>
      <c r="K55" s="1" t="s">
        <v>2164</v>
      </c>
      <c r="L55" s="1">
        <v>2014</v>
      </c>
      <c r="M55" s="1" t="s">
        <v>4579</v>
      </c>
      <c r="N55" s="1" t="s">
        <v>4574</v>
      </c>
      <c r="O55" s="25" t="s">
        <v>5</v>
      </c>
      <c r="P55" s="25" t="s">
        <v>1</v>
      </c>
      <c r="Q55" s="25" t="s">
        <v>4578</v>
      </c>
      <c r="R55" s="25" t="s">
        <v>1</v>
      </c>
      <c r="S55" s="25" t="s">
        <v>1</v>
      </c>
      <c r="T55" s="25" t="s">
        <v>1</v>
      </c>
      <c r="U55" s="25" t="s">
        <v>1</v>
      </c>
      <c r="V55" s="25" t="s">
        <v>1</v>
      </c>
      <c r="W55" s="25" t="s">
        <v>1</v>
      </c>
      <c r="X55" s="25" t="s">
        <v>1</v>
      </c>
      <c r="Y55" s="25" t="s">
        <v>1</v>
      </c>
      <c r="Z55" s="25" t="s">
        <v>1</v>
      </c>
      <c r="AA55" s="1" t="s">
        <v>4570</v>
      </c>
      <c r="AB55" s="28" t="s">
        <v>4571</v>
      </c>
    </row>
    <row r="56" spans="1:28">
      <c r="A56" s="1">
        <f>A54+1</f>
        <v>51</v>
      </c>
      <c r="B56" s="1" t="s">
        <v>3748</v>
      </c>
      <c r="C56" s="26" t="s">
        <v>1729</v>
      </c>
      <c r="D56" s="3">
        <v>1100</v>
      </c>
      <c r="E56" s="1" t="s">
        <v>18</v>
      </c>
      <c r="F56" s="3">
        <v>130</v>
      </c>
      <c r="G56" s="4">
        <v>44323</v>
      </c>
      <c r="H56" s="1" t="s">
        <v>3747</v>
      </c>
      <c r="I56" s="1" t="s">
        <v>3746</v>
      </c>
      <c r="J56" s="1" t="s">
        <v>2091</v>
      </c>
      <c r="K56" s="1" t="s">
        <v>2693</v>
      </c>
      <c r="L56" s="1">
        <v>2016</v>
      </c>
      <c r="N56" s="1" t="s">
        <v>3745</v>
      </c>
      <c r="O56" s="25" t="s">
        <v>7</v>
      </c>
      <c r="P56" s="25">
        <v>44</v>
      </c>
      <c r="Q56" s="25" t="s">
        <v>3744</v>
      </c>
      <c r="R56" s="25" t="s">
        <v>5</v>
      </c>
      <c r="S56" s="25">
        <v>15</v>
      </c>
      <c r="T56" s="25" t="s">
        <v>3743</v>
      </c>
      <c r="U56" s="25" t="s">
        <v>4</v>
      </c>
      <c r="V56" s="25">
        <v>2.5</v>
      </c>
      <c r="W56" s="25" t="s">
        <v>3742</v>
      </c>
      <c r="X56" s="25" t="s">
        <v>285</v>
      </c>
      <c r="Y56" s="25" t="s">
        <v>1</v>
      </c>
      <c r="Z56" s="25" t="s">
        <v>3741</v>
      </c>
      <c r="AA56" s="1" t="s">
        <v>2968</v>
      </c>
    </row>
    <row r="57" spans="1:28">
      <c r="A57" s="1">
        <f t="shared" si="0"/>
        <v>52</v>
      </c>
      <c r="B57" s="1" t="s">
        <v>3740</v>
      </c>
      <c r="C57" s="26" t="s">
        <v>1729</v>
      </c>
      <c r="D57" s="3">
        <v>1000</v>
      </c>
      <c r="E57" s="1" t="s">
        <v>18</v>
      </c>
      <c r="F57" s="3">
        <v>135</v>
      </c>
      <c r="G57" s="4">
        <v>44482</v>
      </c>
      <c r="H57" s="1" t="s">
        <v>3739</v>
      </c>
      <c r="I57" s="1" t="s">
        <v>3738</v>
      </c>
      <c r="J57" s="1" t="s">
        <v>2626</v>
      </c>
      <c r="K57" s="1" t="s">
        <v>2102</v>
      </c>
      <c r="L57" s="1">
        <v>2017</v>
      </c>
      <c r="M57" s="1" t="s">
        <v>3737</v>
      </c>
      <c r="N57" s="1" t="s">
        <v>3736</v>
      </c>
      <c r="O57" s="25" t="s">
        <v>7</v>
      </c>
      <c r="P57" s="25">
        <v>45</v>
      </c>
      <c r="Q57" s="25" t="s">
        <v>3735</v>
      </c>
      <c r="R57" s="25" t="s">
        <v>5</v>
      </c>
      <c r="S57" s="25">
        <v>5</v>
      </c>
      <c r="T57" s="25" t="s">
        <v>3734</v>
      </c>
      <c r="U57" s="25" t="s">
        <v>1</v>
      </c>
      <c r="V57" s="25" t="s">
        <v>1</v>
      </c>
      <c r="W57" s="25" t="s">
        <v>1</v>
      </c>
      <c r="X57" s="25" t="s">
        <v>1</v>
      </c>
      <c r="Y57" s="25" t="s">
        <v>1</v>
      </c>
      <c r="Z57" s="25" t="s">
        <v>1</v>
      </c>
      <c r="AA57" s="1" t="s">
        <v>2415</v>
      </c>
    </row>
    <row r="58" spans="1:28">
      <c r="A58" s="1">
        <f t="shared" si="0"/>
        <v>53</v>
      </c>
      <c r="B58" s="12" t="s">
        <v>3733</v>
      </c>
      <c r="C58" s="35" t="s">
        <v>1729</v>
      </c>
      <c r="D58" s="15">
        <v>1000</v>
      </c>
      <c r="E58" s="12" t="s">
        <v>5</v>
      </c>
      <c r="F58" s="15">
        <v>150</v>
      </c>
      <c r="G58" s="14">
        <v>45008</v>
      </c>
      <c r="H58" s="12" t="s">
        <v>949</v>
      </c>
      <c r="I58" s="12" t="s">
        <v>3732</v>
      </c>
      <c r="J58" s="12" t="s">
        <v>2361</v>
      </c>
      <c r="K58" s="12" t="s">
        <v>2520</v>
      </c>
      <c r="L58" s="12">
        <v>2021</v>
      </c>
      <c r="M58" s="1" t="s">
        <v>3731</v>
      </c>
      <c r="N58" s="1" t="s">
        <v>3730</v>
      </c>
      <c r="O58" s="25" t="s">
        <v>4</v>
      </c>
      <c r="P58" s="25" t="s">
        <v>1</v>
      </c>
      <c r="Q58" s="25" t="s">
        <v>3729</v>
      </c>
      <c r="R58" s="25" t="s">
        <v>1</v>
      </c>
      <c r="S58" s="25" t="s">
        <v>1</v>
      </c>
      <c r="T58" s="25" t="s">
        <v>1</v>
      </c>
      <c r="U58" s="25" t="s">
        <v>1</v>
      </c>
      <c r="V58" s="25" t="s">
        <v>1</v>
      </c>
      <c r="W58" s="25" t="s">
        <v>1</v>
      </c>
      <c r="X58" s="25" t="s">
        <v>1</v>
      </c>
      <c r="Y58" s="25" t="s">
        <v>1</v>
      </c>
      <c r="Z58" s="25" t="s">
        <v>1</v>
      </c>
      <c r="AA58" s="1" t="s">
        <v>3728</v>
      </c>
    </row>
    <row r="59" spans="1:28">
      <c r="A59" s="1">
        <f t="shared" si="0"/>
        <v>54</v>
      </c>
      <c r="B59" s="1" t="s">
        <v>965</v>
      </c>
      <c r="C59" s="26" t="s">
        <v>1729</v>
      </c>
      <c r="D59" s="3">
        <v>1000</v>
      </c>
      <c r="E59" s="1" t="s">
        <v>7</v>
      </c>
      <c r="F59" s="3">
        <v>350</v>
      </c>
      <c r="G59" s="4">
        <v>44999</v>
      </c>
      <c r="H59" s="1" t="s">
        <v>1</v>
      </c>
      <c r="I59" s="1" t="s">
        <v>3727</v>
      </c>
      <c r="J59" s="45" t="s">
        <v>2091</v>
      </c>
      <c r="K59" s="45" t="s">
        <v>2797</v>
      </c>
      <c r="L59" s="1">
        <v>2022</v>
      </c>
      <c r="M59" s="1" t="s">
        <v>3726</v>
      </c>
      <c r="N59" s="1" t="s">
        <v>3725</v>
      </c>
      <c r="O59" s="25" t="s">
        <v>5</v>
      </c>
      <c r="P59" s="25">
        <v>65</v>
      </c>
      <c r="Q59" s="25" t="s">
        <v>3724</v>
      </c>
      <c r="R59" s="25" t="s">
        <v>1</v>
      </c>
      <c r="S59" s="25" t="s">
        <v>1</v>
      </c>
      <c r="T59" s="25" t="s">
        <v>1</v>
      </c>
      <c r="U59" s="25" t="s">
        <v>1</v>
      </c>
      <c r="V59" s="25" t="s">
        <v>1</v>
      </c>
      <c r="W59" s="25" t="s">
        <v>1</v>
      </c>
      <c r="X59" s="25" t="s">
        <v>1</v>
      </c>
      <c r="Y59" s="25" t="s">
        <v>1</v>
      </c>
      <c r="Z59" s="25" t="s">
        <v>1</v>
      </c>
      <c r="AA59" s="1" t="s">
        <v>2415</v>
      </c>
    </row>
    <row r="60" spans="1:28">
      <c r="A60" s="1">
        <f t="shared" si="0"/>
        <v>55</v>
      </c>
      <c r="B60" s="1" t="s">
        <v>3723</v>
      </c>
      <c r="C60" s="26" t="s">
        <v>1729</v>
      </c>
      <c r="D60" s="3">
        <v>1000</v>
      </c>
      <c r="E60" s="1" t="s">
        <v>3722</v>
      </c>
      <c r="F60" s="3">
        <v>0</v>
      </c>
      <c r="G60" s="2" t="s">
        <v>1</v>
      </c>
      <c r="H60" s="1" t="s">
        <v>3721</v>
      </c>
      <c r="I60" s="1" t="s">
        <v>3720</v>
      </c>
      <c r="J60" s="1" t="s">
        <v>2361</v>
      </c>
      <c r="K60" s="1" t="s">
        <v>2762</v>
      </c>
      <c r="L60" s="32">
        <v>44754</v>
      </c>
      <c r="M60" s="1" t="s">
        <v>3719</v>
      </c>
      <c r="N60" s="1" t="s">
        <v>1</v>
      </c>
      <c r="O60" s="25" t="s">
        <v>1</v>
      </c>
      <c r="P60" s="25" t="s">
        <v>1</v>
      </c>
      <c r="Q60" s="25" t="s">
        <v>1</v>
      </c>
      <c r="R60" s="25" t="s">
        <v>1</v>
      </c>
      <c r="S60" s="25" t="s">
        <v>1</v>
      </c>
      <c r="T60" s="25" t="s">
        <v>1</v>
      </c>
      <c r="U60" s="25" t="s">
        <v>1</v>
      </c>
      <c r="V60" s="25" t="s">
        <v>1</v>
      </c>
      <c r="W60" s="25" t="s">
        <v>1</v>
      </c>
      <c r="X60" s="25" t="s">
        <v>1</v>
      </c>
      <c r="Y60" s="25" t="s">
        <v>1</v>
      </c>
      <c r="Z60" s="25" t="s">
        <v>1</v>
      </c>
      <c r="AA60" s="1" t="s">
        <v>3718</v>
      </c>
    </row>
    <row r="61" spans="1:28">
      <c r="A61" s="1">
        <f t="shared" si="0"/>
        <v>56</v>
      </c>
      <c r="B61" s="1" t="s">
        <v>3717</v>
      </c>
      <c r="C61" s="26" t="s">
        <v>1729</v>
      </c>
      <c r="D61" s="3">
        <v>1000</v>
      </c>
      <c r="E61" s="1" t="s">
        <v>7</v>
      </c>
      <c r="F61" s="3">
        <v>300</v>
      </c>
      <c r="G61" s="4">
        <v>44453</v>
      </c>
      <c r="H61" s="1" t="s">
        <v>3716</v>
      </c>
      <c r="I61" s="1" t="s">
        <v>3715</v>
      </c>
      <c r="J61" s="1" t="s">
        <v>2361</v>
      </c>
      <c r="K61" s="1" t="s">
        <v>3560</v>
      </c>
      <c r="L61" s="32">
        <v>43817</v>
      </c>
      <c r="M61" s="1" t="s">
        <v>3560</v>
      </c>
      <c r="N61" s="1" t="s">
        <v>3714</v>
      </c>
      <c r="O61" s="25" t="s">
        <v>1</v>
      </c>
      <c r="P61" s="25" t="s">
        <v>1</v>
      </c>
      <c r="Q61" s="25" t="s">
        <v>1</v>
      </c>
      <c r="R61" s="25" t="s">
        <v>1</v>
      </c>
      <c r="S61" s="25" t="s">
        <v>1</v>
      </c>
      <c r="T61" s="25" t="s">
        <v>1</v>
      </c>
      <c r="U61" s="25" t="s">
        <v>1</v>
      </c>
      <c r="V61" s="25" t="s">
        <v>1</v>
      </c>
      <c r="W61" s="25" t="s">
        <v>1</v>
      </c>
      <c r="X61" s="25" t="s">
        <v>1</v>
      </c>
      <c r="Y61" s="25" t="s">
        <v>1</v>
      </c>
      <c r="Z61" s="25" t="s">
        <v>1</v>
      </c>
      <c r="AA61" s="1" t="s">
        <v>3671</v>
      </c>
    </row>
    <row r="62" spans="1:28">
      <c r="A62" s="1">
        <f t="shared" si="0"/>
        <v>57</v>
      </c>
      <c r="B62" s="1" t="s">
        <v>66</v>
      </c>
      <c r="C62" s="26" t="s">
        <v>1729</v>
      </c>
      <c r="D62" s="3">
        <v>1000</v>
      </c>
      <c r="E62" s="1" t="s">
        <v>7</v>
      </c>
      <c r="F62" s="3">
        <f>1600/7</f>
        <v>228.57142857142858</v>
      </c>
      <c r="G62" s="4">
        <v>44550</v>
      </c>
      <c r="H62" s="1" t="s">
        <v>3713</v>
      </c>
      <c r="I62" s="1" t="s">
        <v>3712</v>
      </c>
      <c r="J62" s="1" t="s">
        <v>2147</v>
      </c>
      <c r="K62" s="1" t="s">
        <v>3711</v>
      </c>
      <c r="L62" s="1">
        <v>2018</v>
      </c>
      <c r="N62" s="1" t="s">
        <v>3710</v>
      </c>
      <c r="O62" s="25" t="s">
        <v>5</v>
      </c>
      <c r="P62" s="51">
        <f>500/7</f>
        <v>71.428571428571431</v>
      </c>
      <c r="Q62" s="25" t="s">
        <v>3709</v>
      </c>
      <c r="R62" s="25" t="s">
        <v>5</v>
      </c>
      <c r="S62" s="25">
        <v>50</v>
      </c>
      <c r="T62" s="25" t="s">
        <v>3708</v>
      </c>
      <c r="U62" s="25" t="s">
        <v>1</v>
      </c>
      <c r="V62" s="25" t="s">
        <v>1</v>
      </c>
      <c r="W62" s="25" t="s">
        <v>1</v>
      </c>
      <c r="X62" s="25" t="s">
        <v>1</v>
      </c>
      <c r="Y62" s="25" t="s">
        <v>1</v>
      </c>
      <c r="Z62" s="25" t="s">
        <v>1</v>
      </c>
      <c r="AA62" s="1" t="s">
        <v>3707</v>
      </c>
      <c r="AB62" s="28" t="s">
        <v>3706</v>
      </c>
    </row>
    <row r="63" spans="1:28">
      <c r="A63" s="1">
        <f t="shared" si="0"/>
        <v>58</v>
      </c>
      <c r="B63" s="1" t="s">
        <v>3705</v>
      </c>
      <c r="C63" s="26" t="s">
        <v>1729</v>
      </c>
      <c r="D63" s="3">
        <v>1000</v>
      </c>
      <c r="E63" s="1" t="s">
        <v>18</v>
      </c>
      <c r="F63" s="3">
        <v>235</v>
      </c>
      <c r="G63" s="4">
        <v>44384</v>
      </c>
      <c r="H63" s="1" t="s">
        <v>3704</v>
      </c>
      <c r="I63" s="1" t="s">
        <v>3703</v>
      </c>
      <c r="J63" s="1" t="s">
        <v>2091</v>
      </c>
      <c r="K63" s="1" t="s">
        <v>2090</v>
      </c>
      <c r="L63" s="1">
        <v>2015</v>
      </c>
      <c r="N63" s="1" t="s">
        <v>3702</v>
      </c>
      <c r="O63" s="25" t="s">
        <v>7</v>
      </c>
      <c r="P63" s="25">
        <v>43</v>
      </c>
      <c r="Q63" s="25" t="s">
        <v>3701</v>
      </c>
      <c r="R63" s="25" t="s">
        <v>5</v>
      </c>
      <c r="S63" s="25">
        <v>31</v>
      </c>
      <c r="T63" s="25" t="s">
        <v>502</v>
      </c>
      <c r="U63" s="25" t="s">
        <v>5</v>
      </c>
      <c r="V63" s="25">
        <v>15</v>
      </c>
      <c r="W63" s="25" t="s">
        <v>3700</v>
      </c>
      <c r="X63" s="25" t="s">
        <v>5</v>
      </c>
      <c r="Y63" s="25">
        <v>28</v>
      </c>
      <c r="Z63" s="25" t="s">
        <v>3699</v>
      </c>
      <c r="AA63" s="1" t="s">
        <v>2124</v>
      </c>
      <c r="AB63" s="28" t="s">
        <v>3698</v>
      </c>
    </row>
    <row r="64" spans="1:28">
      <c r="A64" s="1">
        <f t="shared" si="0"/>
        <v>59</v>
      </c>
      <c r="B64" s="1" t="s">
        <v>1064</v>
      </c>
      <c r="C64" s="26" t="s">
        <v>1729</v>
      </c>
      <c r="D64" s="3">
        <v>1000</v>
      </c>
      <c r="E64" s="1" t="s">
        <v>18</v>
      </c>
      <c r="F64" s="3">
        <v>100</v>
      </c>
      <c r="G64" s="4">
        <v>44699</v>
      </c>
      <c r="H64" s="1" t="s">
        <v>3697</v>
      </c>
      <c r="I64" s="1" t="s">
        <v>3696</v>
      </c>
      <c r="J64" s="1" t="s">
        <v>2091</v>
      </c>
      <c r="K64" s="1" t="s">
        <v>2283</v>
      </c>
      <c r="L64" s="1">
        <v>2019</v>
      </c>
      <c r="M64" s="1" t="s">
        <v>3695</v>
      </c>
      <c r="N64" s="1" t="s">
        <v>3694</v>
      </c>
      <c r="O64" s="25" t="s">
        <v>7</v>
      </c>
      <c r="P64" s="25">
        <v>40</v>
      </c>
      <c r="Q64" s="25" t="s">
        <v>3693</v>
      </c>
      <c r="R64" s="25" t="s">
        <v>5</v>
      </c>
      <c r="S64" s="25">
        <v>15</v>
      </c>
      <c r="T64" s="25" t="s">
        <v>3692</v>
      </c>
      <c r="U64" s="25" t="s">
        <v>1</v>
      </c>
      <c r="V64" s="25" t="s">
        <v>1</v>
      </c>
      <c r="W64" s="25" t="s">
        <v>1</v>
      </c>
      <c r="X64" s="25" t="s">
        <v>1</v>
      </c>
      <c r="Y64" s="25" t="s">
        <v>1</v>
      </c>
      <c r="Z64" s="25" t="s">
        <v>1</v>
      </c>
      <c r="AA64" s="1" t="s">
        <v>2204</v>
      </c>
    </row>
    <row r="65" spans="1:28">
      <c r="A65" s="1">
        <f t="shared" si="0"/>
        <v>60</v>
      </c>
      <c r="B65" s="1" t="s">
        <v>530</v>
      </c>
      <c r="C65" s="26" t="s">
        <v>1729</v>
      </c>
      <c r="D65" s="3">
        <v>1000</v>
      </c>
      <c r="E65" s="1" t="s">
        <v>8</v>
      </c>
      <c r="F65" s="3">
        <v>100</v>
      </c>
      <c r="G65" s="4">
        <v>44419</v>
      </c>
      <c r="H65" s="1" t="s">
        <v>3691</v>
      </c>
      <c r="I65" s="1" t="s">
        <v>3690</v>
      </c>
      <c r="J65" s="1" t="s">
        <v>2091</v>
      </c>
      <c r="K65" s="1" t="s">
        <v>2308</v>
      </c>
      <c r="L65" s="1">
        <v>2016</v>
      </c>
      <c r="N65" s="1" t="s">
        <v>3689</v>
      </c>
      <c r="O65" s="25" t="s">
        <v>18</v>
      </c>
      <c r="P65" s="25">
        <v>60</v>
      </c>
      <c r="Q65" s="25" t="s">
        <v>3688</v>
      </c>
      <c r="R65" s="25" t="s">
        <v>7</v>
      </c>
      <c r="S65" s="25">
        <v>30</v>
      </c>
      <c r="T65" s="25" t="s">
        <v>3687</v>
      </c>
      <c r="U65" s="25" t="s">
        <v>5</v>
      </c>
      <c r="V65" s="25">
        <v>7</v>
      </c>
      <c r="W65" s="25" t="s">
        <v>3686</v>
      </c>
      <c r="X65" s="25" t="s">
        <v>4</v>
      </c>
      <c r="Y65" s="25">
        <v>3</v>
      </c>
      <c r="Z65" s="25" t="s">
        <v>3685</v>
      </c>
      <c r="AA65" s="1" t="s">
        <v>2094</v>
      </c>
    </row>
    <row r="66" spans="1:28">
      <c r="A66" s="1">
        <f t="shared" si="0"/>
        <v>61</v>
      </c>
      <c r="B66" s="1" t="s">
        <v>1023</v>
      </c>
      <c r="C66" s="26" t="s">
        <v>1729</v>
      </c>
      <c r="D66" s="3">
        <v>1000</v>
      </c>
      <c r="E66" s="1" t="s">
        <v>18</v>
      </c>
      <c r="F66" s="3">
        <v>100</v>
      </c>
      <c r="G66" s="4">
        <v>44754</v>
      </c>
      <c r="H66" s="1" t="s">
        <v>3684</v>
      </c>
      <c r="I66" s="1" t="s">
        <v>3683</v>
      </c>
      <c r="J66" s="1" t="s">
        <v>2626</v>
      </c>
      <c r="K66" s="1" t="s">
        <v>2102</v>
      </c>
      <c r="L66" s="1">
        <v>2019</v>
      </c>
      <c r="M66" s="1" t="s">
        <v>3682</v>
      </c>
      <c r="N66" s="1" t="s">
        <v>3681</v>
      </c>
      <c r="O66" s="25" t="s">
        <v>7</v>
      </c>
      <c r="P66" s="25">
        <v>35</v>
      </c>
      <c r="Q66" s="25" t="s">
        <v>3680</v>
      </c>
      <c r="R66" s="25" t="s">
        <v>5</v>
      </c>
      <c r="S66" s="25">
        <v>20</v>
      </c>
      <c r="T66" s="25" t="s">
        <v>3679</v>
      </c>
      <c r="U66" s="25" t="s">
        <v>4</v>
      </c>
      <c r="V66" s="25">
        <v>5</v>
      </c>
      <c r="W66" s="25" t="s">
        <v>3678</v>
      </c>
      <c r="X66" s="25" t="s">
        <v>1</v>
      </c>
      <c r="Y66" s="25" t="s">
        <v>1</v>
      </c>
      <c r="Z66" s="25" t="s">
        <v>1</v>
      </c>
      <c r="AA66" s="1" t="s">
        <v>2415</v>
      </c>
    </row>
    <row r="67" spans="1:28">
      <c r="A67" s="1">
        <f t="shared" si="0"/>
        <v>62</v>
      </c>
      <c r="B67" s="12" t="s">
        <v>3677</v>
      </c>
      <c r="C67" s="35" t="s">
        <v>1729</v>
      </c>
      <c r="D67" s="15">
        <v>1000</v>
      </c>
      <c r="E67" s="12" t="s">
        <v>7</v>
      </c>
      <c r="F67" s="15">
        <v>100</v>
      </c>
      <c r="G67" s="14">
        <v>44565</v>
      </c>
      <c r="H67" s="12" t="s">
        <v>3676</v>
      </c>
      <c r="I67" s="12" t="s">
        <v>3675</v>
      </c>
      <c r="J67" s="12" t="s">
        <v>2361</v>
      </c>
      <c r="K67" s="12" t="s">
        <v>3674</v>
      </c>
      <c r="L67" s="32">
        <v>43466</v>
      </c>
      <c r="M67" s="1" t="s">
        <v>3560</v>
      </c>
      <c r="N67" s="45" t="s">
        <v>3673</v>
      </c>
      <c r="O67" s="25" t="s">
        <v>5</v>
      </c>
      <c r="P67" s="25">
        <v>30</v>
      </c>
      <c r="Q67" s="25" t="s">
        <v>3672</v>
      </c>
      <c r="R67" s="25" t="s">
        <v>1</v>
      </c>
      <c r="S67" s="25" t="s">
        <v>1</v>
      </c>
      <c r="T67" s="25" t="s">
        <v>1</v>
      </c>
      <c r="U67" s="25" t="s">
        <v>1</v>
      </c>
      <c r="V67" s="25" t="s">
        <v>1</v>
      </c>
      <c r="W67" s="25" t="s">
        <v>1</v>
      </c>
      <c r="X67" s="25" t="s">
        <v>1</v>
      </c>
      <c r="Y67" s="25" t="s">
        <v>1</v>
      </c>
      <c r="Z67" s="25" t="s">
        <v>1</v>
      </c>
      <c r="AA67" s="1" t="s">
        <v>3671</v>
      </c>
    </row>
    <row r="68" spans="1:28">
      <c r="A68" s="1">
        <f t="shared" si="0"/>
        <v>63</v>
      </c>
      <c r="B68" s="1" t="s">
        <v>844</v>
      </c>
      <c r="C68" s="26" t="s">
        <v>1729</v>
      </c>
      <c r="D68" s="3">
        <v>1000</v>
      </c>
      <c r="E68" s="1" t="s">
        <v>18</v>
      </c>
      <c r="F68" s="3">
        <v>99</v>
      </c>
      <c r="G68" s="4">
        <v>44796</v>
      </c>
      <c r="H68" s="1" t="s">
        <v>2914</v>
      </c>
      <c r="I68" s="1" t="s">
        <v>3670</v>
      </c>
      <c r="J68" s="1" t="s">
        <v>2626</v>
      </c>
      <c r="K68" s="1" t="s">
        <v>2102</v>
      </c>
      <c r="L68" s="1">
        <v>2019</v>
      </c>
      <c r="M68" s="1" t="s">
        <v>3669</v>
      </c>
      <c r="N68" s="1" t="s">
        <v>3668</v>
      </c>
      <c r="O68" s="25" t="s">
        <v>1145</v>
      </c>
      <c r="P68" s="25">
        <v>100</v>
      </c>
      <c r="Q68" s="25" t="s">
        <v>3667</v>
      </c>
      <c r="R68" s="25" t="s">
        <v>7</v>
      </c>
      <c r="S68" s="25">
        <v>40</v>
      </c>
      <c r="T68" s="25" t="s">
        <v>3666</v>
      </c>
      <c r="U68" s="25" t="s">
        <v>5</v>
      </c>
      <c r="V68" s="25">
        <v>20</v>
      </c>
      <c r="W68" s="25" t="s">
        <v>3665</v>
      </c>
      <c r="X68" s="25" t="s">
        <v>1</v>
      </c>
      <c r="Y68" s="25" t="s">
        <v>1</v>
      </c>
      <c r="Z68" s="25" t="s">
        <v>1</v>
      </c>
      <c r="AA68" s="1" t="s">
        <v>2415</v>
      </c>
    </row>
    <row r="69" spans="1:28">
      <c r="A69" s="1">
        <f t="shared" si="0"/>
        <v>64</v>
      </c>
      <c r="B69" s="1" t="s">
        <v>411</v>
      </c>
      <c r="C69" s="26" t="s">
        <v>1729</v>
      </c>
      <c r="D69" s="3">
        <v>1000</v>
      </c>
      <c r="E69" s="1" t="s">
        <v>18</v>
      </c>
      <c r="F69" s="3">
        <v>90</v>
      </c>
      <c r="G69" s="4">
        <v>45090</v>
      </c>
      <c r="I69" s="1" t="s">
        <v>3664</v>
      </c>
      <c r="J69" s="1" t="s">
        <v>2091</v>
      </c>
      <c r="K69" s="1" t="s">
        <v>2355</v>
      </c>
      <c r="L69" s="1">
        <v>2017</v>
      </c>
      <c r="N69" s="1" t="s">
        <v>3663</v>
      </c>
      <c r="O69" s="25" t="s">
        <v>7</v>
      </c>
      <c r="P69" s="25">
        <v>50</v>
      </c>
      <c r="Q69" s="25" t="s">
        <v>3662</v>
      </c>
      <c r="R69" s="25" t="s">
        <v>5</v>
      </c>
      <c r="S69" s="25">
        <v>12.5</v>
      </c>
      <c r="T69" s="25" t="s">
        <v>3661</v>
      </c>
      <c r="U69" s="25" t="s">
        <v>4</v>
      </c>
      <c r="V69" s="25">
        <v>3.1</v>
      </c>
      <c r="W69" s="25" t="s">
        <v>3660</v>
      </c>
      <c r="X69" s="25" t="s">
        <v>285</v>
      </c>
      <c r="Y69" s="25">
        <v>1</v>
      </c>
      <c r="Z69" s="25" t="s">
        <v>3659</v>
      </c>
      <c r="AA69" s="1" t="s">
        <v>2216</v>
      </c>
    </row>
    <row r="70" spans="1:28">
      <c r="A70" s="1">
        <f t="shared" si="0"/>
        <v>65</v>
      </c>
      <c r="B70" s="1" t="s">
        <v>890</v>
      </c>
      <c r="C70" s="26" t="s">
        <v>1729</v>
      </c>
      <c r="D70" s="3">
        <v>1000</v>
      </c>
      <c r="E70" s="1" t="s">
        <v>18</v>
      </c>
      <c r="F70" s="3">
        <v>85</v>
      </c>
      <c r="G70" s="4">
        <v>44417</v>
      </c>
      <c r="H70" s="1" t="s">
        <v>3658</v>
      </c>
      <c r="I70" s="1" t="s">
        <v>3657</v>
      </c>
      <c r="J70" s="1" t="s">
        <v>2091</v>
      </c>
      <c r="K70" s="1" t="s">
        <v>2102</v>
      </c>
      <c r="L70" s="1">
        <v>2019</v>
      </c>
      <c r="M70" s="1" t="s">
        <v>3656</v>
      </c>
      <c r="N70" s="1" t="s">
        <v>3655</v>
      </c>
      <c r="O70" s="25" t="s">
        <v>7</v>
      </c>
      <c r="P70" s="25">
        <v>35</v>
      </c>
      <c r="Q70" s="25" t="s">
        <v>3654</v>
      </c>
      <c r="R70" s="25" t="s">
        <v>5</v>
      </c>
      <c r="S70" s="25">
        <v>12</v>
      </c>
      <c r="T70" s="25" t="s">
        <v>3653</v>
      </c>
      <c r="U70" s="25" t="s">
        <v>4</v>
      </c>
      <c r="V70" s="25">
        <v>3.3</v>
      </c>
      <c r="W70" s="25" t="s">
        <v>3652</v>
      </c>
      <c r="X70" s="25" t="s">
        <v>1</v>
      </c>
      <c r="Y70" s="25" t="s">
        <v>1</v>
      </c>
      <c r="Z70" s="25" t="s">
        <v>1</v>
      </c>
      <c r="AA70" s="1" t="s">
        <v>3186</v>
      </c>
    </row>
    <row r="71" spans="1:28">
      <c r="A71" s="1">
        <f t="shared" si="0"/>
        <v>66</v>
      </c>
      <c r="B71" s="1" t="s">
        <v>1086</v>
      </c>
      <c r="C71" s="26" t="s">
        <v>1729</v>
      </c>
      <c r="D71" s="3">
        <v>1000</v>
      </c>
      <c r="E71" s="1" t="s">
        <v>7</v>
      </c>
      <c r="F71" s="3">
        <v>100</v>
      </c>
      <c r="G71" s="4">
        <v>45106</v>
      </c>
      <c r="I71" s="1" t="s">
        <v>3651</v>
      </c>
      <c r="J71" s="1" t="s">
        <v>2091</v>
      </c>
      <c r="K71" s="1" t="s">
        <v>2762</v>
      </c>
      <c r="L71" s="1">
        <v>2022</v>
      </c>
      <c r="N71" s="1" t="s">
        <v>3650</v>
      </c>
      <c r="O71" s="25" t="s">
        <v>5</v>
      </c>
      <c r="P71" s="25">
        <v>65</v>
      </c>
      <c r="Q71" s="1" t="s">
        <v>3649</v>
      </c>
      <c r="R71" s="25" t="s">
        <v>1</v>
      </c>
      <c r="S71" s="25" t="s">
        <v>1</v>
      </c>
      <c r="T71" s="25" t="s">
        <v>1</v>
      </c>
      <c r="U71" s="25" t="s">
        <v>1</v>
      </c>
      <c r="V71" s="25" t="s">
        <v>1</v>
      </c>
      <c r="W71" s="25" t="s">
        <v>1</v>
      </c>
      <c r="X71" s="25" t="s">
        <v>1</v>
      </c>
      <c r="Y71" s="25" t="s">
        <v>1</v>
      </c>
      <c r="Z71" s="25" t="s">
        <v>1</v>
      </c>
      <c r="AA71" s="1" t="s">
        <v>2415</v>
      </c>
    </row>
    <row r="72" spans="1:28">
      <c r="A72" s="1">
        <f t="shared" ref="A72:A135" si="1">A71+1</f>
        <v>67</v>
      </c>
      <c r="B72" s="1" t="s">
        <v>610</v>
      </c>
      <c r="C72" s="26" t="s">
        <v>1729</v>
      </c>
      <c r="D72" s="3">
        <v>800</v>
      </c>
      <c r="E72" s="1" t="s">
        <v>18</v>
      </c>
      <c r="F72" s="3">
        <v>125</v>
      </c>
      <c r="G72" s="4">
        <v>44663</v>
      </c>
      <c r="H72" s="1" t="s">
        <v>3648</v>
      </c>
      <c r="I72" s="1" t="s">
        <v>3647</v>
      </c>
      <c r="J72" s="1" t="s">
        <v>2091</v>
      </c>
      <c r="K72" s="1" t="s">
        <v>3646</v>
      </c>
      <c r="L72" s="1">
        <v>2017</v>
      </c>
      <c r="N72" s="1" t="s">
        <v>3645</v>
      </c>
      <c r="O72" s="25" t="s">
        <v>7</v>
      </c>
      <c r="P72" s="25">
        <v>54</v>
      </c>
      <c r="Q72" s="25" t="s">
        <v>3644</v>
      </c>
      <c r="R72" s="25" t="s">
        <v>5</v>
      </c>
      <c r="S72" s="25">
        <v>26</v>
      </c>
      <c r="T72" s="25" t="s">
        <v>3643</v>
      </c>
      <c r="U72" s="25" t="s">
        <v>5</v>
      </c>
      <c r="V72" s="25">
        <v>8</v>
      </c>
      <c r="W72" s="25" t="s">
        <v>3642</v>
      </c>
      <c r="X72" s="25" t="s">
        <v>5</v>
      </c>
      <c r="Y72" s="25">
        <v>26</v>
      </c>
      <c r="Z72" s="25" t="s">
        <v>3641</v>
      </c>
      <c r="AA72" s="1" t="s">
        <v>2094</v>
      </c>
    </row>
    <row r="73" spans="1:28">
      <c r="A73" s="1">
        <f t="shared" si="1"/>
        <v>68</v>
      </c>
      <c r="B73" s="1" t="s">
        <v>265</v>
      </c>
      <c r="C73" s="26" t="s">
        <v>1729</v>
      </c>
      <c r="D73" s="3">
        <v>800</v>
      </c>
      <c r="E73" s="1" t="s">
        <v>8</v>
      </c>
      <c r="F73" s="3">
        <v>111</v>
      </c>
      <c r="G73" s="4">
        <v>44782</v>
      </c>
      <c r="H73" s="1" t="s">
        <v>3640</v>
      </c>
      <c r="I73" s="1" t="s">
        <v>3639</v>
      </c>
      <c r="J73" s="1" t="s">
        <v>2091</v>
      </c>
      <c r="K73" s="1" t="s">
        <v>2222</v>
      </c>
      <c r="L73" s="1">
        <v>2017</v>
      </c>
      <c r="N73" s="1" t="s">
        <v>3638</v>
      </c>
      <c r="O73" s="25" t="s">
        <v>18</v>
      </c>
      <c r="P73" s="25">
        <v>55</v>
      </c>
      <c r="Q73" s="25" t="s">
        <v>3637</v>
      </c>
      <c r="R73" s="25" t="s">
        <v>7</v>
      </c>
      <c r="S73" s="25">
        <v>16</v>
      </c>
      <c r="T73" s="25" t="s">
        <v>3636</v>
      </c>
      <c r="U73" s="25" t="s">
        <v>5</v>
      </c>
      <c r="V73" s="25">
        <v>14</v>
      </c>
      <c r="W73" s="25" t="s">
        <v>3635</v>
      </c>
      <c r="X73" s="25" t="s">
        <v>4</v>
      </c>
      <c r="Y73" s="25">
        <v>3.5</v>
      </c>
      <c r="Z73" s="25" t="s">
        <v>3634</v>
      </c>
      <c r="AA73" s="1" t="s">
        <v>2094</v>
      </c>
      <c r="AB73" s="28" t="s">
        <v>3633</v>
      </c>
    </row>
    <row r="74" spans="1:28">
      <c r="A74" s="1">
        <f t="shared" si="1"/>
        <v>69</v>
      </c>
      <c r="B74" s="1" t="s">
        <v>15</v>
      </c>
      <c r="C74" s="26" t="s">
        <v>1729</v>
      </c>
      <c r="D74" s="3">
        <v>794</v>
      </c>
      <c r="E74" s="1" t="s">
        <v>8</v>
      </c>
      <c r="F74" s="3">
        <v>220</v>
      </c>
      <c r="G74" s="4">
        <v>44502</v>
      </c>
      <c r="H74" s="1" t="s">
        <v>3632</v>
      </c>
      <c r="I74" s="1" t="s">
        <v>3631</v>
      </c>
      <c r="J74" s="1" t="s">
        <v>2091</v>
      </c>
      <c r="K74" s="1" t="s">
        <v>2385</v>
      </c>
      <c r="L74" s="1">
        <v>2013</v>
      </c>
      <c r="N74" s="1" t="s">
        <v>3630</v>
      </c>
      <c r="O74" s="25" t="s">
        <v>8</v>
      </c>
      <c r="P74" s="25" t="s">
        <v>3629</v>
      </c>
      <c r="Q74" s="25" t="s">
        <v>3628</v>
      </c>
      <c r="R74" s="25" t="s">
        <v>18</v>
      </c>
      <c r="S74" s="25">
        <v>60</v>
      </c>
      <c r="T74" s="25" t="s">
        <v>3627</v>
      </c>
      <c r="U74" s="25" t="s">
        <v>7</v>
      </c>
      <c r="V74" s="25">
        <v>28</v>
      </c>
      <c r="W74" s="25" t="s">
        <v>3626</v>
      </c>
      <c r="X74" s="25" t="s">
        <v>5</v>
      </c>
      <c r="Y74" s="25">
        <v>10</v>
      </c>
      <c r="Z74" s="25" t="s">
        <v>3625</v>
      </c>
      <c r="AA74" s="1" t="s">
        <v>2541</v>
      </c>
      <c r="AB74" s="28" t="s">
        <v>3624</v>
      </c>
    </row>
    <row r="75" spans="1:28">
      <c r="A75" s="1">
        <f t="shared" si="1"/>
        <v>70</v>
      </c>
      <c r="B75" s="1" t="s">
        <v>34</v>
      </c>
      <c r="C75" s="26" t="s">
        <v>1729</v>
      </c>
      <c r="D75" s="3">
        <v>770</v>
      </c>
      <c r="E75" s="1" t="s">
        <v>18</v>
      </c>
      <c r="F75" s="3">
        <v>230</v>
      </c>
      <c r="G75" s="4">
        <v>43634</v>
      </c>
      <c r="H75" s="1" t="s">
        <v>2752</v>
      </c>
      <c r="I75" s="1" t="s">
        <v>3623</v>
      </c>
      <c r="J75" s="1" t="s">
        <v>2091</v>
      </c>
      <c r="K75" s="1" t="s">
        <v>3286</v>
      </c>
      <c r="L75" s="1">
        <v>2016</v>
      </c>
      <c r="N75" s="1" t="s">
        <v>3622</v>
      </c>
      <c r="O75" s="25" t="s">
        <v>7</v>
      </c>
      <c r="P75" s="25">
        <v>45</v>
      </c>
      <c r="Q75" s="25" t="s">
        <v>3621</v>
      </c>
      <c r="R75" s="25" t="s">
        <v>5</v>
      </c>
      <c r="S75" s="25">
        <v>18</v>
      </c>
      <c r="T75" s="25" t="s">
        <v>3620</v>
      </c>
      <c r="U75" s="25" t="s">
        <v>4</v>
      </c>
      <c r="V75" s="25" t="s">
        <v>1</v>
      </c>
      <c r="W75" s="25" t="s">
        <v>3619</v>
      </c>
      <c r="X75" s="25" t="s">
        <v>285</v>
      </c>
      <c r="Y75" s="25">
        <v>0.5</v>
      </c>
      <c r="Z75" s="41">
        <v>42430</v>
      </c>
      <c r="AA75" s="1" t="s">
        <v>2541</v>
      </c>
      <c r="AB75" s="28" t="s">
        <v>3618</v>
      </c>
    </row>
    <row r="76" spans="1:28">
      <c r="A76" s="1">
        <f t="shared" si="1"/>
        <v>71</v>
      </c>
      <c r="B76" s="1" t="s">
        <v>1113</v>
      </c>
      <c r="C76" s="26" t="s">
        <v>1729</v>
      </c>
      <c r="D76" s="3">
        <v>750</v>
      </c>
      <c r="E76" s="1" t="s">
        <v>7</v>
      </c>
      <c r="F76" s="3">
        <v>100</v>
      </c>
      <c r="G76" s="4">
        <v>45042</v>
      </c>
      <c r="H76" s="1" t="s">
        <v>3419</v>
      </c>
      <c r="I76" s="1" t="s">
        <v>3617</v>
      </c>
      <c r="J76" s="1" t="s">
        <v>2626</v>
      </c>
      <c r="K76" s="1" t="s">
        <v>3418</v>
      </c>
      <c r="L76" s="1">
        <v>2019</v>
      </c>
      <c r="M76" s="1" t="s">
        <v>3616</v>
      </c>
      <c r="N76" s="1" t="s">
        <v>3615</v>
      </c>
      <c r="O76" s="25" t="s">
        <v>5</v>
      </c>
      <c r="P76" s="25">
        <v>28</v>
      </c>
      <c r="Q76" s="25" t="s">
        <v>3614</v>
      </c>
      <c r="R76" s="25" t="s">
        <v>4</v>
      </c>
      <c r="S76" s="25">
        <v>10</v>
      </c>
      <c r="T76" s="25" t="s">
        <v>3613</v>
      </c>
      <c r="U76" s="25" t="s">
        <v>1</v>
      </c>
      <c r="V76" s="25" t="s">
        <v>1</v>
      </c>
      <c r="W76" s="25" t="s">
        <v>1</v>
      </c>
      <c r="X76" s="25" t="s">
        <v>1</v>
      </c>
      <c r="Y76" s="25" t="s">
        <v>1</v>
      </c>
      <c r="Z76" s="25" t="s">
        <v>1</v>
      </c>
      <c r="AA76" s="1" t="s">
        <v>2101</v>
      </c>
    </row>
    <row r="77" spans="1:28">
      <c r="A77" s="1">
        <f t="shared" si="1"/>
        <v>72</v>
      </c>
      <c r="B77" s="1" t="s">
        <v>1087</v>
      </c>
      <c r="C77" s="26" t="s">
        <v>1729</v>
      </c>
      <c r="D77" s="3">
        <v>750</v>
      </c>
      <c r="E77" s="1" t="s">
        <v>18</v>
      </c>
      <c r="F77" s="3">
        <v>85</v>
      </c>
      <c r="G77" s="4">
        <v>44501</v>
      </c>
      <c r="H77" s="1" t="s">
        <v>2941</v>
      </c>
      <c r="I77" s="1" t="s">
        <v>3612</v>
      </c>
      <c r="J77" s="1" t="s">
        <v>2626</v>
      </c>
      <c r="K77" s="1" t="s">
        <v>2102</v>
      </c>
      <c r="L77" s="32">
        <v>43670</v>
      </c>
      <c r="M77" s="1" t="s">
        <v>3611</v>
      </c>
      <c r="N77" s="1" t="s">
        <v>3610</v>
      </c>
      <c r="O77" s="25" t="s">
        <v>7</v>
      </c>
      <c r="P77" s="25">
        <v>28</v>
      </c>
      <c r="Q77" s="25" t="s">
        <v>3609</v>
      </c>
      <c r="R77" s="25" t="s">
        <v>5</v>
      </c>
      <c r="S77" s="25">
        <v>15</v>
      </c>
      <c r="T77" s="25" t="s">
        <v>3608</v>
      </c>
      <c r="U77" s="25" t="s">
        <v>4</v>
      </c>
      <c r="V77" s="25">
        <v>3.9</v>
      </c>
      <c r="W77" s="25" t="s">
        <v>3607</v>
      </c>
      <c r="X77" s="25" t="s">
        <v>1</v>
      </c>
      <c r="Y77" s="25" t="s">
        <v>1</v>
      </c>
      <c r="Z77" s="25" t="s">
        <v>1</v>
      </c>
      <c r="AA77" s="1" t="s">
        <v>2964</v>
      </c>
    </row>
    <row r="78" spans="1:28">
      <c r="A78" s="1">
        <f t="shared" si="1"/>
        <v>73</v>
      </c>
      <c r="B78" s="1" t="s">
        <v>3606</v>
      </c>
      <c r="C78" s="26" t="s">
        <v>1729</v>
      </c>
      <c r="D78" s="3">
        <v>615</v>
      </c>
      <c r="E78" s="1" t="s">
        <v>8</v>
      </c>
      <c r="F78" s="3">
        <v>135</v>
      </c>
      <c r="G78" s="4">
        <v>44880</v>
      </c>
      <c r="H78" s="1" t="s">
        <v>3605</v>
      </c>
      <c r="I78" s="1" t="s">
        <v>3604</v>
      </c>
      <c r="J78" s="1" t="s">
        <v>2091</v>
      </c>
      <c r="K78" s="1" t="s">
        <v>2102</v>
      </c>
      <c r="L78" s="1">
        <v>2013</v>
      </c>
      <c r="N78" s="1" t="s">
        <v>3603</v>
      </c>
      <c r="O78" s="25" t="s">
        <v>18</v>
      </c>
      <c r="P78" s="25">
        <v>73</v>
      </c>
      <c r="Q78" s="25" t="s">
        <v>3602</v>
      </c>
      <c r="R78" s="25" t="s">
        <v>7</v>
      </c>
      <c r="S78" s="25">
        <v>32</v>
      </c>
      <c r="T78" s="25" t="s">
        <v>3601</v>
      </c>
      <c r="U78" s="25" t="s">
        <v>1</v>
      </c>
      <c r="V78" s="25" t="s">
        <v>1</v>
      </c>
      <c r="W78" s="25" t="s">
        <v>1</v>
      </c>
      <c r="X78" s="25" t="s">
        <v>1</v>
      </c>
      <c r="Y78" s="25" t="s">
        <v>1</v>
      </c>
      <c r="Z78" s="25" t="s">
        <v>1</v>
      </c>
      <c r="AA78" s="1" t="s">
        <v>3049</v>
      </c>
      <c r="AB78" s="28" t="s">
        <v>3600</v>
      </c>
    </row>
    <row r="79" spans="1:28">
      <c r="A79" s="1">
        <f t="shared" si="1"/>
        <v>74</v>
      </c>
      <c r="B79" s="1" t="s">
        <v>3599</v>
      </c>
      <c r="C79" s="26" t="s">
        <v>1729</v>
      </c>
      <c r="D79" s="3">
        <v>600</v>
      </c>
      <c r="E79" s="1" t="s">
        <v>7</v>
      </c>
      <c r="F79" s="3">
        <v>64</v>
      </c>
      <c r="G79" s="4">
        <v>44754</v>
      </c>
      <c r="H79" s="1" t="s">
        <v>3598</v>
      </c>
      <c r="I79" s="1" t="s">
        <v>3597</v>
      </c>
      <c r="J79" s="1" t="s">
        <v>2626</v>
      </c>
      <c r="K79" s="1" t="s">
        <v>3234</v>
      </c>
      <c r="L79" s="1">
        <v>2017</v>
      </c>
      <c r="M79" s="28" t="s">
        <v>3596</v>
      </c>
      <c r="N79" s="45" t="s">
        <v>3595</v>
      </c>
      <c r="O79" s="25" t="s">
        <v>7</v>
      </c>
      <c r="P79" s="25">
        <v>20</v>
      </c>
      <c r="Q79" s="25" t="s">
        <v>3594</v>
      </c>
      <c r="R79" s="25" t="s">
        <v>5</v>
      </c>
      <c r="S79" s="25">
        <v>34.5</v>
      </c>
      <c r="T79" s="25" t="s">
        <v>3593</v>
      </c>
      <c r="U79" s="25" t="s">
        <v>4</v>
      </c>
      <c r="V79" s="25" t="s">
        <v>1</v>
      </c>
      <c r="W79" s="25" t="s">
        <v>3593</v>
      </c>
      <c r="X79" s="25" t="s">
        <v>1</v>
      </c>
      <c r="Y79" s="25" t="s">
        <v>1</v>
      </c>
      <c r="Z79" s="25" t="s">
        <v>1</v>
      </c>
      <c r="AA79" s="1" t="s">
        <v>2124</v>
      </c>
    </row>
    <row r="80" spans="1:28">
      <c r="A80" s="1">
        <f t="shared" si="1"/>
        <v>75</v>
      </c>
      <c r="B80" s="1" t="s">
        <v>3592</v>
      </c>
      <c r="C80" s="26" t="s">
        <v>1729</v>
      </c>
      <c r="D80" s="3">
        <v>550</v>
      </c>
      <c r="E80" s="1" t="s">
        <v>18</v>
      </c>
      <c r="F80" s="3">
        <v>50</v>
      </c>
      <c r="G80" s="4">
        <v>44861</v>
      </c>
      <c r="H80" s="1" t="s">
        <v>3591</v>
      </c>
      <c r="I80" s="1" t="s">
        <v>3590</v>
      </c>
      <c r="J80" s="1" t="s">
        <v>2361</v>
      </c>
      <c r="K80" s="1" t="s">
        <v>2355</v>
      </c>
      <c r="L80" s="1">
        <v>2017</v>
      </c>
      <c r="M80" s="1" t="s">
        <v>3589</v>
      </c>
      <c r="N80" s="1" t="s">
        <v>3588</v>
      </c>
      <c r="O80" s="25" t="s">
        <v>7</v>
      </c>
      <c r="P80" s="25">
        <v>30</v>
      </c>
      <c r="Q80" s="25" t="s">
        <v>3587</v>
      </c>
      <c r="R80" s="25" t="s">
        <v>5</v>
      </c>
      <c r="S80" s="25">
        <v>15</v>
      </c>
      <c r="T80" s="25" t="s">
        <v>3586</v>
      </c>
      <c r="U80" s="25" t="s">
        <v>4</v>
      </c>
      <c r="V80" s="25">
        <v>5</v>
      </c>
      <c r="W80" s="25" t="s">
        <v>1184</v>
      </c>
      <c r="X80" s="25" t="s">
        <v>1</v>
      </c>
      <c r="Y80" s="25" t="s">
        <v>1</v>
      </c>
      <c r="Z80" s="25" t="s">
        <v>1</v>
      </c>
      <c r="AA80" s="1" t="s">
        <v>2415</v>
      </c>
    </row>
    <row r="81" spans="1:28">
      <c r="A81" s="1">
        <f t="shared" si="1"/>
        <v>76</v>
      </c>
      <c r="B81" s="1" t="s">
        <v>1186</v>
      </c>
      <c r="C81" s="26" t="s">
        <v>1729</v>
      </c>
      <c r="D81" s="3">
        <v>500</v>
      </c>
      <c r="E81" s="1" t="s">
        <v>7</v>
      </c>
      <c r="F81" s="3">
        <v>140</v>
      </c>
      <c r="G81" s="31">
        <v>44393</v>
      </c>
      <c r="H81" s="1" t="s">
        <v>3585</v>
      </c>
      <c r="I81" s="1" t="s">
        <v>3584</v>
      </c>
      <c r="J81" s="1" t="s">
        <v>2091</v>
      </c>
      <c r="K81" s="1" t="s">
        <v>2102</v>
      </c>
      <c r="L81" s="1">
        <v>2019</v>
      </c>
      <c r="M81" s="1" t="s">
        <v>3583</v>
      </c>
      <c r="N81" s="1" t="s">
        <v>3582</v>
      </c>
      <c r="O81" s="25" t="s">
        <v>4</v>
      </c>
      <c r="P81" s="25">
        <v>50</v>
      </c>
      <c r="Q81" s="25" t="s">
        <v>1</v>
      </c>
      <c r="R81" s="25" t="s">
        <v>1</v>
      </c>
      <c r="S81" s="25" t="s">
        <v>1</v>
      </c>
      <c r="T81" s="25" t="s">
        <v>1</v>
      </c>
      <c r="U81" s="25" t="s">
        <v>1</v>
      </c>
      <c r="V81" s="25" t="s">
        <v>1</v>
      </c>
      <c r="W81" s="25" t="s">
        <v>1</v>
      </c>
      <c r="X81" s="25" t="s">
        <v>1</v>
      </c>
      <c r="Y81" s="25" t="s">
        <v>1</v>
      </c>
      <c r="Z81" s="25" t="s">
        <v>1</v>
      </c>
      <c r="AA81" s="1" t="s">
        <v>2204</v>
      </c>
    </row>
    <row r="82" spans="1:28">
      <c r="A82" s="1">
        <f t="shared" si="1"/>
        <v>77</v>
      </c>
      <c r="B82" s="1" t="s">
        <v>439</v>
      </c>
      <c r="C82" s="26" t="s">
        <v>1729</v>
      </c>
      <c r="D82" s="3">
        <v>500</v>
      </c>
      <c r="E82" s="1" t="s">
        <v>7</v>
      </c>
      <c r="F82" s="3">
        <v>93</v>
      </c>
      <c r="G82" s="31">
        <v>43018</v>
      </c>
      <c r="H82" s="1" t="s">
        <v>3581</v>
      </c>
      <c r="I82" s="1" t="s">
        <v>3580</v>
      </c>
      <c r="J82" s="1" t="s">
        <v>2091</v>
      </c>
      <c r="K82" s="1" t="s">
        <v>2194</v>
      </c>
      <c r="L82" s="1">
        <v>2016</v>
      </c>
      <c r="M82" s="1" t="s">
        <v>3579</v>
      </c>
      <c r="N82" s="1" t="s">
        <v>3578</v>
      </c>
      <c r="O82" s="25" t="s">
        <v>5</v>
      </c>
      <c r="P82" s="25">
        <v>15</v>
      </c>
      <c r="Q82" s="25" t="s">
        <v>3577</v>
      </c>
      <c r="R82" s="25" t="s">
        <v>1</v>
      </c>
      <c r="S82" s="25" t="s">
        <v>1</v>
      </c>
      <c r="T82" s="25" t="s">
        <v>1</v>
      </c>
      <c r="U82" s="25" t="s">
        <v>1</v>
      </c>
      <c r="V82" s="25" t="s">
        <v>1</v>
      </c>
      <c r="W82" s="25" t="s">
        <v>1</v>
      </c>
      <c r="X82" s="25" t="s">
        <v>1</v>
      </c>
      <c r="Y82" s="25" t="s">
        <v>1</v>
      </c>
      <c r="Z82" s="25" t="s">
        <v>1</v>
      </c>
      <c r="AA82" s="1" t="s">
        <v>3576</v>
      </c>
    </row>
    <row r="83" spans="1:28">
      <c r="A83" s="1">
        <f t="shared" si="1"/>
        <v>78</v>
      </c>
      <c r="B83" s="1" t="s">
        <v>325</v>
      </c>
      <c r="C83" s="26" t="s">
        <v>1729</v>
      </c>
      <c r="D83" s="3">
        <v>500</v>
      </c>
      <c r="E83" s="1" t="s">
        <v>18</v>
      </c>
      <c r="F83" s="3">
        <v>91</v>
      </c>
      <c r="G83" s="4">
        <v>44867</v>
      </c>
      <c r="H83" s="1" t="s">
        <v>3575</v>
      </c>
      <c r="I83" s="1" t="s">
        <v>3574</v>
      </c>
      <c r="J83" s="1" t="s">
        <v>2091</v>
      </c>
      <c r="K83" s="1" t="s">
        <v>3573</v>
      </c>
      <c r="L83" s="1">
        <v>2015</v>
      </c>
      <c r="N83" s="1" t="s">
        <v>3572</v>
      </c>
      <c r="O83" s="25" t="s">
        <v>7</v>
      </c>
      <c r="P83" s="25">
        <v>55</v>
      </c>
      <c r="Q83" s="25" t="s">
        <v>3571</v>
      </c>
      <c r="R83" s="25" t="s">
        <v>5</v>
      </c>
      <c r="S83" s="25">
        <v>16</v>
      </c>
      <c r="T83" s="25" t="s">
        <v>3570</v>
      </c>
      <c r="U83" s="25" t="s">
        <v>4</v>
      </c>
      <c r="V83" s="25">
        <v>3.2</v>
      </c>
      <c r="W83" s="25" t="s">
        <v>3569</v>
      </c>
      <c r="X83" s="25" t="s">
        <v>1</v>
      </c>
      <c r="Y83" s="25" t="s">
        <v>1</v>
      </c>
      <c r="Z83" s="25" t="s">
        <v>1</v>
      </c>
      <c r="AA83" s="1" t="s">
        <v>3568</v>
      </c>
    </row>
    <row r="84" spans="1:28">
      <c r="A84" s="1">
        <f t="shared" si="1"/>
        <v>79</v>
      </c>
      <c r="B84" s="1" t="s">
        <v>456</v>
      </c>
      <c r="C84" s="26" t="s">
        <v>1729</v>
      </c>
      <c r="D84" s="3">
        <v>500</v>
      </c>
      <c r="E84" s="1" t="s">
        <v>8</v>
      </c>
      <c r="F84" s="3">
        <v>90</v>
      </c>
      <c r="G84" s="4">
        <v>44776</v>
      </c>
      <c r="H84" s="1" t="s">
        <v>3567</v>
      </c>
      <c r="I84" s="1" t="s">
        <v>3566</v>
      </c>
      <c r="J84" s="1" t="s">
        <v>2091</v>
      </c>
      <c r="K84" s="1" t="s">
        <v>2136</v>
      </c>
      <c r="L84" s="1">
        <v>2017</v>
      </c>
      <c r="N84" s="1" t="s">
        <v>3565</v>
      </c>
      <c r="O84" s="25" t="s">
        <v>18</v>
      </c>
      <c r="P84" s="25">
        <v>40</v>
      </c>
      <c r="Q84" s="25" t="s">
        <v>3564</v>
      </c>
      <c r="R84" s="25" t="s">
        <v>7</v>
      </c>
      <c r="S84" s="25">
        <v>20</v>
      </c>
      <c r="T84" s="25" t="s">
        <v>3563</v>
      </c>
      <c r="U84" s="25" t="s">
        <v>7</v>
      </c>
      <c r="V84" s="25">
        <v>14.5</v>
      </c>
      <c r="W84" s="25" t="s">
        <v>1112</v>
      </c>
      <c r="X84" s="25" t="s">
        <v>1</v>
      </c>
      <c r="Y84" s="25" t="s">
        <v>1</v>
      </c>
      <c r="Z84" s="25" t="s">
        <v>1</v>
      </c>
      <c r="AA84" s="1" t="s">
        <v>2094</v>
      </c>
    </row>
    <row r="85" spans="1:28">
      <c r="A85" s="1">
        <f t="shared" si="1"/>
        <v>80</v>
      </c>
      <c r="B85" s="1" t="s">
        <v>3562</v>
      </c>
      <c r="C85" s="26" t="s">
        <v>1729</v>
      </c>
      <c r="D85" s="3">
        <v>500</v>
      </c>
      <c r="E85" s="1" t="s">
        <v>18</v>
      </c>
      <c r="F85" s="3">
        <v>80</v>
      </c>
      <c r="G85" s="4">
        <v>44782</v>
      </c>
      <c r="J85" s="1" t="s">
        <v>2091</v>
      </c>
      <c r="K85" s="1" t="s">
        <v>3561</v>
      </c>
      <c r="L85" s="34">
        <v>43497</v>
      </c>
      <c r="M85" s="1" t="s">
        <v>3560</v>
      </c>
      <c r="N85" s="1" t="s">
        <v>3559</v>
      </c>
      <c r="O85" s="25" t="s">
        <v>4</v>
      </c>
      <c r="P85" s="25">
        <v>14</v>
      </c>
      <c r="Q85" s="25" t="s">
        <v>3558</v>
      </c>
      <c r="R85" s="25" t="s">
        <v>560</v>
      </c>
      <c r="S85" s="25">
        <v>10</v>
      </c>
      <c r="T85" s="25" t="s">
        <v>3557</v>
      </c>
      <c r="U85" s="25" t="s">
        <v>1</v>
      </c>
      <c r="V85" s="25" t="s">
        <v>1</v>
      </c>
      <c r="W85" s="25" t="s">
        <v>1</v>
      </c>
      <c r="X85" s="25" t="s">
        <v>1</v>
      </c>
      <c r="Y85" s="25" t="s">
        <v>1</v>
      </c>
      <c r="Z85" s="25" t="s">
        <v>1</v>
      </c>
      <c r="AA85" s="1" t="s">
        <v>3556</v>
      </c>
    </row>
    <row r="86" spans="1:28">
      <c r="A86" s="1">
        <f t="shared" si="1"/>
        <v>81</v>
      </c>
      <c r="B86" s="1" t="s">
        <v>3555</v>
      </c>
      <c r="C86" s="26" t="s">
        <v>1729</v>
      </c>
      <c r="D86" s="3">
        <v>500</v>
      </c>
      <c r="E86" s="1" t="s">
        <v>7</v>
      </c>
      <c r="F86" s="3" t="s">
        <v>1</v>
      </c>
      <c r="G86" s="4">
        <v>44616</v>
      </c>
      <c r="H86" s="1" t="s">
        <v>3554</v>
      </c>
      <c r="J86" s="1" t="s">
        <v>2091</v>
      </c>
      <c r="K86" s="1" t="s">
        <v>2603</v>
      </c>
      <c r="L86" s="1">
        <v>2019</v>
      </c>
      <c r="M86" s="1" t="s">
        <v>3553</v>
      </c>
      <c r="N86" s="1" t="s">
        <v>253</v>
      </c>
      <c r="O86" s="25" t="s">
        <v>1</v>
      </c>
      <c r="P86" s="25" t="s">
        <v>1</v>
      </c>
      <c r="Q86" s="25" t="s">
        <v>1</v>
      </c>
      <c r="R86" s="25" t="s">
        <v>1</v>
      </c>
      <c r="S86" s="25" t="s">
        <v>1</v>
      </c>
      <c r="T86" s="25" t="s">
        <v>1</v>
      </c>
      <c r="U86" s="25" t="s">
        <v>1</v>
      </c>
      <c r="V86" s="25" t="s">
        <v>1</v>
      </c>
      <c r="W86" s="25" t="s">
        <v>1</v>
      </c>
      <c r="X86" s="25" t="s">
        <v>1</v>
      </c>
      <c r="Y86" s="25" t="s">
        <v>1</v>
      </c>
      <c r="Z86" s="25" t="s">
        <v>1</v>
      </c>
      <c r="AA86" s="1" t="s">
        <v>2423</v>
      </c>
    </row>
    <row r="87" spans="1:28">
      <c r="A87" s="1">
        <f t="shared" si="1"/>
        <v>82</v>
      </c>
      <c r="B87" s="1" t="s">
        <v>432</v>
      </c>
      <c r="C87" s="26" t="s">
        <v>1729</v>
      </c>
      <c r="D87" s="3">
        <v>500</v>
      </c>
      <c r="E87" s="1" t="s">
        <v>18</v>
      </c>
      <c r="F87" s="3">
        <v>75</v>
      </c>
      <c r="G87" s="4">
        <v>45020</v>
      </c>
      <c r="H87" s="1" t="s">
        <v>3552</v>
      </c>
      <c r="I87" s="1" t="s">
        <v>3551</v>
      </c>
      <c r="J87" s="1" t="s">
        <v>2091</v>
      </c>
      <c r="K87" s="1" t="s">
        <v>2402</v>
      </c>
      <c r="L87" s="1">
        <v>2017</v>
      </c>
      <c r="N87" s="1" t="s">
        <v>3550</v>
      </c>
      <c r="O87" s="25" t="s">
        <v>18</v>
      </c>
      <c r="P87" s="25">
        <v>80</v>
      </c>
      <c r="Q87" s="25" t="s">
        <v>3549</v>
      </c>
      <c r="R87" s="25" t="s">
        <v>7</v>
      </c>
      <c r="S87" s="25">
        <v>40</v>
      </c>
      <c r="T87" s="25" t="s">
        <v>3548</v>
      </c>
      <c r="U87" s="25" t="s">
        <v>5</v>
      </c>
      <c r="V87" s="25">
        <v>20</v>
      </c>
      <c r="W87" s="25" t="s">
        <v>3547</v>
      </c>
      <c r="X87" s="25" t="s">
        <v>4</v>
      </c>
      <c r="Y87" s="25">
        <v>7</v>
      </c>
      <c r="Z87" s="25" t="s">
        <v>3546</v>
      </c>
      <c r="AA87" s="1" t="s">
        <v>3545</v>
      </c>
    </row>
    <row r="88" spans="1:28">
      <c r="A88" s="1">
        <f t="shared" si="1"/>
        <v>83</v>
      </c>
      <c r="B88" s="1" t="s">
        <v>317</v>
      </c>
      <c r="C88" s="26" t="s">
        <v>1729</v>
      </c>
      <c r="D88" s="3">
        <v>500</v>
      </c>
      <c r="E88" s="1" t="s">
        <v>8</v>
      </c>
      <c r="F88" s="3">
        <v>69</v>
      </c>
      <c r="G88" s="4">
        <v>45091</v>
      </c>
      <c r="H88" s="1" t="s">
        <v>3544</v>
      </c>
      <c r="I88" s="1" t="s">
        <v>3543</v>
      </c>
      <c r="J88" s="1" t="s">
        <v>2091</v>
      </c>
      <c r="K88" s="1" t="s">
        <v>2453</v>
      </c>
      <c r="L88" s="1">
        <v>2015</v>
      </c>
      <c r="N88" s="1" t="s">
        <v>3542</v>
      </c>
      <c r="O88" s="25" t="s">
        <v>18</v>
      </c>
      <c r="P88" s="25">
        <v>110</v>
      </c>
      <c r="Q88" s="25" t="s">
        <v>3541</v>
      </c>
      <c r="R88" s="25" t="s">
        <v>7</v>
      </c>
      <c r="S88" s="25">
        <v>40</v>
      </c>
      <c r="T88" s="25" t="s">
        <v>3540</v>
      </c>
      <c r="U88" s="25" t="s">
        <v>5</v>
      </c>
      <c r="V88" s="25">
        <v>14.7</v>
      </c>
      <c r="W88" s="25" t="s">
        <v>3539</v>
      </c>
      <c r="X88" s="25" t="s">
        <v>4</v>
      </c>
      <c r="Y88" s="25" t="s">
        <v>1</v>
      </c>
      <c r="Z88" s="25" t="s">
        <v>3538</v>
      </c>
      <c r="AA88" s="1" t="s">
        <v>2094</v>
      </c>
    </row>
    <row r="89" spans="1:28">
      <c r="A89" s="1">
        <f t="shared" si="1"/>
        <v>84</v>
      </c>
      <c r="B89" s="1" t="s">
        <v>422</v>
      </c>
      <c r="C89" s="26" t="s">
        <v>1729</v>
      </c>
      <c r="D89" s="3">
        <v>400</v>
      </c>
      <c r="E89" s="1" t="s">
        <v>18</v>
      </c>
      <c r="F89" s="3">
        <v>65</v>
      </c>
      <c r="G89" s="4">
        <v>43789</v>
      </c>
      <c r="H89" s="1" t="s">
        <v>3208</v>
      </c>
      <c r="I89" s="1" t="s">
        <v>3537</v>
      </c>
      <c r="J89" s="1" t="s">
        <v>2091</v>
      </c>
      <c r="K89" s="1" t="s">
        <v>3208</v>
      </c>
      <c r="L89" s="1">
        <v>2010</v>
      </c>
      <c r="N89" s="1" t="s">
        <v>3536</v>
      </c>
      <c r="O89" s="25" t="s">
        <v>7</v>
      </c>
      <c r="P89" s="25">
        <v>7.3</v>
      </c>
      <c r="Q89" s="25" t="s">
        <v>3535</v>
      </c>
      <c r="R89" s="25" t="s">
        <v>5</v>
      </c>
      <c r="S89" s="25">
        <v>2</v>
      </c>
      <c r="T89" s="41" t="s">
        <v>3534</v>
      </c>
      <c r="U89" s="25" t="s">
        <v>1</v>
      </c>
      <c r="V89" s="25" t="s">
        <v>1</v>
      </c>
      <c r="W89" s="25" t="s">
        <v>1</v>
      </c>
      <c r="X89" s="25" t="s">
        <v>1</v>
      </c>
      <c r="Y89" s="25" t="s">
        <v>1</v>
      </c>
      <c r="Z89" s="25" t="s">
        <v>1</v>
      </c>
      <c r="AA89" s="1" t="s">
        <v>3533</v>
      </c>
    </row>
    <row r="90" spans="1:28">
      <c r="A90" s="1">
        <f t="shared" si="1"/>
        <v>85</v>
      </c>
      <c r="B90" s="1" t="s">
        <v>3532</v>
      </c>
      <c r="C90" s="26" t="s">
        <v>1729</v>
      </c>
      <c r="D90" s="3">
        <v>400</v>
      </c>
      <c r="E90" s="1" t="s">
        <v>5</v>
      </c>
      <c r="F90" s="3">
        <v>90</v>
      </c>
      <c r="G90" s="4">
        <v>45006</v>
      </c>
      <c r="H90" s="1" t="s">
        <v>3531</v>
      </c>
      <c r="I90" s="1" t="s">
        <v>3530</v>
      </c>
      <c r="J90" s="1" t="s">
        <v>2091</v>
      </c>
      <c r="K90" s="1" t="s">
        <v>2108</v>
      </c>
      <c r="L90" s="1">
        <v>2021</v>
      </c>
      <c r="M90" s="66" t="s">
        <v>4467</v>
      </c>
      <c r="N90" s="1" t="s">
        <v>3529</v>
      </c>
      <c r="O90" s="25" t="s">
        <v>1</v>
      </c>
      <c r="P90" s="25" t="s">
        <v>1</v>
      </c>
      <c r="Q90" s="25" t="s">
        <v>1</v>
      </c>
      <c r="R90" s="25" t="s">
        <v>1</v>
      </c>
      <c r="S90" s="25" t="s">
        <v>1</v>
      </c>
      <c r="T90" s="25" t="s">
        <v>1</v>
      </c>
      <c r="U90" s="25" t="s">
        <v>1</v>
      </c>
      <c r="V90" s="25" t="s">
        <v>1</v>
      </c>
      <c r="W90" s="25" t="s">
        <v>1</v>
      </c>
      <c r="X90" s="25" t="s">
        <v>1</v>
      </c>
      <c r="Y90" s="25" t="s">
        <v>1</v>
      </c>
      <c r="Z90" s="25" t="s">
        <v>1</v>
      </c>
      <c r="AA90" s="1" t="s">
        <v>3100</v>
      </c>
    </row>
    <row r="91" spans="1:28">
      <c r="A91" s="1">
        <f t="shared" si="1"/>
        <v>86</v>
      </c>
      <c r="B91" s="1" t="s">
        <v>370</v>
      </c>
      <c r="C91" s="26" t="s">
        <v>1729</v>
      </c>
      <c r="D91" s="3">
        <v>300</v>
      </c>
      <c r="E91" s="1" t="s">
        <v>7</v>
      </c>
      <c r="F91" s="3">
        <v>120</v>
      </c>
      <c r="G91" s="4">
        <v>44602</v>
      </c>
      <c r="H91" s="1" t="s">
        <v>3528</v>
      </c>
      <c r="I91" s="1" t="s">
        <v>3527</v>
      </c>
      <c r="J91" s="1" t="s">
        <v>2091</v>
      </c>
      <c r="K91" s="1" t="s">
        <v>3097</v>
      </c>
      <c r="L91" s="1">
        <v>2011</v>
      </c>
      <c r="N91" s="1" t="s">
        <v>3526</v>
      </c>
      <c r="O91" s="25" t="s">
        <v>5</v>
      </c>
      <c r="P91" s="25">
        <v>50</v>
      </c>
      <c r="Q91" s="25" t="s">
        <v>3525</v>
      </c>
      <c r="R91" s="25" t="s">
        <v>4</v>
      </c>
      <c r="S91" s="25">
        <v>20</v>
      </c>
      <c r="T91" s="25" t="s">
        <v>1</v>
      </c>
      <c r="U91" s="25" t="s">
        <v>1</v>
      </c>
      <c r="V91" s="25" t="s">
        <v>1</v>
      </c>
      <c r="W91" s="25" t="s">
        <v>1</v>
      </c>
      <c r="X91" s="25" t="s">
        <v>1</v>
      </c>
      <c r="Y91" s="25" t="s">
        <v>1</v>
      </c>
      <c r="Z91" s="25" t="s">
        <v>1</v>
      </c>
      <c r="AA91" s="1" t="s">
        <v>2128</v>
      </c>
    </row>
    <row r="92" spans="1:28">
      <c r="A92" s="1">
        <f t="shared" si="1"/>
        <v>87</v>
      </c>
      <c r="B92" s="1" t="s">
        <v>3524</v>
      </c>
      <c r="C92" s="26" t="s">
        <v>1729</v>
      </c>
      <c r="D92" s="3">
        <v>300</v>
      </c>
      <c r="E92" s="1" t="s">
        <v>5</v>
      </c>
      <c r="F92" s="3">
        <v>100</v>
      </c>
      <c r="G92" s="31">
        <v>44349</v>
      </c>
      <c r="H92" s="1" t="s">
        <v>3523</v>
      </c>
      <c r="I92" s="1" t="s">
        <v>3522</v>
      </c>
      <c r="J92" s="1" t="s">
        <v>2091</v>
      </c>
      <c r="K92" s="1" t="s">
        <v>3521</v>
      </c>
      <c r="L92" s="1">
        <v>2020</v>
      </c>
      <c r="N92" s="1" t="s">
        <v>3520</v>
      </c>
      <c r="O92" s="25" t="s">
        <v>1</v>
      </c>
      <c r="P92" s="25" t="s">
        <v>1</v>
      </c>
      <c r="Q92" s="25" t="s">
        <v>1</v>
      </c>
      <c r="R92" s="25" t="s">
        <v>1</v>
      </c>
      <c r="S92" s="25" t="s">
        <v>1</v>
      </c>
      <c r="T92" s="25" t="s">
        <v>1</v>
      </c>
      <c r="U92" s="25" t="s">
        <v>1</v>
      </c>
      <c r="V92" s="25" t="s">
        <v>1</v>
      </c>
      <c r="W92" s="25" t="s">
        <v>1</v>
      </c>
      <c r="X92" s="25" t="s">
        <v>1</v>
      </c>
      <c r="Y92" s="25" t="s">
        <v>1</v>
      </c>
      <c r="Z92" s="25" t="s">
        <v>1</v>
      </c>
      <c r="AA92" s="1" t="s">
        <v>3519</v>
      </c>
    </row>
    <row r="93" spans="1:28">
      <c r="A93" s="1">
        <f t="shared" si="1"/>
        <v>88</v>
      </c>
      <c r="B93" s="1" t="s">
        <v>388</v>
      </c>
      <c r="C93" s="26" t="s">
        <v>1729</v>
      </c>
      <c r="D93" s="3">
        <v>300</v>
      </c>
      <c r="E93" s="1" t="s">
        <v>5</v>
      </c>
      <c r="F93" s="3">
        <f>72*1.2</f>
        <v>86.399999999999991</v>
      </c>
      <c r="G93" s="4">
        <v>44488</v>
      </c>
      <c r="H93" s="1" t="s">
        <v>3518</v>
      </c>
      <c r="I93" s="1" t="s">
        <v>3517</v>
      </c>
      <c r="J93" s="1" t="s">
        <v>2091</v>
      </c>
      <c r="K93" s="1" t="s">
        <v>2574</v>
      </c>
      <c r="L93" s="1">
        <v>2017</v>
      </c>
      <c r="M93" s="1" t="s">
        <v>3516</v>
      </c>
      <c r="N93" s="1" t="s">
        <v>3515</v>
      </c>
      <c r="O93" s="25" t="s">
        <v>4</v>
      </c>
      <c r="P93" s="25">
        <v>8.5</v>
      </c>
      <c r="Q93" s="25" t="s">
        <v>3514</v>
      </c>
      <c r="R93" s="25" t="s">
        <v>4</v>
      </c>
      <c r="S93" s="25">
        <v>0.75</v>
      </c>
      <c r="T93" s="25" t="s">
        <v>3513</v>
      </c>
      <c r="U93" s="25" t="s">
        <v>1</v>
      </c>
      <c r="V93" s="25" t="s">
        <v>1</v>
      </c>
      <c r="W93" s="25" t="s">
        <v>1</v>
      </c>
      <c r="X93" s="25" t="s">
        <v>1</v>
      </c>
      <c r="Y93" s="25" t="s">
        <v>1</v>
      </c>
      <c r="Z93" s="25" t="s">
        <v>1</v>
      </c>
      <c r="AA93" s="1" t="s">
        <v>2141</v>
      </c>
    </row>
    <row r="94" spans="1:28">
      <c r="A94" s="1">
        <f t="shared" si="1"/>
        <v>89</v>
      </c>
      <c r="B94" s="1" t="s">
        <v>552</v>
      </c>
      <c r="C94" s="26" t="s">
        <v>1729</v>
      </c>
      <c r="D94" s="3">
        <v>260</v>
      </c>
      <c r="E94" s="1" t="s">
        <v>5</v>
      </c>
      <c r="F94" s="3">
        <v>40</v>
      </c>
      <c r="G94" s="4">
        <v>44811</v>
      </c>
      <c r="H94" s="1" t="s">
        <v>2693</v>
      </c>
      <c r="J94" s="1" t="s">
        <v>2091</v>
      </c>
      <c r="K94" s="1" t="s">
        <v>2693</v>
      </c>
      <c r="L94" s="1">
        <v>2017</v>
      </c>
      <c r="N94" s="1" t="s">
        <v>3512</v>
      </c>
      <c r="O94" s="25" t="s">
        <v>5</v>
      </c>
      <c r="P94" s="25">
        <v>14</v>
      </c>
      <c r="Q94" s="25" t="s">
        <v>3511</v>
      </c>
      <c r="R94" s="25" t="s">
        <v>5</v>
      </c>
      <c r="S94" s="25">
        <v>12</v>
      </c>
      <c r="T94" s="25" t="s">
        <v>3510</v>
      </c>
      <c r="U94" s="25" t="s">
        <v>4</v>
      </c>
      <c r="V94" s="25" t="s">
        <v>1</v>
      </c>
      <c r="W94" s="25" t="s">
        <v>554</v>
      </c>
      <c r="X94" s="25" t="s">
        <v>1</v>
      </c>
      <c r="Y94" s="25" t="s">
        <v>1</v>
      </c>
      <c r="Z94" s="25" t="s">
        <v>1</v>
      </c>
      <c r="AA94" s="1" t="s">
        <v>2216</v>
      </c>
    </row>
    <row r="95" spans="1:28" ht="14">
      <c r="A95" s="1">
        <f t="shared" si="1"/>
        <v>90</v>
      </c>
      <c r="B95" s="1" t="s">
        <v>1029</v>
      </c>
      <c r="C95" s="26" t="s">
        <v>1729</v>
      </c>
      <c r="D95" s="3">
        <v>257</v>
      </c>
      <c r="E95" s="1" t="s">
        <v>7</v>
      </c>
      <c r="F95" s="3">
        <v>43</v>
      </c>
      <c r="G95" s="4">
        <v>44978</v>
      </c>
      <c r="H95" s="1" t="s">
        <v>3509</v>
      </c>
      <c r="J95" s="1" t="s">
        <v>2091</v>
      </c>
      <c r="K95" s="1" t="s">
        <v>2762</v>
      </c>
      <c r="L95" s="44" t="s">
        <v>3193</v>
      </c>
      <c r="N95" s="1" t="s">
        <v>3508</v>
      </c>
      <c r="O95" s="25" t="s">
        <v>5</v>
      </c>
      <c r="P95" s="25">
        <v>26</v>
      </c>
      <c r="Q95" s="25" t="s">
        <v>3507</v>
      </c>
      <c r="R95" s="25" t="s">
        <v>4</v>
      </c>
      <c r="S95" s="25" t="s">
        <v>1</v>
      </c>
      <c r="T95" s="25" t="s">
        <v>3506</v>
      </c>
      <c r="U95" s="25" t="s">
        <v>1</v>
      </c>
      <c r="V95" s="25" t="s">
        <v>1</v>
      </c>
      <c r="W95" s="25" t="s">
        <v>1</v>
      </c>
      <c r="X95" s="25" t="s">
        <v>1</v>
      </c>
      <c r="Y95" s="25" t="s">
        <v>1</v>
      </c>
      <c r="Z95" s="25" t="s">
        <v>1</v>
      </c>
      <c r="AA95" s="1" t="s">
        <v>2415</v>
      </c>
      <c r="AB95" s="33" t="s">
        <v>4508</v>
      </c>
    </row>
    <row r="96" spans="1:28">
      <c r="A96" s="1">
        <f t="shared" si="1"/>
        <v>91</v>
      </c>
      <c r="B96" s="1" t="s">
        <v>3505</v>
      </c>
      <c r="C96" s="26" t="s">
        <v>1729</v>
      </c>
      <c r="D96" s="3">
        <v>250</v>
      </c>
      <c r="E96" s="1" t="s">
        <v>5</v>
      </c>
      <c r="F96" s="3">
        <v>50</v>
      </c>
      <c r="G96" s="4">
        <v>44655</v>
      </c>
      <c r="J96" s="45" t="s">
        <v>2091</v>
      </c>
      <c r="K96" s="45" t="s">
        <v>3504</v>
      </c>
      <c r="L96" s="34">
        <v>44075</v>
      </c>
      <c r="N96" s="1" t="s">
        <v>3503</v>
      </c>
      <c r="O96" s="25" t="s">
        <v>4</v>
      </c>
      <c r="P96" s="25">
        <v>6</v>
      </c>
      <c r="Q96" s="25" t="s">
        <v>3502</v>
      </c>
      <c r="R96" s="25" t="s">
        <v>1</v>
      </c>
      <c r="S96" s="25" t="s">
        <v>1</v>
      </c>
      <c r="T96" s="25" t="s">
        <v>1</v>
      </c>
      <c r="U96" s="25" t="s">
        <v>1</v>
      </c>
      <c r="V96" s="25" t="s">
        <v>1</v>
      </c>
      <c r="W96" s="25" t="s">
        <v>1</v>
      </c>
      <c r="X96" s="25" t="s">
        <v>1</v>
      </c>
      <c r="Y96" s="25" t="s">
        <v>1</v>
      </c>
      <c r="Z96" s="25" t="s">
        <v>1</v>
      </c>
      <c r="AA96" s="1" t="s">
        <v>3501</v>
      </c>
    </row>
    <row r="97" spans="1:28">
      <c r="A97" s="1">
        <f t="shared" si="1"/>
        <v>92</v>
      </c>
      <c r="B97" s="1" t="s">
        <v>810</v>
      </c>
      <c r="C97" s="26" t="s">
        <v>1729</v>
      </c>
      <c r="D97" s="3">
        <v>250</v>
      </c>
      <c r="E97" s="1" t="s">
        <v>18</v>
      </c>
      <c r="F97" s="3">
        <v>50</v>
      </c>
      <c r="G97" s="31">
        <v>44496</v>
      </c>
      <c r="H97" s="1" t="s">
        <v>3500</v>
      </c>
      <c r="I97" s="1" t="s">
        <v>3499</v>
      </c>
      <c r="J97" s="1" t="s">
        <v>2626</v>
      </c>
      <c r="K97" s="1" t="s">
        <v>2102</v>
      </c>
      <c r="L97" s="34">
        <v>43556</v>
      </c>
      <c r="N97" s="1" t="s">
        <v>3498</v>
      </c>
      <c r="O97" s="25" t="s">
        <v>7</v>
      </c>
      <c r="P97" s="25">
        <v>22</v>
      </c>
      <c r="Q97" s="25" t="s">
        <v>3497</v>
      </c>
      <c r="R97" s="25" t="s">
        <v>3496</v>
      </c>
      <c r="S97" s="25">
        <v>13</v>
      </c>
      <c r="T97" s="25" t="s">
        <v>3495</v>
      </c>
      <c r="U97" s="25" t="s">
        <v>3494</v>
      </c>
      <c r="V97" s="25">
        <v>5.3</v>
      </c>
      <c r="W97" s="25" t="s">
        <v>3493</v>
      </c>
      <c r="X97" s="25" t="s">
        <v>1</v>
      </c>
      <c r="Y97" s="25" t="s">
        <v>1</v>
      </c>
      <c r="Z97" s="25" t="s">
        <v>1</v>
      </c>
      <c r="AA97" s="1" t="s">
        <v>2415</v>
      </c>
    </row>
    <row r="98" spans="1:28">
      <c r="A98" s="1">
        <f t="shared" si="1"/>
        <v>93</v>
      </c>
      <c r="B98" s="1" t="s">
        <v>3492</v>
      </c>
      <c r="C98" s="26" t="s">
        <v>1729</v>
      </c>
      <c r="D98" s="3">
        <v>250</v>
      </c>
      <c r="E98" s="1" t="s">
        <v>5</v>
      </c>
      <c r="F98" s="3">
        <v>40</v>
      </c>
      <c r="G98" s="4">
        <v>45014</v>
      </c>
      <c r="H98" s="1" t="s">
        <v>3491</v>
      </c>
      <c r="I98" s="1" t="s">
        <v>3490</v>
      </c>
      <c r="J98" s="1" t="s">
        <v>2361</v>
      </c>
      <c r="K98" s="1" t="s">
        <v>3489</v>
      </c>
      <c r="L98" s="1">
        <v>2017</v>
      </c>
      <c r="M98" s="1" t="s">
        <v>3488</v>
      </c>
      <c r="N98" s="1" t="s">
        <v>3487</v>
      </c>
      <c r="O98" s="25" t="s">
        <v>4</v>
      </c>
      <c r="P98" s="25">
        <v>5</v>
      </c>
      <c r="Q98" s="25" t="s">
        <v>3486</v>
      </c>
      <c r="R98" s="25" t="s">
        <v>4</v>
      </c>
      <c r="S98" s="25">
        <v>15</v>
      </c>
      <c r="T98" s="25" t="s">
        <v>3485</v>
      </c>
      <c r="U98" s="25" t="s">
        <v>1</v>
      </c>
      <c r="V98" s="25" t="s">
        <v>1</v>
      </c>
      <c r="W98" s="25" t="s">
        <v>1</v>
      </c>
      <c r="X98" s="25" t="s">
        <v>1</v>
      </c>
      <c r="Y98" s="25" t="s">
        <v>1</v>
      </c>
      <c r="Z98" s="25" t="s">
        <v>1</v>
      </c>
      <c r="AA98" s="1" t="s">
        <v>2105</v>
      </c>
    </row>
    <row r="99" spans="1:28">
      <c r="A99" s="1">
        <f t="shared" si="1"/>
        <v>94</v>
      </c>
      <c r="B99" s="1" t="s">
        <v>3484</v>
      </c>
      <c r="C99" s="26" t="s">
        <v>1729</v>
      </c>
      <c r="D99" s="3">
        <v>245</v>
      </c>
      <c r="E99" s="1" t="s">
        <v>7</v>
      </c>
      <c r="F99" s="3">
        <v>30</v>
      </c>
      <c r="G99" s="31">
        <v>44510</v>
      </c>
      <c r="H99" s="1" t="s">
        <v>3483</v>
      </c>
      <c r="J99" s="1" t="s">
        <v>2091</v>
      </c>
      <c r="K99" s="40" t="s">
        <v>2108</v>
      </c>
      <c r="L99" s="50">
        <v>43497</v>
      </c>
      <c r="M99" s="45" t="s">
        <v>2108</v>
      </c>
      <c r="N99" s="1" t="s">
        <v>3482</v>
      </c>
      <c r="O99" s="25" t="s">
        <v>5</v>
      </c>
      <c r="P99" s="25">
        <v>21.4</v>
      </c>
      <c r="Q99" s="25" t="s">
        <v>3481</v>
      </c>
      <c r="R99" s="25" t="s">
        <v>3480</v>
      </c>
      <c r="S99" s="25" t="s">
        <v>1</v>
      </c>
      <c r="T99" s="25" t="s">
        <v>1008</v>
      </c>
      <c r="U99" s="25" t="s">
        <v>1</v>
      </c>
      <c r="V99" s="25" t="s">
        <v>1</v>
      </c>
      <c r="W99" s="25" t="s">
        <v>1</v>
      </c>
      <c r="X99" s="25" t="s">
        <v>1</v>
      </c>
      <c r="Y99" s="25" t="s">
        <v>1</v>
      </c>
      <c r="Z99" s="25" t="s">
        <v>1</v>
      </c>
      <c r="AA99" s="1" t="s">
        <v>2415</v>
      </c>
    </row>
    <row r="100" spans="1:28">
      <c r="A100" s="1">
        <f t="shared" si="1"/>
        <v>95</v>
      </c>
      <c r="B100" s="1" t="s">
        <v>717</v>
      </c>
      <c r="C100" s="26" t="s">
        <v>1729</v>
      </c>
      <c r="D100" s="3">
        <v>240</v>
      </c>
      <c r="E100" s="1" t="s">
        <v>4</v>
      </c>
      <c r="F100" s="3">
        <v>120</v>
      </c>
      <c r="G100" s="4">
        <v>45090</v>
      </c>
      <c r="H100" s="1" t="s">
        <v>2603</v>
      </c>
      <c r="I100" s="1" t="s">
        <v>3479</v>
      </c>
      <c r="J100" s="1" t="s">
        <v>2626</v>
      </c>
      <c r="K100" s="1" t="s">
        <v>3234</v>
      </c>
      <c r="L100" s="49" t="s">
        <v>3478</v>
      </c>
      <c r="M100" s="1" t="s">
        <v>3477</v>
      </c>
      <c r="N100" s="1" t="s">
        <v>3476</v>
      </c>
      <c r="O100" s="25" t="s">
        <v>1</v>
      </c>
      <c r="P100" s="25" t="s">
        <v>1</v>
      </c>
      <c r="Q100" s="25" t="s">
        <v>1</v>
      </c>
      <c r="R100" s="25" t="s">
        <v>1</v>
      </c>
      <c r="S100" s="25" t="s">
        <v>1</v>
      </c>
      <c r="T100" s="25" t="s">
        <v>1</v>
      </c>
      <c r="U100" s="25" t="s">
        <v>1</v>
      </c>
      <c r="V100" s="25" t="s">
        <v>1</v>
      </c>
      <c r="W100" s="25" t="s">
        <v>1</v>
      </c>
      <c r="X100" s="25" t="s">
        <v>1</v>
      </c>
      <c r="Y100" s="25" t="s">
        <v>1</v>
      </c>
      <c r="Z100" s="25" t="s">
        <v>1</v>
      </c>
      <c r="AA100" s="1" t="s">
        <v>2197</v>
      </c>
    </row>
    <row r="101" spans="1:28" s="12" customFormat="1">
      <c r="A101" s="1">
        <f t="shared" si="1"/>
        <v>96</v>
      </c>
      <c r="B101" s="12" t="s">
        <v>484</v>
      </c>
      <c r="C101" s="35" t="s">
        <v>1729</v>
      </c>
      <c r="D101" s="15">
        <v>200</v>
      </c>
      <c r="E101" s="12" t="s">
        <v>7</v>
      </c>
      <c r="F101" s="15">
        <v>90</v>
      </c>
      <c r="G101" s="14">
        <v>44398</v>
      </c>
      <c r="H101" s="12" t="s">
        <v>2647</v>
      </c>
      <c r="I101" s="12" t="s">
        <v>3475</v>
      </c>
      <c r="J101" s="12" t="s">
        <v>2361</v>
      </c>
      <c r="K101" s="12" t="s">
        <v>2108</v>
      </c>
      <c r="L101" s="12">
        <v>2017</v>
      </c>
      <c r="N101" s="12" t="s">
        <v>3474</v>
      </c>
      <c r="O101" s="24" t="s">
        <v>2278</v>
      </c>
      <c r="P101" s="24">
        <v>9.5</v>
      </c>
      <c r="Q101" s="24" t="s">
        <v>3473</v>
      </c>
      <c r="R101" s="24" t="s">
        <v>5</v>
      </c>
      <c r="S101" s="24">
        <v>22.8</v>
      </c>
      <c r="T101" s="24" t="s">
        <v>3472</v>
      </c>
      <c r="U101" s="24" t="s">
        <v>1</v>
      </c>
      <c r="V101" s="24" t="s">
        <v>1</v>
      </c>
      <c r="W101" s="24" t="s">
        <v>1</v>
      </c>
      <c r="X101" s="24" t="s">
        <v>1</v>
      </c>
      <c r="Y101" s="24" t="s">
        <v>1</v>
      </c>
      <c r="Z101" s="24" t="s">
        <v>1</v>
      </c>
      <c r="AA101" s="12" t="s">
        <v>2094</v>
      </c>
    </row>
    <row r="102" spans="1:28">
      <c r="A102" s="1">
        <f t="shared" si="1"/>
        <v>97</v>
      </c>
      <c r="B102" s="1" t="s">
        <v>676</v>
      </c>
      <c r="C102" s="26" t="s">
        <v>1729</v>
      </c>
      <c r="D102" s="3">
        <v>200</v>
      </c>
      <c r="E102" s="1" t="s">
        <v>4</v>
      </c>
      <c r="F102" s="3">
        <v>100</v>
      </c>
      <c r="G102" s="4">
        <v>44663</v>
      </c>
      <c r="H102" s="1" t="s">
        <v>3471</v>
      </c>
      <c r="J102" s="1" t="s">
        <v>2091</v>
      </c>
      <c r="K102" s="1" t="s">
        <v>2108</v>
      </c>
      <c r="L102" s="1">
        <v>2022</v>
      </c>
      <c r="N102" s="1" t="s">
        <v>3470</v>
      </c>
      <c r="O102" s="25" t="s">
        <v>1</v>
      </c>
      <c r="P102" s="25" t="s">
        <v>1</v>
      </c>
      <c r="Q102" s="25" t="s">
        <v>1</v>
      </c>
      <c r="R102" s="25" t="s">
        <v>1</v>
      </c>
      <c r="S102" s="25" t="s">
        <v>1</v>
      </c>
      <c r="T102" s="25" t="s">
        <v>1</v>
      </c>
      <c r="U102" s="25" t="s">
        <v>1</v>
      </c>
      <c r="V102" s="25" t="s">
        <v>1</v>
      </c>
      <c r="W102" s="25" t="s">
        <v>1</v>
      </c>
      <c r="X102" s="25" t="s">
        <v>1</v>
      </c>
      <c r="Y102" s="25" t="s">
        <v>1</v>
      </c>
      <c r="Z102" s="25" t="s">
        <v>1</v>
      </c>
      <c r="AA102" s="1" t="s">
        <v>2101</v>
      </c>
    </row>
    <row r="103" spans="1:28">
      <c r="A103" s="1">
        <f t="shared" si="1"/>
        <v>98</v>
      </c>
      <c r="B103" s="1" t="s">
        <v>3469</v>
      </c>
      <c r="C103" s="26" t="s">
        <v>1729</v>
      </c>
      <c r="D103" s="3">
        <v>200</v>
      </c>
      <c r="E103" s="1" t="s">
        <v>5</v>
      </c>
      <c r="F103" s="3">
        <v>58</v>
      </c>
      <c r="G103" s="4">
        <v>45104</v>
      </c>
      <c r="H103" s="1" t="s">
        <v>3468</v>
      </c>
      <c r="J103" s="1" t="s">
        <v>2091</v>
      </c>
      <c r="K103" s="1" t="s">
        <v>3234</v>
      </c>
      <c r="L103" s="2" t="s">
        <v>3467</v>
      </c>
      <c r="N103" s="1" t="s">
        <v>3466</v>
      </c>
      <c r="O103" s="25" t="s">
        <v>1</v>
      </c>
      <c r="P103" s="25" t="s">
        <v>1</v>
      </c>
      <c r="Q103" s="25" t="s">
        <v>1</v>
      </c>
      <c r="R103" s="25" t="s">
        <v>1</v>
      </c>
      <c r="S103" s="25" t="s">
        <v>1</v>
      </c>
      <c r="T103" s="25" t="s">
        <v>1</v>
      </c>
      <c r="U103" s="25" t="s">
        <v>1</v>
      </c>
      <c r="V103" s="25" t="s">
        <v>1</v>
      </c>
      <c r="W103" s="25" t="s">
        <v>1</v>
      </c>
      <c r="X103" s="25" t="s">
        <v>1</v>
      </c>
      <c r="Y103" s="25" t="s">
        <v>1</v>
      </c>
      <c r="Z103" s="25" t="s">
        <v>1</v>
      </c>
      <c r="AA103" s="1" t="s">
        <v>2244</v>
      </c>
    </row>
    <row r="104" spans="1:28">
      <c r="A104" s="1">
        <f t="shared" si="1"/>
        <v>99</v>
      </c>
      <c r="B104" s="1" t="s">
        <v>3465</v>
      </c>
      <c r="C104" s="26" t="s">
        <v>1729</v>
      </c>
      <c r="D104" s="3">
        <v>200</v>
      </c>
      <c r="E104" s="1" t="s">
        <v>18</v>
      </c>
      <c r="F104" s="3">
        <v>45</v>
      </c>
      <c r="G104" s="31">
        <v>44159</v>
      </c>
      <c r="H104" s="1" t="s">
        <v>3464</v>
      </c>
      <c r="I104" s="1" t="s">
        <v>3463</v>
      </c>
      <c r="J104" s="1" t="s">
        <v>2091</v>
      </c>
      <c r="K104" s="1" t="s">
        <v>2108</v>
      </c>
      <c r="L104" s="1">
        <v>2015</v>
      </c>
      <c r="N104" s="1" t="s">
        <v>3462</v>
      </c>
      <c r="O104" s="25" t="s">
        <v>7</v>
      </c>
      <c r="P104" s="25" t="s">
        <v>1</v>
      </c>
      <c r="Q104" s="25" t="s">
        <v>3461</v>
      </c>
      <c r="R104" s="25" t="s">
        <v>5</v>
      </c>
      <c r="S104" s="25" t="s">
        <v>1</v>
      </c>
      <c r="T104" s="25" t="s">
        <v>3460</v>
      </c>
      <c r="U104" s="25" t="s">
        <v>4</v>
      </c>
      <c r="V104" s="25" t="s">
        <v>1</v>
      </c>
      <c r="W104" s="25" t="s">
        <v>3459</v>
      </c>
      <c r="X104" s="25" t="s">
        <v>4</v>
      </c>
      <c r="Y104" s="25" t="s">
        <v>1</v>
      </c>
      <c r="Z104" s="25" t="s">
        <v>3458</v>
      </c>
      <c r="AA104" s="1" t="s">
        <v>3457</v>
      </c>
    </row>
    <row r="105" spans="1:28">
      <c r="A105" s="1">
        <f t="shared" si="1"/>
        <v>100</v>
      </c>
      <c r="B105" s="1" t="s">
        <v>3456</v>
      </c>
      <c r="C105" s="26" t="s">
        <v>1729</v>
      </c>
      <c r="D105" s="3">
        <v>200</v>
      </c>
      <c r="E105" s="1" t="s">
        <v>5</v>
      </c>
      <c r="F105" s="3">
        <v>40.799999999999997</v>
      </c>
      <c r="G105" s="4">
        <v>45112</v>
      </c>
      <c r="I105" s="1" t="s">
        <v>3455</v>
      </c>
      <c r="J105" s="1" t="s">
        <v>2091</v>
      </c>
      <c r="K105" s="1" t="s">
        <v>3454</v>
      </c>
      <c r="M105" s="1" t="s">
        <v>2760</v>
      </c>
      <c r="N105" s="1" t="s">
        <v>3453</v>
      </c>
    </row>
    <row r="106" spans="1:28">
      <c r="A106" s="1">
        <f t="shared" si="1"/>
        <v>101</v>
      </c>
      <c r="B106" s="1" t="s">
        <v>1078</v>
      </c>
      <c r="C106" s="26" t="s">
        <v>1729</v>
      </c>
      <c r="D106" s="3">
        <v>200</v>
      </c>
      <c r="E106" s="1" t="s">
        <v>18</v>
      </c>
      <c r="F106" s="3">
        <v>40</v>
      </c>
      <c r="G106" s="2">
        <v>2016</v>
      </c>
      <c r="H106" s="1" t="s">
        <v>3452</v>
      </c>
      <c r="I106" s="1" t="s">
        <v>3451</v>
      </c>
      <c r="J106" s="1" t="s">
        <v>2091</v>
      </c>
      <c r="K106" s="1" t="s">
        <v>2108</v>
      </c>
      <c r="L106" s="1">
        <v>2016</v>
      </c>
      <c r="M106" s="1" t="s">
        <v>2217</v>
      </c>
      <c r="N106" s="1" t="s">
        <v>3450</v>
      </c>
      <c r="O106" s="25" t="s">
        <v>7</v>
      </c>
      <c r="P106" s="25">
        <v>28</v>
      </c>
      <c r="Q106" s="25" t="s">
        <v>3449</v>
      </c>
      <c r="R106" s="25" t="s">
        <v>5</v>
      </c>
      <c r="S106" s="25">
        <v>9.6999999999999993</v>
      </c>
      <c r="T106" s="25" t="s">
        <v>4</v>
      </c>
      <c r="U106" s="25">
        <v>4.3</v>
      </c>
      <c r="V106" s="25" t="s">
        <v>3448</v>
      </c>
      <c r="W106" s="25" t="s">
        <v>1</v>
      </c>
      <c r="X106" s="25" t="s">
        <v>1</v>
      </c>
      <c r="Y106" s="25" t="s">
        <v>1</v>
      </c>
      <c r="Z106" s="25" t="s">
        <v>1</v>
      </c>
      <c r="AA106" s="1" t="s">
        <v>2244</v>
      </c>
      <c r="AB106" s="28" t="s">
        <v>3447</v>
      </c>
    </row>
    <row r="107" spans="1:28">
      <c r="A107" s="1">
        <f t="shared" si="1"/>
        <v>102</v>
      </c>
      <c r="B107" s="1" t="s">
        <v>288</v>
      </c>
      <c r="C107" s="26" t="s">
        <v>1729</v>
      </c>
      <c r="D107" s="3">
        <v>200</v>
      </c>
      <c r="E107" s="1" t="s">
        <v>5</v>
      </c>
      <c r="F107" s="3">
        <v>32</v>
      </c>
      <c r="G107" s="4">
        <v>44851</v>
      </c>
      <c r="H107" s="1" t="s">
        <v>3446</v>
      </c>
      <c r="I107" s="1" t="s">
        <v>3445</v>
      </c>
      <c r="J107" s="1" t="s">
        <v>2147</v>
      </c>
      <c r="K107" s="1" t="s">
        <v>2402</v>
      </c>
      <c r="L107" s="1">
        <v>2018</v>
      </c>
      <c r="N107" s="1" t="s">
        <v>3444</v>
      </c>
      <c r="O107" s="25" t="s">
        <v>5</v>
      </c>
      <c r="P107" s="25">
        <v>26</v>
      </c>
      <c r="Q107" s="25" t="s">
        <v>3443</v>
      </c>
      <c r="R107" s="25" t="s">
        <v>4</v>
      </c>
      <c r="S107" s="25">
        <v>6.2</v>
      </c>
      <c r="T107" s="25" t="s">
        <v>3442</v>
      </c>
      <c r="U107" s="25" t="s">
        <v>285</v>
      </c>
      <c r="V107" s="25" t="s">
        <v>1</v>
      </c>
      <c r="W107" s="25" t="s">
        <v>3441</v>
      </c>
      <c r="X107" s="25" t="s">
        <v>1</v>
      </c>
      <c r="Y107" s="25" t="s">
        <v>1</v>
      </c>
      <c r="Z107" s="25" t="s">
        <v>1</v>
      </c>
      <c r="AA107" s="1" t="s">
        <v>2132</v>
      </c>
      <c r="AB107" s="28" t="s">
        <v>3440</v>
      </c>
    </row>
    <row r="108" spans="1:28" s="12" customFormat="1">
      <c r="A108" s="1">
        <f t="shared" si="1"/>
        <v>103</v>
      </c>
      <c r="B108" s="12" t="s">
        <v>3439</v>
      </c>
      <c r="C108" s="35" t="s">
        <v>1729</v>
      </c>
      <c r="D108" s="15">
        <v>200</v>
      </c>
      <c r="E108" s="12" t="s">
        <v>7</v>
      </c>
      <c r="F108" s="15">
        <v>25</v>
      </c>
      <c r="G108" s="14">
        <v>44642</v>
      </c>
      <c r="H108" s="12" t="s">
        <v>2356</v>
      </c>
      <c r="I108" s="12" t="s">
        <v>3438</v>
      </c>
      <c r="J108" s="12" t="s">
        <v>2091</v>
      </c>
      <c r="K108" s="12" t="s">
        <v>2520</v>
      </c>
      <c r="L108" s="12">
        <v>2017</v>
      </c>
      <c r="M108" s="12" t="s">
        <v>3437</v>
      </c>
      <c r="N108" s="12" t="s">
        <v>3436</v>
      </c>
      <c r="O108" s="24" t="s">
        <v>5</v>
      </c>
      <c r="P108" s="24">
        <v>13.5</v>
      </c>
      <c r="Q108" s="24" t="s">
        <v>3435</v>
      </c>
      <c r="R108" s="24" t="s">
        <v>4</v>
      </c>
      <c r="S108" s="24">
        <v>5.3</v>
      </c>
      <c r="T108" s="24" t="s">
        <v>3434</v>
      </c>
      <c r="U108" s="24" t="s">
        <v>4</v>
      </c>
      <c r="V108" s="24">
        <v>4</v>
      </c>
      <c r="W108" s="24" t="s">
        <v>3433</v>
      </c>
      <c r="X108" s="24" t="s">
        <v>1</v>
      </c>
      <c r="Y108" s="24" t="s">
        <v>1</v>
      </c>
      <c r="Z108" s="24" t="s">
        <v>1</v>
      </c>
      <c r="AA108" s="12" t="s">
        <v>2124</v>
      </c>
      <c r="AB108" s="48" t="s">
        <v>3432</v>
      </c>
    </row>
    <row r="109" spans="1:28" s="12" customFormat="1">
      <c r="A109" s="1">
        <f t="shared" si="1"/>
        <v>104</v>
      </c>
      <c r="B109" s="12" t="s">
        <v>3431</v>
      </c>
      <c r="C109" s="35" t="s">
        <v>1729</v>
      </c>
      <c r="D109" s="15" t="s">
        <v>1</v>
      </c>
      <c r="E109" s="15" t="s">
        <v>3430</v>
      </c>
      <c r="F109" s="15" t="s">
        <v>1</v>
      </c>
      <c r="G109" s="15" t="s">
        <v>3430</v>
      </c>
      <c r="H109" s="12" t="s">
        <v>3355</v>
      </c>
      <c r="I109" s="12" t="s">
        <v>1</v>
      </c>
      <c r="J109" s="12" t="s">
        <v>2091</v>
      </c>
      <c r="K109" s="12" t="s">
        <v>2108</v>
      </c>
      <c r="L109" s="12">
        <v>2015</v>
      </c>
      <c r="M109" s="47" t="s">
        <v>3429</v>
      </c>
      <c r="N109" s="12" t="s">
        <v>1</v>
      </c>
      <c r="O109" s="12" t="s">
        <v>1</v>
      </c>
      <c r="P109" s="12" t="s">
        <v>1</v>
      </c>
      <c r="Q109" s="12" t="s">
        <v>1</v>
      </c>
      <c r="R109" s="12" t="s">
        <v>1</v>
      </c>
      <c r="S109" s="12" t="s">
        <v>1</v>
      </c>
      <c r="T109" s="12" t="s">
        <v>1</v>
      </c>
      <c r="U109" s="12" t="s">
        <v>1</v>
      </c>
      <c r="V109" s="12" t="s">
        <v>1</v>
      </c>
      <c r="W109" s="12" t="s">
        <v>1</v>
      </c>
      <c r="X109" s="12" t="s">
        <v>1</v>
      </c>
      <c r="Y109" s="12" t="s">
        <v>1</v>
      </c>
      <c r="Z109" s="12" t="s">
        <v>1</v>
      </c>
      <c r="AA109" s="12" t="s">
        <v>3428</v>
      </c>
    </row>
    <row r="110" spans="1:28">
      <c r="A110" s="1">
        <f t="shared" si="1"/>
        <v>105</v>
      </c>
      <c r="B110" s="1" t="s">
        <v>3427</v>
      </c>
      <c r="C110" s="26" t="s">
        <v>1729</v>
      </c>
      <c r="D110" s="3">
        <v>200</v>
      </c>
      <c r="E110" s="1" t="s">
        <v>4</v>
      </c>
      <c r="F110" s="3">
        <v>10</v>
      </c>
      <c r="G110" s="4">
        <v>45005</v>
      </c>
      <c r="H110" s="1" t="s">
        <v>3426</v>
      </c>
      <c r="I110" s="1" t="s">
        <v>3425</v>
      </c>
      <c r="J110" s="1" t="s">
        <v>2626</v>
      </c>
      <c r="K110" s="1" t="s">
        <v>3424</v>
      </c>
      <c r="L110" s="32">
        <v>41275</v>
      </c>
      <c r="M110" s="1" t="s">
        <v>3423</v>
      </c>
      <c r="N110" s="1" t="s">
        <v>77</v>
      </c>
      <c r="O110" s="25" t="s">
        <v>1</v>
      </c>
      <c r="P110" s="25" t="s">
        <v>1</v>
      </c>
      <c r="Q110" s="25" t="s">
        <v>1</v>
      </c>
      <c r="R110" s="25" t="s">
        <v>1</v>
      </c>
      <c r="S110" s="25" t="s">
        <v>1</v>
      </c>
      <c r="T110" s="25" t="s">
        <v>1</v>
      </c>
      <c r="U110" s="25" t="s">
        <v>1</v>
      </c>
      <c r="V110" s="25" t="s">
        <v>1</v>
      </c>
      <c r="W110" s="25" t="s">
        <v>1</v>
      </c>
      <c r="X110" s="25" t="s">
        <v>1</v>
      </c>
      <c r="Y110" s="25" t="s">
        <v>1</v>
      </c>
      <c r="Z110" s="25" t="s">
        <v>1</v>
      </c>
      <c r="AA110" s="1" t="s">
        <v>2415</v>
      </c>
    </row>
    <row r="111" spans="1:28">
      <c r="A111" s="1">
        <f t="shared" si="1"/>
        <v>106</v>
      </c>
      <c r="B111" s="12" t="s">
        <v>1022</v>
      </c>
      <c r="C111" s="35" t="s">
        <v>1729</v>
      </c>
      <c r="D111" s="15">
        <v>150</v>
      </c>
      <c r="E111" s="12" t="s">
        <v>5</v>
      </c>
      <c r="F111" s="15">
        <v>26</v>
      </c>
      <c r="G111" s="14">
        <v>45013</v>
      </c>
      <c r="H111" s="12" t="s">
        <v>3378</v>
      </c>
      <c r="I111" s="12" t="s">
        <v>3422</v>
      </c>
      <c r="J111" s="40" t="s">
        <v>2361</v>
      </c>
      <c r="K111" s="40" t="s">
        <v>2829</v>
      </c>
      <c r="L111" s="12">
        <v>2022</v>
      </c>
      <c r="M111" s="12" t="s">
        <v>1938</v>
      </c>
      <c r="N111" s="12" t="s">
        <v>3421</v>
      </c>
      <c r="O111" s="24" t="s">
        <v>4</v>
      </c>
      <c r="P111" s="24">
        <v>3.1</v>
      </c>
      <c r="Q111" s="24" t="s">
        <v>3420</v>
      </c>
      <c r="R111" s="24" t="s">
        <v>1</v>
      </c>
      <c r="S111" s="24" t="s">
        <v>1</v>
      </c>
      <c r="T111" s="24" t="s">
        <v>1</v>
      </c>
      <c r="U111" s="24" t="s">
        <v>1</v>
      </c>
      <c r="V111" s="24" t="s">
        <v>1</v>
      </c>
      <c r="W111" s="24" t="s">
        <v>1</v>
      </c>
      <c r="X111" s="24" t="s">
        <v>1</v>
      </c>
      <c r="Y111" s="24" t="s">
        <v>1</v>
      </c>
      <c r="Z111" s="24" t="s">
        <v>1</v>
      </c>
      <c r="AA111" s="12" t="s">
        <v>2415</v>
      </c>
    </row>
    <row r="112" spans="1:28">
      <c r="A112" s="1">
        <f t="shared" si="1"/>
        <v>107</v>
      </c>
      <c r="B112" s="1" t="s">
        <v>808</v>
      </c>
      <c r="C112" s="26" t="s">
        <v>1729</v>
      </c>
      <c r="D112" s="3">
        <v>150</v>
      </c>
      <c r="E112" s="1" t="s">
        <v>7</v>
      </c>
      <c r="F112" s="3">
        <v>60</v>
      </c>
      <c r="G112" s="4">
        <v>45036</v>
      </c>
      <c r="H112" s="1" t="s">
        <v>3419</v>
      </c>
      <c r="J112" s="1" t="s">
        <v>2626</v>
      </c>
      <c r="K112" s="1" t="s">
        <v>3418</v>
      </c>
      <c r="L112" s="44" t="s">
        <v>3046</v>
      </c>
      <c r="N112" s="1" t="s">
        <v>3417</v>
      </c>
      <c r="O112" s="25" t="s">
        <v>5</v>
      </c>
      <c r="P112" s="25">
        <v>16.5</v>
      </c>
      <c r="Q112" s="25" t="s">
        <v>3416</v>
      </c>
      <c r="R112" s="25" t="s">
        <v>4</v>
      </c>
      <c r="S112" s="25">
        <v>1.2</v>
      </c>
      <c r="T112" s="25" t="s">
        <v>3415</v>
      </c>
      <c r="U112" s="25" t="s">
        <v>1</v>
      </c>
      <c r="V112" s="25" t="s">
        <v>1</v>
      </c>
      <c r="W112" s="25" t="s">
        <v>1</v>
      </c>
      <c r="X112" s="25" t="s">
        <v>1</v>
      </c>
      <c r="Y112" s="25" t="s">
        <v>1</v>
      </c>
      <c r="Z112" s="25" t="s">
        <v>1</v>
      </c>
      <c r="AA112" s="1" t="s">
        <v>3414</v>
      </c>
    </row>
    <row r="113" spans="1:27">
      <c r="A113" s="1">
        <f t="shared" si="1"/>
        <v>108</v>
      </c>
      <c r="B113" s="1" t="s">
        <v>877</v>
      </c>
      <c r="C113" s="26" t="s">
        <v>1729</v>
      </c>
      <c r="D113" s="3">
        <v>150</v>
      </c>
      <c r="E113" s="1" t="s">
        <v>7</v>
      </c>
      <c r="F113" s="3">
        <v>50</v>
      </c>
      <c r="G113" s="4">
        <v>44628</v>
      </c>
      <c r="H113" s="1" t="s">
        <v>3413</v>
      </c>
      <c r="J113" s="1" t="s">
        <v>2626</v>
      </c>
      <c r="K113" s="1" t="s">
        <v>2218</v>
      </c>
      <c r="L113" s="44">
        <v>43647</v>
      </c>
      <c r="N113" s="1" t="s">
        <v>3412</v>
      </c>
      <c r="O113" s="25" t="s">
        <v>5</v>
      </c>
      <c r="P113" s="25">
        <v>10</v>
      </c>
      <c r="Q113" s="25" t="s">
        <v>3411</v>
      </c>
      <c r="R113" s="25" t="s">
        <v>4</v>
      </c>
      <c r="S113" s="25" t="s">
        <v>1</v>
      </c>
      <c r="T113" s="25" t="s">
        <v>3410</v>
      </c>
      <c r="U113" s="25" t="s">
        <v>1</v>
      </c>
      <c r="V113" s="25" t="s">
        <v>1</v>
      </c>
      <c r="W113" s="25" t="s">
        <v>1</v>
      </c>
      <c r="X113" s="25" t="s">
        <v>1</v>
      </c>
      <c r="Y113" s="25" t="s">
        <v>1</v>
      </c>
      <c r="Z113" s="25" t="s">
        <v>1</v>
      </c>
      <c r="AA113" s="1" t="s">
        <v>2488</v>
      </c>
    </row>
    <row r="114" spans="1:27">
      <c r="A114" s="1">
        <f t="shared" si="1"/>
        <v>109</v>
      </c>
      <c r="B114" s="1" t="s">
        <v>3409</v>
      </c>
      <c r="C114" s="26" t="s">
        <v>1729</v>
      </c>
      <c r="D114" s="15">
        <v>150</v>
      </c>
      <c r="E114" s="1" t="s">
        <v>5</v>
      </c>
      <c r="F114" s="3">
        <v>21</v>
      </c>
      <c r="G114" s="4">
        <v>45027</v>
      </c>
      <c r="H114" s="1" t="s">
        <v>3408</v>
      </c>
      <c r="I114" s="1" t="s">
        <v>3407</v>
      </c>
      <c r="J114" s="45" t="s">
        <v>2091</v>
      </c>
      <c r="K114" s="45" t="s">
        <v>2509</v>
      </c>
      <c r="L114" s="34">
        <v>44562</v>
      </c>
      <c r="M114" s="1" t="s">
        <v>3406</v>
      </c>
      <c r="N114" s="1" t="s">
        <v>3405</v>
      </c>
      <c r="O114" s="25" t="s">
        <v>4</v>
      </c>
      <c r="P114" s="25">
        <v>5</v>
      </c>
      <c r="Q114" s="25" t="s">
        <v>3404</v>
      </c>
      <c r="R114" s="25" t="s">
        <v>1</v>
      </c>
      <c r="S114" s="25" t="s">
        <v>1</v>
      </c>
      <c r="T114" s="25" t="s">
        <v>1</v>
      </c>
      <c r="U114" s="25" t="s">
        <v>1</v>
      </c>
      <c r="V114" s="25" t="s">
        <v>1</v>
      </c>
      <c r="W114" s="25" t="s">
        <v>1</v>
      </c>
      <c r="X114" s="25" t="s">
        <v>1</v>
      </c>
      <c r="Y114" s="25" t="s">
        <v>1</v>
      </c>
      <c r="Z114" s="25" t="s">
        <v>1</v>
      </c>
      <c r="AA114" s="1" t="s">
        <v>2415</v>
      </c>
    </row>
    <row r="115" spans="1:27">
      <c r="A115" s="1">
        <f t="shared" si="1"/>
        <v>110</v>
      </c>
      <c r="B115" s="1" t="s">
        <v>1093</v>
      </c>
      <c r="C115" s="26" t="s">
        <v>1729</v>
      </c>
      <c r="D115" s="3">
        <v>150</v>
      </c>
      <c r="E115" s="1" t="s">
        <v>7</v>
      </c>
      <c r="F115" s="3">
        <v>18</v>
      </c>
      <c r="G115" s="4">
        <v>44831</v>
      </c>
      <c r="H115" s="1" t="s">
        <v>3403</v>
      </c>
      <c r="I115" s="1" t="s">
        <v>3402</v>
      </c>
      <c r="J115" s="1" t="s">
        <v>2091</v>
      </c>
      <c r="K115" s="1" t="s">
        <v>2283</v>
      </c>
      <c r="L115" s="1">
        <v>2021</v>
      </c>
      <c r="N115" s="1" t="s">
        <v>3401</v>
      </c>
      <c r="O115" s="25" t="s">
        <v>5</v>
      </c>
      <c r="P115" s="25">
        <v>18.5</v>
      </c>
      <c r="Q115" s="25" t="s">
        <v>3400</v>
      </c>
      <c r="R115" s="25" t="s">
        <v>1</v>
      </c>
      <c r="S115" s="25" t="s">
        <v>1</v>
      </c>
      <c r="T115" s="25" t="s">
        <v>1</v>
      </c>
      <c r="U115" s="25" t="s">
        <v>1</v>
      </c>
      <c r="V115" s="25" t="s">
        <v>1</v>
      </c>
      <c r="W115" s="25" t="s">
        <v>1</v>
      </c>
      <c r="X115" s="25" t="s">
        <v>1</v>
      </c>
      <c r="Y115" s="25" t="s">
        <v>1</v>
      </c>
      <c r="Z115" s="25" t="s">
        <v>1</v>
      </c>
      <c r="AA115" s="1" t="s">
        <v>2089</v>
      </c>
    </row>
    <row r="116" spans="1:27">
      <c r="A116" s="1">
        <f t="shared" si="1"/>
        <v>111</v>
      </c>
      <c r="B116" s="1" t="s">
        <v>454</v>
      </c>
      <c r="C116" s="26" t="s">
        <v>1729</v>
      </c>
      <c r="D116" s="3">
        <v>150</v>
      </c>
      <c r="E116" s="1" t="s">
        <v>7</v>
      </c>
      <c r="F116" s="3">
        <v>30</v>
      </c>
      <c r="G116" s="4">
        <v>44756</v>
      </c>
      <c r="H116" s="1" t="s">
        <v>3399</v>
      </c>
      <c r="I116" s="1" t="s">
        <v>3398</v>
      </c>
      <c r="J116" s="1" t="s">
        <v>2091</v>
      </c>
      <c r="K116" s="1" t="s">
        <v>3397</v>
      </c>
      <c r="L116" s="1">
        <v>2017</v>
      </c>
      <c r="N116" s="1" t="s">
        <v>3396</v>
      </c>
      <c r="O116" s="25" t="s">
        <v>5</v>
      </c>
      <c r="P116" s="25">
        <v>28</v>
      </c>
      <c r="Q116" s="25" t="s">
        <v>3395</v>
      </c>
      <c r="R116" s="25" t="s">
        <v>4</v>
      </c>
      <c r="S116" s="25">
        <v>5</v>
      </c>
      <c r="T116" s="25" t="s">
        <v>3394</v>
      </c>
      <c r="U116" s="25" t="s">
        <v>4</v>
      </c>
      <c r="V116" s="25">
        <v>0.12</v>
      </c>
      <c r="W116" s="25" t="s">
        <v>1091</v>
      </c>
      <c r="X116" s="25" t="s">
        <v>1</v>
      </c>
      <c r="Y116" s="25" t="s">
        <v>1</v>
      </c>
      <c r="Z116" s="25" t="s">
        <v>1</v>
      </c>
      <c r="AA116" s="1" t="s">
        <v>2094</v>
      </c>
    </row>
    <row r="117" spans="1:27">
      <c r="A117" s="1">
        <f t="shared" si="1"/>
        <v>112</v>
      </c>
      <c r="B117" s="1" t="s">
        <v>908</v>
      </c>
      <c r="C117" s="26" t="s">
        <v>1729</v>
      </c>
      <c r="D117" s="3">
        <v>150</v>
      </c>
      <c r="E117" s="1" t="s">
        <v>7</v>
      </c>
      <c r="F117" s="3">
        <v>40</v>
      </c>
      <c r="G117" s="4">
        <v>44728</v>
      </c>
      <c r="H117" s="1" t="s">
        <v>3393</v>
      </c>
      <c r="J117" s="1" t="s">
        <v>2626</v>
      </c>
      <c r="K117" s="1" t="s">
        <v>2102</v>
      </c>
      <c r="L117" s="44" t="s">
        <v>3046</v>
      </c>
      <c r="N117" s="1" t="s">
        <v>3392</v>
      </c>
      <c r="O117" s="25" t="s">
        <v>5</v>
      </c>
      <c r="P117" s="25">
        <v>18.600000000000001</v>
      </c>
      <c r="Q117" s="25" t="s">
        <v>3391</v>
      </c>
      <c r="R117" s="25" t="s">
        <v>4</v>
      </c>
      <c r="S117" s="25" t="s">
        <v>1</v>
      </c>
      <c r="T117" s="25" t="s">
        <v>3390</v>
      </c>
      <c r="U117" s="25" t="s">
        <v>1</v>
      </c>
      <c r="V117" s="25" t="s">
        <v>1</v>
      </c>
      <c r="W117" s="25" t="s">
        <v>1</v>
      </c>
      <c r="X117" s="1" t="s">
        <v>1</v>
      </c>
      <c r="Y117" s="25" t="s">
        <v>1</v>
      </c>
      <c r="Z117" s="25" t="s">
        <v>1</v>
      </c>
      <c r="AA117" s="1" t="s">
        <v>2101</v>
      </c>
    </row>
    <row r="118" spans="1:27">
      <c r="A118" s="1">
        <f t="shared" si="1"/>
        <v>113</v>
      </c>
      <c r="B118" s="1" t="s">
        <v>905</v>
      </c>
      <c r="C118" s="26" t="s">
        <v>1729</v>
      </c>
      <c r="D118" s="3">
        <v>150</v>
      </c>
      <c r="E118" s="1" t="s">
        <v>7</v>
      </c>
      <c r="F118" s="3">
        <v>40</v>
      </c>
      <c r="G118" s="4">
        <v>44650</v>
      </c>
      <c r="J118" s="1" t="s">
        <v>2091</v>
      </c>
      <c r="K118" s="1" t="s">
        <v>2283</v>
      </c>
      <c r="L118" s="44">
        <v>43361</v>
      </c>
      <c r="N118" s="1" t="s">
        <v>3389</v>
      </c>
      <c r="O118" s="25" t="s">
        <v>5</v>
      </c>
      <c r="P118" s="25">
        <v>14</v>
      </c>
      <c r="Q118" s="25" t="s">
        <v>3388</v>
      </c>
      <c r="R118" s="25" t="s">
        <v>1</v>
      </c>
      <c r="S118" s="25" t="s">
        <v>1</v>
      </c>
      <c r="T118" s="25" t="s">
        <v>1</v>
      </c>
      <c r="U118" s="25" t="s">
        <v>1</v>
      </c>
      <c r="V118" s="25" t="s">
        <v>1</v>
      </c>
      <c r="W118" s="25" t="s">
        <v>1</v>
      </c>
      <c r="X118" s="25" t="s">
        <v>1</v>
      </c>
      <c r="Y118" s="25" t="s">
        <v>1</v>
      </c>
      <c r="Z118" s="25" t="s">
        <v>1</v>
      </c>
      <c r="AA118" s="1" t="s">
        <v>2415</v>
      </c>
    </row>
    <row r="119" spans="1:27">
      <c r="A119" s="1">
        <f t="shared" si="1"/>
        <v>114</v>
      </c>
      <c r="B119" s="1" t="s">
        <v>3387</v>
      </c>
      <c r="C119" s="26" t="s">
        <v>1729</v>
      </c>
      <c r="D119" s="3">
        <v>150</v>
      </c>
      <c r="E119" s="1" t="s">
        <v>7</v>
      </c>
      <c r="F119" s="3">
        <v>13</v>
      </c>
      <c r="G119" s="4">
        <v>45090</v>
      </c>
      <c r="H119" s="1" t="s">
        <v>3386</v>
      </c>
      <c r="I119" s="1" t="s">
        <v>3385</v>
      </c>
      <c r="J119" s="1" t="s">
        <v>2147</v>
      </c>
      <c r="K119" s="1" t="s">
        <v>2125</v>
      </c>
      <c r="L119" s="44">
        <v>43405</v>
      </c>
      <c r="N119" s="1" t="s">
        <v>3384</v>
      </c>
      <c r="O119" s="25" t="s">
        <v>7</v>
      </c>
      <c r="P119" s="25">
        <v>37</v>
      </c>
      <c r="Q119" s="25" t="s">
        <v>3383</v>
      </c>
      <c r="R119" s="25" t="s">
        <v>7</v>
      </c>
      <c r="S119" s="25">
        <v>30</v>
      </c>
      <c r="T119" s="25" t="s">
        <v>3382</v>
      </c>
      <c r="U119" s="25" t="s">
        <v>7</v>
      </c>
      <c r="V119" s="25">
        <v>80</v>
      </c>
      <c r="W119" s="25" t="s">
        <v>3381</v>
      </c>
      <c r="X119" s="25" t="s">
        <v>5</v>
      </c>
      <c r="Y119" s="25">
        <v>30</v>
      </c>
      <c r="Z119" s="25" t="s">
        <v>3380</v>
      </c>
      <c r="AA119" s="1" t="s">
        <v>2809</v>
      </c>
    </row>
    <row r="120" spans="1:27">
      <c r="A120" s="1">
        <f t="shared" si="1"/>
        <v>115</v>
      </c>
      <c r="B120" s="1" t="s">
        <v>3379</v>
      </c>
      <c r="C120" s="26" t="s">
        <v>1729</v>
      </c>
      <c r="D120" s="3">
        <v>125</v>
      </c>
      <c r="E120" s="1" t="s">
        <v>5</v>
      </c>
      <c r="F120" s="3">
        <v>65</v>
      </c>
      <c r="G120" s="31">
        <v>44287</v>
      </c>
      <c r="H120" s="1" t="s">
        <v>3378</v>
      </c>
      <c r="I120" s="1" t="s">
        <v>3377</v>
      </c>
      <c r="J120" s="1" t="s">
        <v>2361</v>
      </c>
      <c r="K120" s="1" t="s">
        <v>2829</v>
      </c>
      <c r="L120" s="34">
        <v>44228</v>
      </c>
      <c r="N120" s="1" t="s">
        <v>1</v>
      </c>
      <c r="O120" s="1" t="s">
        <v>1</v>
      </c>
      <c r="P120" s="1" t="s">
        <v>1</v>
      </c>
      <c r="Q120" s="1" t="s">
        <v>1</v>
      </c>
      <c r="R120" s="1" t="s">
        <v>1</v>
      </c>
      <c r="S120" s="1" t="s">
        <v>1</v>
      </c>
      <c r="T120" s="25" t="s">
        <v>1</v>
      </c>
      <c r="U120" s="25" t="s">
        <v>1</v>
      </c>
      <c r="V120" s="25" t="s">
        <v>1</v>
      </c>
      <c r="W120" s="25" t="s">
        <v>1</v>
      </c>
      <c r="X120" s="1" t="s">
        <v>1</v>
      </c>
      <c r="Y120" s="25" t="s">
        <v>1</v>
      </c>
      <c r="Z120" s="25" t="s">
        <v>1</v>
      </c>
      <c r="AA120" s="1" t="s">
        <v>3105</v>
      </c>
    </row>
    <row r="121" spans="1:27">
      <c r="A121" s="1">
        <f t="shared" si="1"/>
        <v>116</v>
      </c>
      <c r="B121" s="1" t="s">
        <v>320</v>
      </c>
      <c r="C121" s="26" t="s">
        <v>1729</v>
      </c>
      <c r="D121" s="3">
        <v>150</v>
      </c>
      <c r="E121" s="1" t="s">
        <v>5</v>
      </c>
      <c r="F121" s="3">
        <v>57</v>
      </c>
      <c r="G121" s="4">
        <v>44508</v>
      </c>
      <c r="H121" s="1" t="s">
        <v>3376</v>
      </c>
      <c r="I121" s="1" t="s">
        <v>3375</v>
      </c>
      <c r="J121" s="1" t="s">
        <v>2091</v>
      </c>
      <c r="K121" s="1" t="s">
        <v>2689</v>
      </c>
      <c r="L121" s="1">
        <v>2017</v>
      </c>
      <c r="N121" s="1" t="s">
        <v>3374</v>
      </c>
      <c r="O121" s="25" t="s">
        <v>4</v>
      </c>
      <c r="P121" s="25" t="s">
        <v>1</v>
      </c>
      <c r="Q121" s="25" t="s">
        <v>3373</v>
      </c>
      <c r="R121" s="25" t="s">
        <v>1</v>
      </c>
      <c r="S121" s="25" t="s">
        <v>1</v>
      </c>
      <c r="T121" s="25" t="s">
        <v>1</v>
      </c>
      <c r="U121" s="25" t="s">
        <v>1</v>
      </c>
      <c r="V121" s="25" t="s">
        <v>1</v>
      </c>
      <c r="W121" s="25" t="s">
        <v>1</v>
      </c>
      <c r="X121" s="25" t="s">
        <v>1</v>
      </c>
      <c r="Y121" s="25" t="s">
        <v>1</v>
      </c>
      <c r="Z121" s="25" t="s">
        <v>1</v>
      </c>
      <c r="AA121" s="1" t="s">
        <v>2204</v>
      </c>
    </row>
    <row r="122" spans="1:27">
      <c r="A122" s="1">
        <f t="shared" si="1"/>
        <v>117</v>
      </c>
      <c r="B122" s="1" t="s">
        <v>856</v>
      </c>
      <c r="C122" s="26" t="s">
        <v>1729</v>
      </c>
      <c r="D122" s="3">
        <v>125</v>
      </c>
      <c r="E122" s="1" t="s">
        <v>5</v>
      </c>
      <c r="F122" s="3">
        <v>44</v>
      </c>
      <c r="G122" s="4">
        <v>44671</v>
      </c>
      <c r="H122" s="1" t="s">
        <v>3371</v>
      </c>
      <c r="I122" s="1" t="s">
        <v>3372</v>
      </c>
      <c r="J122" s="1" t="s">
        <v>2626</v>
      </c>
      <c r="K122" s="1" t="s">
        <v>2125</v>
      </c>
      <c r="L122" s="44" t="s">
        <v>3046</v>
      </c>
      <c r="M122" s="1" t="s">
        <v>3371</v>
      </c>
      <c r="N122" s="1" t="s">
        <v>3370</v>
      </c>
      <c r="O122" s="25" t="s">
        <v>3369</v>
      </c>
      <c r="P122" s="1" t="s">
        <v>1</v>
      </c>
      <c r="Q122" s="25" t="s">
        <v>3368</v>
      </c>
      <c r="R122" s="1" t="s">
        <v>1</v>
      </c>
      <c r="S122" s="1" t="s">
        <v>1</v>
      </c>
      <c r="T122" s="25" t="s">
        <v>1</v>
      </c>
      <c r="U122" s="25" t="s">
        <v>1</v>
      </c>
      <c r="V122" s="25" t="s">
        <v>1</v>
      </c>
      <c r="W122" s="25" t="s">
        <v>1</v>
      </c>
      <c r="X122" s="1" t="s">
        <v>1</v>
      </c>
      <c r="Y122" s="25" t="s">
        <v>1</v>
      </c>
      <c r="Z122" s="25" t="s">
        <v>1</v>
      </c>
      <c r="AA122" s="1" t="s">
        <v>2415</v>
      </c>
    </row>
    <row r="123" spans="1:27">
      <c r="A123" s="1">
        <f t="shared" si="1"/>
        <v>118</v>
      </c>
      <c r="B123" s="1" t="s">
        <v>535</v>
      </c>
      <c r="C123" s="26" t="s">
        <v>1729</v>
      </c>
      <c r="D123" s="3">
        <v>125</v>
      </c>
      <c r="E123" s="1" t="s">
        <v>7</v>
      </c>
      <c r="F123" s="3">
        <v>32</v>
      </c>
      <c r="G123" s="31">
        <v>44364</v>
      </c>
      <c r="H123" s="1" t="s">
        <v>2801</v>
      </c>
      <c r="I123" s="1" t="s">
        <v>3367</v>
      </c>
      <c r="J123" s="1" t="s">
        <v>2091</v>
      </c>
      <c r="K123" s="1" t="s">
        <v>2102</v>
      </c>
      <c r="L123" s="1">
        <v>2018</v>
      </c>
      <c r="N123" s="1" t="s">
        <v>3366</v>
      </c>
      <c r="O123" s="25" t="s">
        <v>5</v>
      </c>
      <c r="P123" s="25">
        <v>10.199999999999999</v>
      </c>
      <c r="Q123" s="25" t="s">
        <v>3365</v>
      </c>
      <c r="R123" s="25" t="s">
        <v>4</v>
      </c>
      <c r="S123" s="25">
        <v>3</v>
      </c>
      <c r="T123" s="25" t="s">
        <v>3364</v>
      </c>
      <c r="U123" s="25" t="s">
        <v>1</v>
      </c>
      <c r="V123" s="25" t="s">
        <v>1</v>
      </c>
      <c r="W123" s="25" t="s">
        <v>1</v>
      </c>
      <c r="X123" s="25" t="s">
        <v>1</v>
      </c>
      <c r="Y123" s="25" t="s">
        <v>1</v>
      </c>
      <c r="Z123" s="25" t="s">
        <v>1</v>
      </c>
      <c r="AA123" s="1" t="s">
        <v>2204</v>
      </c>
    </row>
    <row r="124" spans="1:27" s="12" customFormat="1">
      <c r="A124" s="1">
        <f t="shared" si="1"/>
        <v>119</v>
      </c>
      <c r="B124" s="12" t="s">
        <v>3363</v>
      </c>
      <c r="C124" s="35" t="s">
        <v>1729</v>
      </c>
      <c r="D124" s="15">
        <v>125</v>
      </c>
      <c r="E124" s="12" t="s">
        <v>5</v>
      </c>
      <c r="F124" s="15">
        <v>20</v>
      </c>
      <c r="G124" s="14">
        <v>44854</v>
      </c>
      <c r="H124" s="12" t="s">
        <v>3362</v>
      </c>
      <c r="I124" s="12" t="s">
        <v>3361</v>
      </c>
      <c r="J124" s="12" t="s">
        <v>2368</v>
      </c>
      <c r="K124" s="12" t="s">
        <v>3241</v>
      </c>
      <c r="L124" s="12">
        <v>2021</v>
      </c>
      <c r="N124" s="12" t="s">
        <v>3360</v>
      </c>
      <c r="O124" s="24" t="s">
        <v>4</v>
      </c>
      <c r="P124" s="24" t="s">
        <v>1</v>
      </c>
      <c r="Q124" s="24" t="s">
        <v>2760</v>
      </c>
      <c r="R124" s="24" t="s">
        <v>1</v>
      </c>
      <c r="S124" s="24" t="s">
        <v>1</v>
      </c>
      <c r="T124" s="24" t="s">
        <v>1</v>
      </c>
      <c r="U124" s="24" t="s">
        <v>1</v>
      </c>
      <c r="V124" s="24" t="s">
        <v>1</v>
      </c>
      <c r="W124" s="24" t="s">
        <v>1</v>
      </c>
      <c r="X124" s="24" t="s">
        <v>1</v>
      </c>
      <c r="Y124" s="24" t="s">
        <v>1</v>
      </c>
      <c r="Z124" s="24" t="s">
        <v>1</v>
      </c>
      <c r="AA124" s="12" t="s">
        <v>2415</v>
      </c>
    </row>
    <row r="125" spans="1:27">
      <c r="A125" s="1">
        <f t="shared" si="1"/>
        <v>120</v>
      </c>
      <c r="B125" s="1" t="s">
        <v>1001</v>
      </c>
      <c r="C125" s="26" t="s">
        <v>1729</v>
      </c>
      <c r="D125" s="3">
        <v>125</v>
      </c>
      <c r="E125" s="1" t="s">
        <v>7</v>
      </c>
      <c r="F125" s="3">
        <v>38</v>
      </c>
      <c r="G125" s="4">
        <v>44812</v>
      </c>
      <c r="H125" s="1" t="s">
        <v>3185</v>
      </c>
      <c r="I125" s="1" t="s">
        <v>3359</v>
      </c>
      <c r="J125" s="1" t="s">
        <v>2626</v>
      </c>
      <c r="K125" s="1" t="s">
        <v>2102</v>
      </c>
      <c r="L125" s="44" t="s">
        <v>3193</v>
      </c>
      <c r="N125" s="1" t="s">
        <v>3358</v>
      </c>
      <c r="O125" s="25" t="s">
        <v>5</v>
      </c>
      <c r="P125" s="25">
        <v>19</v>
      </c>
      <c r="Q125" s="25" t="s">
        <v>3357</v>
      </c>
      <c r="R125" s="25" t="s">
        <v>4</v>
      </c>
      <c r="S125" s="25">
        <v>4</v>
      </c>
      <c r="T125" s="25" t="s">
        <v>3356</v>
      </c>
      <c r="U125" s="25" t="s">
        <v>285</v>
      </c>
      <c r="V125" s="25" t="s">
        <v>1</v>
      </c>
      <c r="W125" s="25" t="s">
        <v>1046</v>
      </c>
      <c r="X125" s="25" t="s">
        <v>1</v>
      </c>
      <c r="Y125" s="25" t="s">
        <v>1</v>
      </c>
      <c r="Z125" s="25" t="s">
        <v>1</v>
      </c>
      <c r="AA125" s="1" t="s">
        <v>2132</v>
      </c>
    </row>
    <row r="126" spans="1:27">
      <c r="A126" s="1">
        <f t="shared" si="1"/>
        <v>121</v>
      </c>
      <c r="B126" s="1" t="s">
        <v>1183</v>
      </c>
      <c r="C126" s="26" t="s">
        <v>1729</v>
      </c>
      <c r="D126" s="3">
        <v>100</v>
      </c>
      <c r="E126" s="1" t="s">
        <v>4</v>
      </c>
      <c r="F126" s="3">
        <v>50</v>
      </c>
      <c r="G126" s="4">
        <v>45062</v>
      </c>
      <c r="H126" s="1" t="s">
        <v>3355</v>
      </c>
      <c r="I126" s="1" t="s">
        <v>3354</v>
      </c>
      <c r="J126" s="40" t="s">
        <v>2091</v>
      </c>
      <c r="K126" s="40" t="s">
        <v>2108</v>
      </c>
      <c r="L126" s="43" t="s">
        <v>3353</v>
      </c>
      <c r="N126" s="1" t="s">
        <v>3352</v>
      </c>
      <c r="O126" s="25" t="s">
        <v>1</v>
      </c>
      <c r="P126" s="25" t="s">
        <v>1</v>
      </c>
      <c r="Q126" s="25" t="s">
        <v>1</v>
      </c>
      <c r="R126" s="25" t="s">
        <v>1</v>
      </c>
      <c r="S126" s="25" t="s">
        <v>1</v>
      </c>
      <c r="T126" s="25" t="s">
        <v>1</v>
      </c>
      <c r="U126" s="25" t="s">
        <v>1</v>
      </c>
      <c r="V126" s="25" t="s">
        <v>1</v>
      </c>
      <c r="W126" s="25" t="s">
        <v>1</v>
      </c>
      <c r="X126" s="25" t="s">
        <v>1</v>
      </c>
      <c r="Y126" s="25" t="s">
        <v>1</v>
      </c>
      <c r="Z126" s="25" t="s">
        <v>1</v>
      </c>
      <c r="AA126" s="1" t="s">
        <v>3351</v>
      </c>
    </row>
    <row r="127" spans="1:27">
      <c r="A127" s="1">
        <f t="shared" si="1"/>
        <v>122</v>
      </c>
      <c r="B127" s="1" t="s">
        <v>3350</v>
      </c>
      <c r="C127" s="26" t="s">
        <v>1729</v>
      </c>
      <c r="D127" s="3">
        <v>100</v>
      </c>
      <c r="E127" s="1" t="s">
        <v>7</v>
      </c>
      <c r="F127" s="3">
        <v>50</v>
      </c>
      <c r="G127" s="4">
        <v>44643</v>
      </c>
      <c r="H127" s="1" t="s">
        <v>3349</v>
      </c>
      <c r="I127" s="1" t="s">
        <v>3348</v>
      </c>
      <c r="J127" s="1" t="s">
        <v>2626</v>
      </c>
      <c r="K127" s="1" t="s">
        <v>3347</v>
      </c>
      <c r="L127" s="43" t="s">
        <v>3346</v>
      </c>
      <c r="N127" s="1" t="s">
        <v>3345</v>
      </c>
      <c r="O127" s="25" t="s">
        <v>5</v>
      </c>
      <c r="P127" s="25">
        <v>18.5</v>
      </c>
      <c r="Q127" s="25" t="s">
        <v>3344</v>
      </c>
      <c r="R127" s="25" t="s">
        <v>4</v>
      </c>
      <c r="S127" s="25">
        <v>3.5</v>
      </c>
      <c r="T127" s="25" t="s">
        <v>3343</v>
      </c>
      <c r="U127" s="25" t="s">
        <v>1</v>
      </c>
      <c r="V127" s="25" t="s">
        <v>1</v>
      </c>
      <c r="W127" s="25" t="s">
        <v>1</v>
      </c>
      <c r="X127" s="25" t="s">
        <v>1</v>
      </c>
      <c r="Y127" s="25" t="s">
        <v>1</v>
      </c>
      <c r="Z127" s="25" t="s">
        <v>1</v>
      </c>
      <c r="AA127" s="1" t="s">
        <v>2124</v>
      </c>
    </row>
    <row r="128" spans="1:27">
      <c r="A128" s="1">
        <f t="shared" si="1"/>
        <v>123</v>
      </c>
      <c r="B128" s="12" t="s">
        <v>3342</v>
      </c>
      <c r="C128" s="35" t="s">
        <v>1729</v>
      </c>
      <c r="D128" s="15">
        <v>100</v>
      </c>
      <c r="E128" s="12" t="s">
        <v>5</v>
      </c>
      <c r="F128" s="15">
        <v>50</v>
      </c>
      <c r="G128" s="14">
        <v>44796</v>
      </c>
      <c r="H128" s="12" t="s">
        <v>3341</v>
      </c>
      <c r="I128" s="12" t="s">
        <v>3340</v>
      </c>
      <c r="J128" s="40" t="s">
        <v>2361</v>
      </c>
      <c r="K128" s="40" t="s">
        <v>3339</v>
      </c>
      <c r="L128" s="38">
        <v>44378</v>
      </c>
      <c r="N128" s="1" t="s">
        <v>3338</v>
      </c>
      <c r="O128" s="25" t="s">
        <v>4</v>
      </c>
      <c r="P128" s="25">
        <v>12.5</v>
      </c>
      <c r="Q128" s="25" t="s">
        <v>3337</v>
      </c>
      <c r="R128" s="25" t="s">
        <v>4</v>
      </c>
      <c r="S128" s="25">
        <v>7.2</v>
      </c>
      <c r="T128" s="25" t="s">
        <v>3336</v>
      </c>
      <c r="V128" s="25" t="s">
        <v>1</v>
      </c>
      <c r="W128" s="25" t="s">
        <v>1</v>
      </c>
      <c r="X128" s="25" t="s">
        <v>1</v>
      </c>
      <c r="Y128" s="25" t="s">
        <v>1</v>
      </c>
      <c r="Z128" s="25" t="s">
        <v>1</v>
      </c>
      <c r="AA128" s="1" t="s">
        <v>2415</v>
      </c>
    </row>
    <row r="129" spans="1:28">
      <c r="A129" s="1">
        <f t="shared" si="1"/>
        <v>124</v>
      </c>
      <c r="B129" s="1" t="s">
        <v>3335</v>
      </c>
      <c r="C129" s="26" t="s">
        <v>1729</v>
      </c>
      <c r="D129" s="3">
        <v>100</v>
      </c>
      <c r="E129" s="1" t="s">
        <v>5</v>
      </c>
      <c r="F129" s="3">
        <v>50</v>
      </c>
      <c r="G129" s="31">
        <v>44475</v>
      </c>
      <c r="H129" s="1" t="s">
        <v>3334</v>
      </c>
      <c r="I129" s="1" t="s">
        <v>3333</v>
      </c>
      <c r="J129" s="1" t="s">
        <v>2091</v>
      </c>
      <c r="K129" s="1" t="s">
        <v>2408</v>
      </c>
      <c r="L129" s="34">
        <v>44440</v>
      </c>
      <c r="N129" s="1" t="s">
        <v>3332</v>
      </c>
      <c r="O129" s="25" t="s">
        <v>1</v>
      </c>
      <c r="P129" s="25" t="s">
        <v>1</v>
      </c>
      <c r="Q129" s="25" t="s">
        <v>1</v>
      </c>
      <c r="R129" s="25" t="s">
        <v>1</v>
      </c>
      <c r="S129" s="25" t="s">
        <v>1</v>
      </c>
      <c r="T129" s="25" t="s">
        <v>1</v>
      </c>
      <c r="U129" s="25" t="s">
        <v>1</v>
      </c>
      <c r="V129" s="25" t="s">
        <v>1</v>
      </c>
      <c r="W129" s="25" t="s">
        <v>1</v>
      </c>
      <c r="X129" s="25" t="s">
        <v>1</v>
      </c>
      <c r="Y129" s="25" t="s">
        <v>1</v>
      </c>
      <c r="Z129" s="25" t="s">
        <v>1</v>
      </c>
      <c r="AA129" s="1" t="s">
        <v>2101</v>
      </c>
    </row>
    <row r="130" spans="1:28">
      <c r="A130" s="1">
        <f t="shared" si="1"/>
        <v>125</v>
      </c>
      <c r="B130" s="1" t="s">
        <v>293</v>
      </c>
      <c r="C130" s="26" t="s">
        <v>1729</v>
      </c>
      <c r="D130" s="3">
        <v>100</v>
      </c>
      <c r="E130" s="1" t="s">
        <v>7</v>
      </c>
      <c r="F130" s="3">
        <v>35</v>
      </c>
      <c r="G130" s="4">
        <v>44309</v>
      </c>
      <c r="I130" s="1" t="s">
        <v>3331</v>
      </c>
      <c r="J130" s="1" t="s">
        <v>2091</v>
      </c>
      <c r="K130" s="1" t="s">
        <v>2117</v>
      </c>
      <c r="L130" s="1">
        <v>2017</v>
      </c>
      <c r="N130" s="1" t="s">
        <v>3330</v>
      </c>
      <c r="O130" s="25" t="s">
        <v>5</v>
      </c>
      <c r="P130" s="25">
        <v>5.7</v>
      </c>
      <c r="Q130" s="25" t="s">
        <v>1</v>
      </c>
      <c r="R130" s="25" t="s">
        <v>5</v>
      </c>
      <c r="S130" s="25">
        <v>12.8</v>
      </c>
      <c r="T130" s="25" t="s">
        <v>1</v>
      </c>
      <c r="U130" s="25" t="s">
        <v>4</v>
      </c>
      <c r="V130" s="25" t="s">
        <v>1</v>
      </c>
      <c r="W130" s="25" t="s">
        <v>3329</v>
      </c>
      <c r="X130" s="25" t="s">
        <v>1</v>
      </c>
      <c r="Y130" s="25" t="s">
        <v>1</v>
      </c>
      <c r="Z130" s="25" t="s">
        <v>1</v>
      </c>
      <c r="AA130" s="1" t="s">
        <v>2312</v>
      </c>
    </row>
    <row r="131" spans="1:28">
      <c r="A131" s="1">
        <f t="shared" si="1"/>
        <v>126</v>
      </c>
      <c r="B131" s="1" t="s">
        <v>926</v>
      </c>
      <c r="C131" s="26" t="s">
        <v>1729</v>
      </c>
      <c r="D131" s="3">
        <v>100</v>
      </c>
      <c r="E131" s="1" t="s">
        <v>4</v>
      </c>
      <c r="F131" s="3">
        <v>42</v>
      </c>
      <c r="G131" s="4">
        <v>44882</v>
      </c>
      <c r="H131" s="12" t="s">
        <v>3328</v>
      </c>
      <c r="J131" s="45" t="s">
        <v>2091</v>
      </c>
      <c r="K131" s="40" t="s">
        <v>2108</v>
      </c>
      <c r="L131" s="34">
        <v>44440</v>
      </c>
      <c r="N131" s="1" t="s">
        <v>3327</v>
      </c>
      <c r="O131" s="25" t="s">
        <v>1</v>
      </c>
      <c r="P131" s="25" t="s">
        <v>1</v>
      </c>
      <c r="Q131" s="25" t="s">
        <v>1</v>
      </c>
      <c r="R131" s="25" t="s">
        <v>1</v>
      </c>
      <c r="S131" s="25" t="s">
        <v>1</v>
      </c>
      <c r="T131" s="25" t="s">
        <v>1</v>
      </c>
      <c r="U131" s="25" t="s">
        <v>1</v>
      </c>
      <c r="V131" s="25" t="s">
        <v>1</v>
      </c>
      <c r="W131" s="25" t="s">
        <v>1</v>
      </c>
      <c r="X131" s="25" t="s">
        <v>1</v>
      </c>
      <c r="Y131" s="25" t="s">
        <v>1</v>
      </c>
      <c r="Z131" s="25" t="s">
        <v>1</v>
      </c>
      <c r="AA131" s="1" t="s">
        <v>2141</v>
      </c>
    </row>
    <row r="132" spans="1:28">
      <c r="A132" s="1">
        <f t="shared" si="1"/>
        <v>127</v>
      </c>
      <c r="B132" s="1" t="s">
        <v>3326</v>
      </c>
      <c r="C132" s="26" t="s">
        <v>1729</v>
      </c>
      <c r="D132" s="3">
        <v>100</v>
      </c>
      <c r="E132" s="1" t="s">
        <v>5</v>
      </c>
      <c r="F132" s="3">
        <v>40</v>
      </c>
      <c r="G132" s="4">
        <v>44690</v>
      </c>
      <c r="H132" s="1" t="s">
        <v>3325</v>
      </c>
      <c r="I132" s="1" t="s">
        <v>3324</v>
      </c>
      <c r="J132" s="1" t="s">
        <v>2361</v>
      </c>
      <c r="K132" s="1" t="s">
        <v>3323</v>
      </c>
      <c r="L132" s="34">
        <v>44501</v>
      </c>
      <c r="N132" s="1" t="s">
        <v>3322</v>
      </c>
      <c r="O132" s="25" t="s">
        <v>3321</v>
      </c>
      <c r="P132" s="25">
        <v>5</v>
      </c>
      <c r="Q132" s="25" t="s">
        <v>3320</v>
      </c>
      <c r="R132" s="25" t="s">
        <v>1</v>
      </c>
      <c r="S132" s="25" t="s">
        <v>1</v>
      </c>
      <c r="T132" s="25" t="s">
        <v>1</v>
      </c>
      <c r="U132" s="25" t="s">
        <v>1</v>
      </c>
      <c r="V132" s="25" t="s">
        <v>1</v>
      </c>
      <c r="W132" s="25" t="s">
        <v>1</v>
      </c>
      <c r="X132" s="25" t="s">
        <v>1</v>
      </c>
      <c r="Y132" s="25" t="s">
        <v>1</v>
      </c>
      <c r="Z132" s="25" t="s">
        <v>1</v>
      </c>
      <c r="AA132" s="1" t="s">
        <v>2964</v>
      </c>
    </row>
    <row r="133" spans="1:28">
      <c r="A133" s="1">
        <f t="shared" si="1"/>
        <v>128</v>
      </c>
      <c r="B133" s="1" t="s">
        <v>3319</v>
      </c>
      <c r="C133" s="26" t="s">
        <v>1729</v>
      </c>
      <c r="D133" s="3">
        <v>100</v>
      </c>
      <c r="E133" s="1" t="s">
        <v>18</v>
      </c>
      <c r="F133" s="3">
        <v>38</v>
      </c>
      <c r="G133" s="4">
        <v>44580</v>
      </c>
      <c r="H133" s="1" t="s">
        <v>3318</v>
      </c>
      <c r="I133" s="1" t="s">
        <v>3317</v>
      </c>
      <c r="J133" s="1" t="s">
        <v>2091</v>
      </c>
      <c r="K133" s="1" t="s">
        <v>3316</v>
      </c>
      <c r="L133" s="1">
        <v>2017</v>
      </c>
      <c r="M133" s="1" t="s">
        <v>3315</v>
      </c>
      <c r="N133" s="1" t="s">
        <v>3314</v>
      </c>
      <c r="O133" s="25" t="s">
        <v>7</v>
      </c>
      <c r="P133" s="25">
        <v>13.5</v>
      </c>
      <c r="Q133" s="25" t="s">
        <v>3313</v>
      </c>
      <c r="R133" s="25" t="s">
        <v>5</v>
      </c>
      <c r="S133" s="25">
        <v>8.4</v>
      </c>
      <c r="T133" s="25" t="s">
        <v>3312</v>
      </c>
      <c r="U133" s="25" t="s">
        <v>4</v>
      </c>
      <c r="V133" s="25">
        <v>1.6</v>
      </c>
      <c r="W133" s="25" t="s">
        <v>3312</v>
      </c>
      <c r="X133" s="25" t="s">
        <v>1</v>
      </c>
      <c r="Y133" s="25" t="s">
        <v>1</v>
      </c>
      <c r="Z133" s="25" t="s">
        <v>1</v>
      </c>
      <c r="AA133" s="1" t="s">
        <v>3311</v>
      </c>
    </row>
    <row r="134" spans="1:28">
      <c r="A134" s="1">
        <f t="shared" si="1"/>
        <v>129</v>
      </c>
      <c r="B134" s="1" t="s">
        <v>791</v>
      </c>
      <c r="C134" s="26" t="s">
        <v>1729</v>
      </c>
      <c r="D134" s="3">
        <v>100</v>
      </c>
      <c r="E134" s="1" t="s">
        <v>5</v>
      </c>
      <c r="F134" s="3">
        <v>30</v>
      </c>
      <c r="G134" s="4">
        <v>44893</v>
      </c>
      <c r="H134" s="1" t="s">
        <v>3208</v>
      </c>
      <c r="I134" s="1" t="s">
        <v>3310</v>
      </c>
      <c r="J134" s="1" t="s">
        <v>2626</v>
      </c>
      <c r="K134" s="1" t="s">
        <v>2102</v>
      </c>
      <c r="L134" s="44">
        <v>43313</v>
      </c>
      <c r="N134" s="1" t="s">
        <v>3309</v>
      </c>
      <c r="O134" s="25" t="s">
        <v>4</v>
      </c>
      <c r="P134" s="25">
        <v>7</v>
      </c>
      <c r="Q134" s="25" t="s">
        <v>1</v>
      </c>
      <c r="R134" s="25" t="s">
        <v>285</v>
      </c>
      <c r="S134" s="25">
        <v>3</v>
      </c>
      <c r="T134" s="25" t="s">
        <v>3308</v>
      </c>
      <c r="U134" s="25" t="s">
        <v>1</v>
      </c>
      <c r="V134" s="25" t="s">
        <v>1</v>
      </c>
      <c r="W134" s="25" t="s">
        <v>1</v>
      </c>
      <c r="X134" s="25" t="s">
        <v>1</v>
      </c>
      <c r="Y134" s="25" t="s">
        <v>1</v>
      </c>
      <c r="Z134" s="25" t="s">
        <v>1</v>
      </c>
      <c r="AA134" s="1" t="s">
        <v>2141</v>
      </c>
    </row>
    <row r="135" spans="1:28">
      <c r="A135" s="1">
        <f t="shared" si="1"/>
        <v>130</v>
      </c>
      <c r="B135" s="1" t="s">
        <v>3307</v>
      </c>
      <c r="C135" s="26" t="s">
        <v>1729</v>
      </c>
      <c r="D135" s="3">
        <v>100</v>
      </c>
      <c r="E135" s="1" t="s">
        <v>5</v>
      </c>
      <c r="F135" s="3">
        <v>23</v>
      </c>
      <c r="G135" s="4">
        <v>44963</v>
      </c>
      <c r="H135" s="12" t="s">
        <v>3306</v>
      </c>
      <c r="J135" s="1" t="s">
        <v>2626</v>
      </c>
      <c r="K135" s="1" t="s">
        <v>2290</v>
      </c>
      <c r="L135" s="34">
        <v>44621</v>
      </c>
      <c r="N135" s="1" t="s">
        <v>3305</v>
      </c>
      <c r="O135" s="25" t="s">
        <v>4</v>
      </c>
      <c r="P135" s="25">
        <v>5.0999999999999996</v>
      </c>
      <c r="Q135" s="25" t="s">
        <v>1032</v>
      </c>
      <c r="R135" s="25" t="s">
        <v>1</v>
      </c>
      <c r="S135" s="25" t="s">
        <v>1</v>
      </c>
      <c r="T135" s="25" t="s">
        <v>1</v>
      </c>
      <c r="U135" s="25" t="s">
        <v>1</v>
      </c>
      <c r="V135" s="25" t="s">
        <v>1</v>
      </c>
      <c r="W135" s="25" t="s">
        <v>1</v>
      </c>
      <c r="X135" s="25" t="s">
        <v>1</v>
      </c>
      <c r="Y135" s="25" t="s">
        <v>1</v>
      </c>
      <c r="Z135" s="25" t="s">
        <v>1</v>
      </c>
      <c r="AA135" s="1" t="s">
        <v>2415</v>
      </c>
    </row>
    <row r="136" spans="1:28">
      <c r="A136" s="1">
        <f t="shared" ref="A136:A199" si="2">A135+1</f>
        <v>131</v>
      </c>
      <c r="B136" s="1" t="s">
        <v>113</v>
      </c>
      <c r="C136" s="26" t="s">
        <v>1729</v>
      </c>
      <c r="D136" s="3">
        <v>100</v>
      </c>
      <c r="E136" s="1" t="s">
        <v>7</v>
      </c>
      <c r="F136" s="3">
        <v>5</v>
      </c>
      <c r="G136" s="4">
        <v>43903</v>
      </c>
      <c r="H136" s="1" t="s">
        <v>3304</v>
      </c>
      <c r="I136" s="1" t="s">
        <v>3303</v>
      </c>
      <c r="J136" s="1" t="s">
        <v>2091</v>
      </c>
      <c r="K136" s="1" t="s">
        <v>3302</v>
      </c>
      <c r="L136" s="1">
        <v>2015</v>
      </c>
      <c r="N136" s="1" t="s">
        <v>1025</v>
      </c>
      <c r="O136" s="25" t="s">
        <v>7</v>
      </c>
      <c r="P136" s="25" t="s">
        <v>3301</v>
      </c>
      <c r="Q136" s="25" t="s">
        <v>3300</v>
      </c>
      <c r="R136" s="25" t="s">
        <v>5</v>
      </c>
      <c r="S136" s="25">
        <v>15</v>
      </c>
      <c r="T136" s="25" t="s">
        <v>3299</v>
      </c>
      <c r="U136" s="25" t="s">
        <v>1</v>
      </c>
      <c r="V136" s="25" t="s">
        <v>1</v>
      </c>
      <c r="W136" s="25" t="s">
        <v>1</v>
      </c>
      <c r="X136" s="25" t="s">
        <v>1</v>
      </c>
      <c r="Y136" s="25" t="s">
        <v>1</v>
      </c>
      <c r="Z136" s="25" t="s">
        <v>1</v>
      </c>
      <c r="AA136" s="1" t="s">
        <v>2101</v>
      </c>
      <c r="AB136" s="28" t="s">
        <v>3298</v>
      </c>
    </row>
    <row r="137" spans="1:28">
      <c r="A137" s="1">
        <f t="shared" si="2"/>
        <v>132</v>
      </c>
      <c r="B137" s="1" t="s">
        <v>701</v>
      </c>
      <c r="C137" s="26" t="s">
        <v>1729</v>
      </c>
      <c r="D137" s="3">
        <v>100</v>
      </c>
      <c r="E137" s="1" t="s">
        <v>4</v>
      </c>
      <c r="F137" s="3">
        <v>30</v>
      </c>
      <c r="G137" s="4">
        <v>44742</v>
      </c>
      <c r="H137" s="1" t="s">
        <v>3296</v>
      </c>
      <c r="I137" s="1" t="s">
        <v>3297</v>
      </c>
      <c r="J137" s="1" t="s">
        <v>2626</v>
      </c>
      <c r="K137" s="1" t="s">
        <v>2125</v>
      </c>
      <c r="L137" s="34">
        <v>44562</v>
      </c>
      <c r="M137" s="1" t="s">
        <v>3296</v>
      </c>
      <c r="N137" s="1" t="s">
        <v>3295</v>
      </c>
      <c r="O137" s="25" t="s">
        <v>1</v>
      </c>
      <c r="P137" s="25" t="s">
        <v>1</v>
      </c>
      <c r="Q137" s="25" t="s">
        <v>1</v>
      </c>
      <c r="R137" s="25" t="s">
        <v>1</v>
      </c>
      <c r="S137" s="25" t="s">
        <v>1</v>
      </c>
      <c r="T137" s="25" t="s">
        <v>1</v>
      </c>
      <c r="U137" s="25" t="s">
        <v>1</v>
      </c>
      <c r="V137" s="25" t="s">
        <v>1</v>
      </c>
      <c r="W137" s="25" t="s">
        <v>1</v>
      </c>
      <c r="X137" s="25" t="s">
        <v>1</v>
      </c>
      <c r="Y137" s="25" t="s">
        <v>1</v>
      </c>
      <c r="Z137" s="25" t="s">
        <v>1</v>
      </c>
      <c r="AA137" s="1" t="s">
        <v>2415</v>
      </c>
    </row>
    <row r="138" spans="1:28">
      <c r="A138" s="1">
        <f t="shared" si="2"/>
        <v>133</v>
      </c>
      <c r="B138" s="1" t="s">
        <v>1026</v>
      </c>
      <c r="C138" s="26" t="s">
        <v>1729</v>
      </c>
      <c r="D138" s="3">
        <v>100</v>
      </c>
      <c r="E138" s="1" t="s">
        <v>7</v>
      </c>
      <c r="F138" s="3">
        <v>30</v>
      </c>
      <c r="G138" s="31">
        <v>44539</v>
      </c>
      <c r="H138" s="1" t="s">
        <v>3294</v>
      </c>
      <c r="I138" s="1" t="s">
        <v>3293</v>
      </c>
      <c r="J138" s="1" t="s">
        <v>2091</v>
      </c>
      <c r="K138" s="1" t="s">
        <v>2102</v>
      </c>
      <c r="L138" s="44" t="s">
        <v>3046</v>
      </c>
      <c r="N138" s="1" t="s">
        <v>3292</v>
      </c>
      <c r="O138" s="25" t="s">
        <v>5</v>
      </c>
      <c r="P138" s="25">
        <v>11</v>
      </c>
      <c r="Q138" s="25" t="s">
        <v>3291</v>
      </c>
      <c r="R138" s="25" t="s">
        <v>4</v>
      </c>
      <c r="S138" s="25">
        <v>3</v>
      </c>
      <c r="T138" s="25" t="s">
        <v>3290</v>
      </c>
      <c r="U138" s="25" t="s">
        <v>1</v>
      </c>
      <c r="V138" s="25" t="s">
        <v>1</v>
      </c>
      <c r="W138" s="25" t="s">
        <v>1</v>
      </c>
      <c r="X138" s="25" t="s">
        <v>1</v>
      </c>
      <c r="Y138" s="25" t="s">
        <v>1</v>
      </c>
      <c r="Z138" s="25" t="s">
        <v>1</v>
      </c>
      <c r="AA138" s="1" t="s">
        <v>2415</v>
      </c>
    </row>
    <row r="139" spans="1:28">
      <c r="A139" s="1">
        <f t="shared" si="2"/>
        <v>134</v>
      </c>
      <c r="B139" s="1" t="s">
        <v>3289</v>
      </c>
      <c r="C139" s="26" t="s">
        <v>1729</v>
      </c>
      <c r="D139" s="3">
        <v>100</v>
      </c>
      <c r="E139" s="1" t="s">
        <v>5</v>
      </c>
      <c r="F139" s="3">
        <v>30</v>
      </c>
      <c r="G139" s="4">
        <v>44914</v>
      </c>
      <c r="H139" s="1" t="s">
        <v>3288</v>
      </c>
      <c r="I139" s="1" t="s">
        <v>3287</v>
      </c>
      <c r="J139" s="1" t="s">
        <v>2361</v>
      </c>
      <c r="K139" s="1" t="s">
        <v>3286</v>
      </c>
      <c r="L139" s="44" t="s">
        <v>3193</v>
      </c>
      <c r="N139" s="1" t="s">
        <v>3285</v>
      </c>
      <c r="O139" s="25" t="s">
        <v>4</v>
      </c>
      <c r="P139" s="25">
        <v>4</v>
      </c>
      <c r="Q139" s="25" t="s">
        <v>3284</v>
      </c>
      <c r="R139" s="25" t="s">
        <v>1</v>
      </c>
      <c r="S139" s="25" t="s">
        <v>1</v>
      </c>
      <c r="T139" s="25" t="s">
        <v>1</v>
      </c>
      <c r="U139" s="25" t="s">
        <v>1</v>
      </c>
      <c r="V139" s="25" t="s">
        <v>1</v>
      </c>
      <c r="W139" s="25" t="s">
        <v>1</v>
      </c>
      <c r="X139" s="25" t="s">
        <v>1</v>
      </c>
      <c r="Y139" s="25" t="s">
        <v>1</v>
      </c>
      <c r="Z139" s="25" t="s">
        <v>1</v>
      </c>
      <c r="AA139" s="1" t="s">
        <v>2124</v>
      </c>
    </row>
    <row r="140" spans="1:28">
      <c r="A140" s="1">
        <f t="shared" si="2"/>
        <v>135</v>
      </c>
      <c r="B140" s="1" t="s">
        <v>886</v>
      </c>
      <c r="C140" s="26" t="s">
        <v>1729</v>
      </c>
      <c r="D140" s="3">
        <v>100</v>
      </c>
      <c r="E140" s="1" t="s">
        <v>5</v>
      </c>
      <c r="F140" s="3">
        <v>30</v>
      </c>
      <c r="G140" s="31">
        <v>44522</v>
      </c>
      <c r="H140" s="1" t="s">
        <v>3283</v>
      </c>
      <c r="I140" s="1" t="s">
        <v>3282</v>
      </c>
      <c r="J140" s="1" t="s">
        <v>2626</v>
      </c>
      <c r="K140" s="1" t="s">
        <v>2102</v>
      </c>
      <c r="L140" s="44">
        <v>43862</v>
      </c>
      <c r="N140" s="1" t="s">
        <v>3281</v>
      </c>
      <c r="O140" s="25" t="s">
        <v>4</v>
      </c>
      <c r="P140" s="25">
        <v>5.5</v>
      </c>
      <c r="Q140" s="25" t="s">
        <v>3280</v>
      </c>
      <c r="R140" s="25" t="s">
        <v>4</v>
      </c>
      <c r="S140" s="25">
        <v>2</v>
      </c>
      <c r="T140" s="25" t="s">
        <v>1010</v>
      </c>
      <c r="U140" s="25" t="s">
        <v>1</v>
      </c>
      <c r="V140" s="25" t="s">
        <v>1</v>
      </c>
      <c r="W140" s="25" t="s">
        <v>1</v>
      </c>
      <c r="X140" s="25" t="s">
        <v>1</v>
      </c>
      <c r="Y140" s="25" t="s">
        <v>1</v>
      </c>
      <c r="Z140" s="25" t="s">
        <v>1</v>
      </c>
      <c r="AA140" s="1" t="s">
        <v>2128</v>
      </c>
    </row>
    <row r="141" spans="1:28">
      <c r="A141" s="1">
        <f t="shared" si="2"/>
        <v>136</v>
      </c>
      <c r="B141" s="12" t="s">
        <v>3279</v>
      </c>
      <c r="C141" s="35" t="s">
        <v>1729</v>
      </c>
      <c r="D141" s="15">
        <v>100</v>
      </c>
      <c r="E141" s="12" t="s">
        <v>1</v>
      </c>
      <c r="F141" s="15">
        <v>18.5</v>
      </c>
      <c r="G141" s="14">
        <v>45063</v>
      </c>
      <c r="H141" s="12" t="s">
        <v>3278</v>
      </c>
      <c r="I141" s="12" t="s">
        <v>3277</v>
      </c>
      <c r="J141" s="12" t="s">
        <v>2626</v>
      </c>
      <c r="K141" s="1" t="s">
        <v>2578</v>
      </c>
      <c r="L141" s="34">
        <v>44652</v>
      </c>
      <c r="N141" s="45" t="s">
        <v>3276</v>
      </c>
      <c r="O141" s="25" t="s">
        <v>4</v>
      </c>
      <c r="P141" s="25" t="s">
        <v>1</v>
      </c>
      <c r="Q141" s="25" t="s">
        <v>3275</v>
      </c>
      <c r="R141" s="25" t="s">
        <v>4</v>
      </c>
      <c r="S141" s="25">
        <v>2</v>
      </c>
      <c r="T141" s="25" t="s">
        <v>3274</v>
      </c>
      <c r="U141" s="25" t="s">
        <v>1</v>
      </c>
      <c r="V141" s="25" t="s">
        <v>1</v>
      </c>
      <c r="W141" s="25" t="s">
        <v>1</v>
      </c>
      <c r="X141" s="25" t="s">
        <v>1</v>
      </c>
      <c r="Y141" s="25" t="s">
        <v>1</v>
      </c>
      <c r="Z141" s="25" t="s">
        <v>1</v>
      </c>
      <c r="AA141" s="1" t="s">
        <v>2101</v>
      </c>
    </row>
    <row r="142" spans="1:28">
      <c r="A142" s="1">
        <f t="shared" si="2"/>
        <v>137</v>
      </c>
      <c r="B142" s="1" t="s">
        <v>708</v>
      </c>
      <c r="C142" s="26" t="s">
        <v>1729</v>
      </c>
      <c r="D142" s="3">
        <v>110</v>
      </c>
      <c r="E142" s="1" t="s">
        <v>5</v>
      </c>
      <c r="F142" s="3">
        <v>23.5</v>
      </c>
      <c r="G142" s="4">
        <v>44875</v>
      </c>
      <c r="H142" s="1" t="s">
        <v>3273</v>
      </c>
      <c r="I142" s="1" t="s">
        <v>3272</v>
      </c>
      <c r="J142" s="1" t="s">
        <v>2091</v>
      </c>
      <c r="K142" s="1" t="s">
        <v>2626</v>
      </c>
      <c r="L142" s="32">
        <v>44292</v>
      </c>
      <c r="N142" s="1" t="s">
        <v>3271</v>
      </c>
      <c r="O142" s="25" t="s">
        <v>4</v>
      </c>
      <c r="P142" s="25">
        <v>5.6</v>
      </c>
      <c r="Q142" s="25" t="s">
        <v>3270</v>
      </c>
      <c r="R142" s="25" t="s">
        <v>285</v>
      </c>
      <c r="S142" s="25" t="s">
        <v>1</v>
      </c>
      <c r="T142" s="25" t="s">
        <v>3269</v>
      </c>
      <c r="U142" s="25" t="s">
        <v>1</v>
      </c>
      <c r="V142" s="25" t="s">
        <v>1</v>
      </c>
      <c r="W142" s="25" t="s">
        <v>1</v>
      </c>
      <c r="X142" s="25" t="s">
        <v>1</v>
      </c>
      <c r="Y142" s="25" t="s">
        <v>1</v>
      </c>
      <c r="Z142" s="25" t="s">
        <v>1</v>
      </c>
      <c r="AA142" s="1" t="s">
        <v>3268</v>
      </c>
    </row>
    <row r="143" spans="1:28">
      <c r="A143" s="1">
        <f t="shared" si="2"/>
        <v>138</v>
      </c>
      <c r="B143" s="1" t="s">
        <v>697</v>
      </c>
      <c r="C143" s="26" t="s">
        <v>1729</v>
      </c>
      <c r="D143" s="3">
        <v>100</v>
      </c>
      <c r="E143" s="1" t="s">
        <v>4</v>
      </c>
      <c r="F143" s="3">
        <v>30</v>
      </c>
      <c r="G143" s="4">
        <v>44601</v>
      </c>
      <c r="H143" s="1" t="s">
        <v>2368</v>
      </c>
      <c r="I143" s="1" t="s">
        <v>3267</v>
      </c>
      <c r="J143" s="1" t="s">
        <v>2368</v>
      </c>
      <c r="K143" s="1" t="s">
        <v>2402</v>
      </c>
      <c r="L143" s="1">
        <v>2021</v>
      </c>
      <c r="N143" s="1" t="s">
        <v>3266</v>
      </c>
      <c r="O143" s="25" t="s">
        <v>1</v>
      </c>
      <c r="P143" s="25" t="s">
        <v>1</v>
      </c>
      <c r="Q143" s="25" t="s">
        <v>1</v>
      </c>
      <c r="R143" s="25" t="s">
        <v>1</v>
      </c>
      <c r="S143" s="25" t="s">
        <v>1</v>
      </c>
      <c r="T143" s="25" t="s">
        <v>1</v>
      </c>
      <c r="U143" s="25" t="s">
        <v>1</v>
      </c>
      <c r="V143" s="25" t="s">
        <v>1</v>
      </c>
      <c r="W143" s="25" t="s">
        <v>1</v>
      </c>
      <c r="X143" s="25" t="s">
        <v>1</v>
      </c>
      <c r="Y143" s="25" t="s">
        <v>1</v>
      </c>
      <c r="Z143" s="25" t="s">
        <v>1</v>
      </c>
      <c r="AA143" s="1" t="s">
        <v>3265</v>
      </c>
    </row>
    <row r="144" spans="1:28">
      <c r="A144" s="1">
        <f t="shared" si="2"/>
        <v>139</v>
      </c>
      <c r="B144" s="1" t="s">
        <v>3264</v>
      </c>
      <c r="C144" s="26" t="s">
        <v>1729</v>
      </c>
      <c r="D144" s="3">
        <v>100</v>
      </c>
      <c r="E144" s="1" t="s">
        <v>1</v>
      </c>
      <c r="F144" s="3">
        <v>29</v>
      </c>
      <c r="G144" s="31">
        <v>44368</v>
      </c>
      <c r="H144" s="1" t="s">
        <v>3263</v>
      </c>
      <c r="I144" s="1" t="s">
        <v>3262</v>
      </c>
      <c r="J144" s="1" t="s">
        <v>2091</v>
      </c>
      <c r="K144" s="1" t="s">
        <v>2147</v>
      </c>
      <c r="L144" s="34">
        <v>43344</v>
      </c>
      <c r="N144" s="1" t="s">
        <v>3261</v>
      </c>
      <c r="O144" s="25" t="s">
        <v>1</v>
      </c>
      <c r="P144" s="25" t="s">
        <v>1</v>
      </c>
      <c r="Q144" s="25" t="s">
        <v>1</v>
      </c>
      <c r="R144" s="25" t="s">
        <v>1</v>
      </c>
      <c r="S144" s="25" t="s">
        <v>1</v>
      </c>
      <c r="T144" s="25" t="s">
        <v>1</v>
      </c>
      <c r="U144" s="25" t="s">
        <v>1</v>
      </c>
      <c r="V144" s="25" t="s">
        <v>1</v>
      </c>
      <c r="W144" s="25" t="s">
        <v>1</v>
      </c>
      <c r="X144" s="25" t="s">
        <v>1</v>
      </c>
      <c r="Y144" s="25" t="s">
        <v>1</v>
      </c>
      <c r="Z144" s="25" t="s">
        <v>1</v>
      </c>
      <c r="AA144" s="1" t="s">
        <v>2101</v>
      </c>
    </row>
    <row r="145" spans="1:28">
      <c r="A145" s="1">
        <f t="shared" si="2"/>
        <v>140</v>
      </c>
      <c r="B145" s="1" t="s">
        <v>3260</v>
      </c>
      <c r="C145" s="26" t="s">
        <v>1729</v>
      </c>
      <c r="D145" s="3">
        <v>100</v>
      </c>
      <c r="E145" s="1" t="s">
        <v>5</v>
      </c>
      <c r="F145" s="3">
        <v>28</v>
      </c>
      <c r="G145" s="31">
        <v>44442</v>
      </c>
      <c r="H145" s="1" t="s">
        <v>3259</v>
      </c>
      <c r="J145" s="1" t="s">
        <v>3258</v>
      </c>
      <c r="K145" s="1" t="s">
        <v>3258</v>
      </c>
      <c r="L145" s="44" t="s">
        <v>3193</v>
      </c>
      <c r="N145" s="1" t="s">
        <v>3257</v>
      </c>
      <c r="O145" s="25" t="s">
        <v>1</v>
      </c>
      <c r="P145" s="25" t="s">
        <v>1</v>
      </c>
      <c r="Q145" s="25" t="s">
        <v>1</v>
      </c>
      <c r="R145" s="25" t="s">
        <v>1</v>
      </c>
      <c r="S145" s="25" t="s">
        <v>1</v>
      </c>
      <c r="T145" s="25" t="s">
        <v>1</v>
      </c>
      <c r="U145" s="25" t="s">
        <v>1</v>
      </c>
      <c r="V145" s="25" t="s">
        <v>1</v>
      </c>
      <c r="W145" s="25" t="s">
        <v>1</v>
      </c>
      <c r="X145" s="25" t="s">
        <v>1</v>
      </c>
      <c r="Y145" s="25" t="s">
        <v>1</v>
      </c>
      <c r="Z145" s="25" t="s">
        <v>1</v>
      </c>
      <c r="AA145" s="1" t="s">
        <v>2321</v>
      </c>
    </row>
    <row r="146" spans="1:28">
      <c r="A146" s="1">
        <f t="shared" si="2"/>
        <v>141</v>
      </c>
      <c r="B146" s="1" t="s">
        <v>3256</v>
      </c>
      <c r="C146" s="26" t="s">
        <v>1729</v>
      </c>
      <c r="D146" s="3">
        <v>100</v>
      </c>
      <c r="E146" s="1" t="s">
        <v>5</v>
      </c>
      <c r="F146" s="3">
        <v>28</v>
      </c>
      <c r="G146" s="4">
        <v>44656</v>
      </c>
      <c r="H146" s="1" t="s">
        <v>3255</v>
      </c>
      <c r="J146" s="1" t="s">
        <v>2361</v>
      </c>
      <c r="K146" s="1" t="s">
        <v>3254</v>
      </c>
      <c r="L146" s="44">
        <v>43556</v>
      </c>
      <c r="N146" s="1" t="s">
        <v>3253</v>
      </c>
      <c r="O146" s="25" t="s">
        <v>4</v>
      </c>
      <c r="P146" s="25">
        <v>5</v>
      </c>
      <c r="Q146" s="25" t="s">
        <v>3252</v>
      </c>
      <c r="R146" s="25" t="s">
        <v>560</v>
      </c>
      <c r="S146" s="25" t="s">
        <v>1</v>
      </c>
      <c r="T146" s="25" t="s">
        <v>3251</v>
      </c>
      <c r="U146" s="25" t="s">
        <v>4</v>
      </c>
      <c r="V146" s="25" t="s">
        <v>1</v>
      </c>
      <c r="W146" s="25" t="s">
        <v>3250</v>
      </c>
      <c r="X146" s="25" t="s">
        <v>1</v>
      </c>
      <c r="Y146" s="25" t="s">
        <v>1</v>
      </c>
      <c r="Z146" s="25" t="s">
        <v>1</v>
      </c>
      <c r="AA146" s="1" t="s">
        <v>3249</v>
      </c>
    </row>
    <row r="147" spans="1:28">
      <c r="A147" s="1">
        <f t="shared" si="2"/>
        <v>142</v>
      </c>
      <c r="B147" s="1" t="s">
        <v>115</v>
      </c>
      <c r="C147" s="26" t="s">
        <v>1729</v>
      </c>
      <c r="D147" s="3">
        <v>100</v>
      </c>
      <c r="E147" s="1" t="s">
        <v>5</v>
      </c>
      <c r="F147" s="3">
        <v>25</v>
      </c>
      <c r="G147" s="4">
        <v>44510</v>
      </c>
      <c r="H147" s="1" t="s">
        <v>3248</v>
      </c>
      <c r="I147" s="1" t="s">
        <v>3247</v>
      </c>
      <c r="J147" s="1" t="s">
        <v>2091</v>
      </c>
      <c r="K147" s="1" t="s">
        <v>2108</v>
      </c>
      <c r="L147" s="1">
        <v>2018</v>
      </c>
      <c r="N147" s="1" t="s">
        <v>3246</v>
      </c>
      <c r="O147" s="25" t="s">
        <v>4</v>
      </c>
      <c r="P147" s="25">
        <v>8</v>
      </c>
      <c r="Q147" s="25" t="s">
        <v>3245</v>
      </c>
      <c r="AA147" s="1" t="s">
        <v>2132</v>
      </c>
      <c r="AB147" s="28" t="s">
        <v>3244</v>
      </c>
    </row>
    <row r="148" spans="1:28" s="12" customFormat="1">
      <c r="A148" s="1">
        <f t="shared" si="2"/>
        <v>143</v>
      </c>
      <c r="B148" s="12" t="s">
        <v>3243</v>
      </c>
      <c r="C148" s="35" t="s">
        <v>1729</v>
      </c>
      <c r="D148" s="15">
        <v>100</v>
      </c>
      <c r="E148" s="12" t="s">
        <v>4</v>
      </c>
      <c r="F148" s="15">
        <v>20</v>
      </c>
      <c r="G148" s="14">
        <v>44792</v>
      </c>
      <c r="H148" s="12" t="s">
        <v>3241</v>
      </c>
      <c r="I148" s="12" t="s">
        <v>3242</v>
      </c>
      <c r="J148" s="12" t="s">
        <v>2091</v>
      </c>
      <c r="K148" s="12" t="s">
        <v>3241</v>
      </c>
      <c r="L148" s="46" t="s">
        <v>3240</v>
      </c>
      <c r="M148" s="12" t="s">
        <v>3239</v>
      </c>
      <c r="N148" s="12" t="s">
        <v>3238</v>
      </c>
      <c r="O148" s="24" t="s">
        <v>1</v>
      </c>
      <c r="P148" s="24" t="s">
        <v>1</v>
      </c>
      <c r="Q148" s="24" t="s">
        <v>1</v>
      </c>
      <c r="R148" s="24" t="s">
        <v>1</v>
      </c>
      <c r="S148" s="24" t="s">
        <v>1</v>
      </c>
      <c r="T148" s="24" t="s">
        <v>1</v>
      </c>
      <c r="U148" s="24" t="s">
        <v>1</v>
      </c>
      <c r="V148" s="24" t="s">
        <v>1</v>
      </c>
      <c r="W148" s="24" t="s">
        <v>1</v>
      </c>
      <c r="X148" s="24" t="s">
        <v>1</v>
      </c>
      <c r="Y148" s="24" t="s">
        <v>1</v>
      </c>
      <c r="Z148" s="24" t="s">
        <v>1</v>
      </c>
      <c r="AA148" s="12" t="s">
        <v>3237</v>
      </c>
    </row>
    <row r="149" spans="1:28">
      <c r="A149" s="1">
        <f t="shared" si="2"/>
        <v>144</v>
      </c>
      <c r="B149" s="1" t="s">
        <v>3236</v>
      </c>
      <c r="C149" s="26" t="s">
        <v>1729</v>
      </c>
      <c r="D149" s="3">
        <v>100</v>
      </c>
      <c r="E149" s="1" t="s">
        <v>5</v>
      </c>
      <c r="F149" s="3">
        <v>25</v>
      </c>
      <c r="G149" s="4">
        <v>44404</v>
      </c>
      <c r="H149" s="1" t="s">
        <v>2442</v>
      </c>
      <c r="I149" s="1" t="s">
        <v>3235</v>
      </c>
      <c r="J149" s="1" t="s">
        <v>2626</v>
      </c>
      <c r="K149" s="1" t="s">
        <v>3234</v>
      </c>
      <c r="L149" s="44">
        <v>43496</v>
      </c>
      <c r="N149" s="45" t="s">
        <v>3233</v>
      </c>
      <c r="O149" s="25" t="s">
        <v>4</v>
      </c>
      <c r="P149" s="25" t="s">
        <v>3232</v>
      </c>
      <c r="Q149" s="25" t="s">
        <v>1</v>
      </c>
      <c r="R149" s="25" t="s">
        <v>1</v>
      </c>
      <c r="S149" s="25" t="s">
        <v>1</v>
      </c>
      <c r="T149" s="25" t="s">
        <v>1</v>
      </c>
      <c r="U149" s="25" t="s">
        <v>1</v>
      </c>
      <c r="V149" s="25" t="s">
        <v>1</v>
      </c>
      <c r="W149" s="25" t="s">
        <v>1</v>
      </c>
      <c r="X149" s="25" t="s">
        <v>1</v>
      </c>
      <c r="Y149" s="25" t="s">
        <v>1</v>
      </c>
      <c r="Z149" s="25" t="s">
        <v>1</v>
      </c>
      <c r="AA149" s="1" t="s">
        <v>3231</v>
      </c>
    </row>
    <row r="150" spans="1:28">
      <c r="A150" s="1">
        <f t="shared" si="2"/>
        <v>145</v>
      </c>
      <c r="B150" s="1" t="s">
        <v>3230</v>
      </c>
      <c r="C150" s="26" t="s">
        <v>1729</v>
      </c>
      <c r="D150" s="3">
        <v>100</v>
      </c>
      <c r="E150" s="1" t="s">
        <v>1</v>
      </c>
      <c r="F150" s="3">
        <v>26</v>
      </c>
      <c r="G150" s="31">
        <v>43852</v>
      </c>
      <c r="H150" s="1" t="s">
        <v>3229</v>
      </c>
      <c r="J150" s="1" t="s">
        <v>2091</v>
      </c>
      <c r="K150" s="1" t="s">
        <v>2283</v>
      </c>
      <c r="L150" s="44">
        <v>43374</v>
      </c>
      <c r="N150" s="1" t="s">
        <v>1</v>
      </c>
      <c r="O150" s="1" t="s">
        <v>1</v>
      </c>
      <c r="P150" s="1" t="s">
        <v>1</v>
      </c>
      <c r="Q150" s="1" t="s">
        <v>1</v>
      </c>
      <c r="R150" s="1" t="s">
        <v>1</v>
      </c>
      <c r="S150" s="1" t="s">
        <v>1</v>
      </c>
      <c r="T150" s="1" t="s">
        <v>1</v>
      </c>
      <c r="U150" s="1" t="s">
        <v>1</v>
      </c>
      <c r="V150" s="1" t="s">
        <v>1</v>
      </c>
      <c r="W150" s="1" t="s">
        <v>1</v>
      </c>
      <c r="X150" s="1" t="s">
        <v>1</v>
      </c>
      <c r="Y150" s="1" t="s">
        <v>1</v>
      </c>
      <c r="Z150" s="1" t="s">
        <v>1</v>
      </c>
      <c r="AA150" s="1" t="s">
        <v>2415</v>
      </c>
    </row>
    <row r="151" spans="1:28">
      <c r="A151" s="1">
        <f t="shared" si="2"/>
        <v>146</v>
      </c>
      <c r="B151" s="12" t="s">
        <v>3228</v>
      </c>
      <c r="C151" s="35" t="s">
        <v>1729</v>
      </c>
      <c r="D151" s="15">
        <v>100</v>
      </c>
      <c r="E151" s="12" t="s">
        <v>5</v>
      </c>
      <c r="F151" s="15">
        <v>25</v>
      </c>
      <c r="G151" s="14">
        <v>44013</v>
      </c>
      <c r="H151" s="12" t="s">
        <v>3208</v>
      </c>
      <c r="I151" s="12" t="s">
        <v>3227</v>
      </c>
      <c r="J151" s="12" t="s">
        <v>2626</v>
      </c>
      <c r="K151" s="12" t="s">
        <v>2102</v>
      </c>
      <c r="L151" s="46" t="s">
        <v>3193</v>
      </c>
      <c r="N151" s="1" t="s">
        <v>1</v>
      </c>
      <c r="O151" s="1" t="s">
        <v>1</v>
      </c>
      <c r="P151" s="1" t="s">
        <v>1</v>
      </c>
      <c r="Q151" s="1" t="s">
        <v>1</v>
      </c>
      <c r="R151" s="1" t="s">
        <v>1</v>
      </c>
      <c r="S151" s="1" t="s">
        <v>1</v>
      </c>
      <c r="T151" s="1" t="s">
        <v>1</v>
      </c>
      <c r="U151" s="1" t="s">
        <v>1</v>
      </c>
      <c r="V151" s="1" t="s">
        <v>1</v>
      </c>
      <c r="W151" s="1" t="s">
        <v>1</v>
      </c>
      <c r="X151" s="1" t="s">
        <v>1</v>
      </c>
      <c r="Y151" s="1" t="s">
        <v>1</v>
      </c>
      <c r="Z151" s="1" t="s">
        <v>1</v>
      </c>
      <c r="AA151" s="1" t="s">
        <v>2415</v>
      </c>
    </row>
    <row r="152" spans="1:28">
      <c r="A152" s="1">
        <f t="shared" si="2"/>
        <v>147</v>
      </c>
      <c r="B152" s="1" t="s">
        <v>700</v>
      </c>
      <c r="C152" s="26" t="s">
        <v>1729</v>
      </c>
      <c r="D152" s="3">
        <v>100</v>
      </c>
      <c r="E152" s="1" t="s">
        <v>5</v>
      </c>
      <c r="F152" s="3">
        <f>12.2+16.3</f>
        <v>28.5</v>
      </c>
      <c r="G152" s="4">
        <v>45077</v>
      </c>
      <c r="H152" s="1" t="s">
        <v>3226</v>
      </c>
      <c r="I152" s="1" t="s">
        <v>3225</v>
      </c>
      <c r="J152" s="1" t="s">
        <v>2091</v>
      </c>
      <c r="K152" s="1" t="s">
        <v>2102</v>
      </c>
      <c r="L152" s="1">
        <v>2021</v>
      </c>
      <c r="N152" s="1" t="s">
        <v>3224</v>
      </c>
      <c r="O152" s="25" t="s">
        <v>1</v>
      </c>
      <c r="P152" s="25" t="s">
        <v>1</v>
      </c>
      <c r="Q152" s="25" t="s">
        <v>1</v>
      </c>
      <c r="R152" s="25" t="s">
        <v>1</v>
      </c>
      <c r="S152" s="25" t="s">
        <v>1</v>
      </c>
      <c r="T152" s="25" t="s">
        <v>1</v>
      </c>
      <c r="U152" s="25" t="s">
        <v>1</v>
      </c>
      <c r="V152" s="25" t="s">
        <v>1</v>
      </c>
      <c r="W152" s="25" t="s">
        <v>1</v>
      </c>
      <c r="X152" s="25" t="s">
        <v>1</v>
      </c>
      <c r="Y152" s="25" t="s">
        <v>1</v>
      </c>
      <c r="Z152" s="25" t="s">
        <v>1</v>
      </c>
      <c r="AA152" s="1" t="s">
        <v>2415</v>
      </c>
    </row>
    <row r="153" spans="1:28">
      <c r="A153" s="1">
        <f t="shared" si="2"/>
        <v>148</v>
      </c>
      <c r="B153" s="1" t="s">
        <v>367</v>
      </c>
      <c r="C153" s="26" t="s">
        <v>1729</v>
      </c>
      <c r="D153" s="3">
        <v>100</v>
      </c>
      <c r="E153" s="1" t="s">
        <v>7</v>
      </c>
      <c r="F153" s="3">
        <v>27.5</v>
      </c>
      <c r="G153" s="4">
        <v>44181</v>
      </c>
      <c r="H153" s="1" t="s">
        <v>3223</v>
      </c>
      <c r="I153" s="1" t="s">
        <v>3222</v>
      </c>
      <c r="J153" s="1" t="s">
        <v>2361</v>
      </c>
      <c r="K153" s="1" t="s">
        <v>3097</v>
      </c>
      <c r="L153" s="1">
        <v>2017</v>
      </c>
      <c r="M153" s="1" t="s">
        <v>3221</v>
      </c>
      <c r="N153" s="1" t="s">
        <v>3220</v>
      </c>
      <c r="O153" s="25" t="s">
        <v>5</v>
      </c>
      <c r="P153" s="25">
        <v>10.7</v>
      </c>
      <c r="Q153" s="25" t="s">
        <v>3219</v>
      </c>
      <c r="R153" s="25" t="s">
        <v>1</v>
      </c>
      <c r="S153" s="25" t="s">
        <v>1</v>
      </c>
      <c r="T153" s="25" t="s">
        <v>1</v>
      </c>
      <c r="U153" s="25" t="s">
        <v>1</v>
      </c>
      <c r="V153" s="25" t="s">
        <v>1</v>
      </c>
      <c r="W153" s="25" t="s">
        <v>1</v>
      </c>
      <c r="X153" s="25" t="s">
        <v>1</v>
      </c>
      <c r="Y153" s="25" t="s">
        <v>1</v>
      </c>
      <c r="Z153" s="25" t="s">
        <v>1</v>
      </c>
      <c r="AA153" s="1" t="s">
        <v>2204</v>
      </c>
    </row>
    <row r="154" spans="1:28">
      <c r="A154" s="1">
        <f t="shared" si="2"/>
        <v>149</v>
      </c>
      <c r="B154" s="1" t="s">
        <v>3218</v>
      </c>
      <c r="C154" s="26" t="s">
        <v>1729</v>
      </c>
      <c r="D154" s="3">
        <v>100</v>
      </c>
      <c r="E154" s="1" t="s">
        <v>5</v>
      </c>
      <c r="F154" s="3">
        <v>27</v>
      </c>
      <c r="G154" s="31">
        <v>44299</v>
      </c>
      <c r="H154" s="1" t="s">
        <v>3217</v>
      </c>
      <c r="J154" s="1" t="s">
        <v>2626</v>
      </c>
      <c r="K154" s="1" t="s">
        <v>3216</v>
      </c>
      <c r="L154" s="1">
        <v>2021</v>
      </c>
      <c r="N154" s="1" t="s">
        <v>1</v>
      </c>
      <c r="O154" s="1" t="s">
        <v>1</v>
      </c>
      <c r="P154" s="1" t="s">
        <v>1</v>
      </c>
      <c r="Q154" s="1" t="s">
        <v>1</v>
      </c>
      <c r="R154" s="1" t="s">
        <v>1</v>
      </c>
      <c r="S154" s="1" t="s">
        <v>1</v>
      </c>
      <c r="T154" s="1" t="s">
        <v>1</v>
      </c>
      <c r="U154" s="1" t="s">
        <v>1</v>
      </c>
      <c r="V154" s="1" t="s">
        <v>1</v>
      </c>
      <c r="W154" s="1" t="s">
        <v>1</v>
      </c>
      <c r="X154" s="1" t="s">
        <v>1</v>
      </c>
      <c r="Y154" s="1" t="s">
        <v>1</v>
      </c>
      <c r="Z154" s="1" t="s">
        <v>1</v>
      </c>
      <c r="AA154" s="1" t="s">
        <v>3215</v>
      </c>
    </row>
    <row r="155" spans="1:28">
      <c r="A155" s="1">
        <f t="shared" si="2"/>
        <v>150</v>
      </c>
      <c r="B155" s="1" t="s">
        <v>3214</v>
      </c>
      <c r="C155" s="26" t="s">
        <v>1729</v>
      </c>
      <c r="D155" s="3">
        <v>100</v>
      </c>
      <c r="E155" s="1" t="s">
        <v>7</v>
      </c>
      <c r="F155" s="3">
        <v>27</v>
      </c>
      <c r="G155" s="4">
        <v>44882</v>
      </c>
      <c r="H155" s="1" t="s">
        <v>3213</v>
      </c>
      <c r="I155" s="1" t="s">
        <v>3212</v>
      </c>
      <c r="J155" s="1" t="s">
        <v>2361</v>
      </c>
      <c r="K155" s="1" t="s">
        <v>2343</v>
      </c>
      <c r="L155" s="1">
        <v>2016</v>
      </c>
      <c r="N155" s="1" t="s">
        <v>3211</v>
      </c>
      <c r="O155" s="25" t="s">
        <v>5</v>
      </c>
      <c r="P155" s="25">
        <v>11</v>
      </c>
      <c r="Q155" s="25" t="s">
        <v>3210</v>
      </c>
      <c r="R155" s="25" t="s">
        <v>4</v>
      </c>
      <c r="S155" s="25" t="s">
        <v>1</v>
      </c>
      <c r="T155" s="25" t="s">
        <v>3209</v>
      </c>
      <c r="U155" s="25" t="s">
        <v>1</v>
      </c>
      <c r="V155" s="25" t="s">
        <v>1</v>
      </c>
      <c r="W155" s="25" t="s">
        <v>1</v>
      </c>
      <c r="X155" s="25" t="s">
        <v>1</v>
      </c>
      <c r="Y155" s="25" t="s">
        <v>1</v>
      </c>
      <c r="Z155" s="25" t="s">
        <v>1</v>
      </c>
      <c r="AA155" s="1" t="s">
        <v>2415</v>
      </c>
    </row>
    <row r="156" spans="1:28">
      <c r="A156" s="1">
        <f t="shared" si="2"/>
        <v>151</v>
      </c>
      <c r="B156" s="1" t="s">
        <v>1017</v>
      </c>
      <c r="C156" s="26" t="s">
        <v>1729</v>
      </c>
      <c r="D156" s="3">
        <v>100</v>
      </c>
      <c r="E156" s="1" t="s">
        <v>5</v>
      </c>
      <c r="F156" s="3">
        <v>25</v>
      </c>
      <c r="G156" s="4">
        <v>44699</v>
      </c>
      <c r="H156" s="1" t="s">
        <v>3208</v>
      </c>
      <c r="I156" s="1" t="s">
        <v>3207</v>
      </c>
      <c r="J156" s="1" t="s">
        <v>2626</v>
      </c>
      <c r="K156" s="1" t="s">
        <v>2102</v>
      </c>
      <c r="L156" s="43" t="s">
        <v>3046</v>
      </c>
      <c r="N156" s="1" t="s">
        <v>3206</v>
      </c>
      <c r="O156" s="1" t="s">
        <v>1</v>
      </c>
      <c r="P156" s="1" t="s">
        <v>1</v>
      </c>
      <c r="Q156" s="1" t="s">
        <v>1</v>
      </c>
      <c r="R156" s="1" t="s">
        <v>1</v>
      </c>
      <c r="S156" s="1" t="s">
        <v>1</v>
      </c>
      <c r="T156" s="1" t="s">
        <v>1</v>
      </c>
      <c r="U156" s="1" t="s">
        <v>1</v>
      </c>
      <c r="V156" s="1" t="s">
        <v>1</v>
      </c>
      <c r="W156" s="1" t="s">
        <v>1</v>
      </c>
      <c r="X156" s="1" t="s">
        <v>1</v>
      </c>
      <c r="Y156" s="1" t="s">
        <v>1</v>
      </c>
      <c r="Z156" s="1" t="s">
        <v>1</v>
      </c>
      <c r="AA156" s="1" t="s">
        <v>2415</v>
      </c>
    </row>
    <row r="157" spans="1:28">
      <c r="A157" s="1">
        <f t="shared" si="2"/>
        <v>152</v>
      </c>
      <c r="B157" s="1" t="s">
        <v>1107</v>
      </c>
      <c r="C157" s="26" t="s">
        <v>1729</v>
      </c>
      <c r="D157" s="3">
        <v>100</v>
      </c>
      <c r="E157" s="1" t="s">
        <v>5</v>
      </c>
      <c r="F157" s="3">
        <v>25</v>
      </c>
      <c r="G157" s="4">
        <v>44679</v>
      </c>
      <c r="H157" s="1" t="s">
        <v>3205</v>
      </c>
      <c r="I157" s="1" t="s">
        <v>3204</v>
      </c>
      <c r="J157" s="1" t="s">
        <v>2626</v>
      </c>
      <c r="K157" s="1" t="s">
        <v>2102</v>
      </c>
      <c r="L157" s="1">
        <v>2021</v>
      </c>
      <c r="N157" s="1" t="s">
        <v>3203</v>
      </c>
      <c r="O157" s="25" t="s">
        <v>4</v>
      </c>
      <c r="P157" s="25">
        <v>3</v>
      </c>
      <c r="Q157" s="25" t="s">
        <v>3202</v>
      </c>
      <c r="R157" s="1" t="s">
        <v>1</v>
      </c>
      <c r="S157" s="1" t="s">
        <v>1</v>
      </c>
      <c r="T157" s="1" t="s">
        <v>1</v>
      </c>
      <c r="U157" s="1" t="s">
        <v>1</v>
      </c>
      <c r="V157" s="1" t="s">
        <v>1</v>
      </c>
      <c r="W157" s="1" t="s">
        <v>1</v>
      </c>
      <c r="X157" s="1" t="s">
        <v>1</v>
      </c>
      <c r="Y157" s="1" t="s">
        <v>1</v>
      </c>
      <c r="Z157" s="1" t="s">
        <v>1</v>
      </c>
      <c r="AA157" s="1" t="s">
        <v>3201</v>
      </c>
    </row>
    <row r="158" spans="1:28">
      <c r="A158" s="1">
        <f t="shared" si="2"/>
        <v>153</v>
      </c>
      <c r="B158" s="1" t="s">
        <v>3200</v>
      </c>
      <c r="C158" s="26" t="s">
        <v>1729</v>
      </c>
      <c r="D158" s="3">
        <v>100</v>
      </c>
      <c r="E158" s="1" t="s">
        <v>5</v>
      </c>
      <c r="F158" s="3">
        <v>25</v>
      </c>
      <c r="G158" s="31">
        <v>44404</v>
      </c>
      <c r="H158" s="1" t="s">
        <v>3199</v>
      </c>
      <c r="I158" s="1" t="s">
        <v>3198</v>
      </c>
      <c r="J158" s="1" t="s">
        <v>2626</v>
      </c>
      <c r="K158" s="1" t="s">
        <v>2102</v>
      </c>
      <c r="L158" s="34">
        <v>43435</v>
      </c>
      <c r="N158" s="45" t="s">
        <v>3197</v>
      </c>
      <c r="O158" s="25" t="s">
        <v>4</v>
      </c>
      <c r="P158" s="25">
        <v>6</v>
      </c>
      <c r="Q158" s="25" t="s">
        <v>3196</v>
      </c>
      <c r="R158" s="25" t="s">
        <v>1</v>
      </c>
      <c r="S158" s="1" t="s">
        <v>1</v>
      </c>
      <c r="T158" s="1" t="s">
        <v>1</v>
      </c>
      <c r="U158" s="1" t="s">
        <v>1</v>
      </c>
      <c r="V158" s="1" t="s">
        <v>1</v>
      </c>
      <c r="W158" s="1" t="s">
        <v>1</v>
      </c>
      <c r="X158" s="1" t="s">
        <v>1</v>
      </c>
      <c r="Y158" s="1" t="s">
        <v>1</v>
      </c>
      <c r="Z158" s="1" t="s">
        <v>1</v>
      </c>
      <c r="AA158" s="1" t="s">
        <v>2197</v>
      </c>
    </row>
    <row r="159" spans="1:28">
      <c r="A159" s="1">
        <f t="shared" si="2"/>
        <v>154</v>
      </c>
      <c r="B159" s="1" t="s">
        <v>942</v>
      </c>
      <c r="C159" s="26" t="s">
        <v>1729</v>
      </c>
      <c r="D159" s="3">
        <v>100</v>
      </c>
      <c r="E159" s="1" t="s">
        <v>5</v>
      </c>
      <c r="F159" s="3">
        <v>25</v>
      </c>
      <c r="G159" s="4">
        <v>44944</v>
      </c>
      <c r="H159" s="1" t="s">
        <v>3195</v>
      </c>
      <c r="I159" s="1" t="s">
        <v>3194</v>
      </c>
      <c r="J159" s="1" t="s">
        <v>2091</v>
      </c>
      <c r="K159" s="1" t="s">
        <v>2578</v>
      </c>
      <c r="L159" s="44" t="s">
        <v>3193</v>
      </c>
      <c r="N159" s="1" t="s">
        <v>3192</v>
      </c>
      <c r="O159" s="25" t="s">
        <v>4</v>
      </c>
      <c r="P159" s="25">
        <v>5</v>
      </c>
      <c r="Q159" s="25" t="s">
        <v>997</v>
      </c>
      <c r="R159" s="25" t="s">
        <v>285</v>
      </c>
      <c r="S159" s="25">
        <v>3</v>
      </c>
      <c r="T159" s="25" t="s">
        <v>1</v>
      </c>
      <c r="U159" s="1" t="s">
        <v>1</v>
      </c>
      <c r="V159" s="1" t="s">
        <v>1</v>
      </c>
      <c r="W159" s="1" t="s">
        <v>1</v>
      </c>
      <c r="X159" s="1" t="s">
        <v>1</v>
      </c>
      <c r="Y159" s="1" t="s">
        <v>1</v>
      </c>
      <c r="Z159" s="1" t="s">
        <v>1</v>
      </c>
      <c r="AA159" s="1" t="s">
        <v>2124</v>
      </c>
    </row>
    <row r="160" spans="1:28">
      <c r="A160" s="1">
        <f t="shared" si="2"/>
        <v>155</v>
      </c>
      <c r="B160" s="1" t="s">
        <v>873</v>
      </c>
      <c r="C160" s="26" t="s">
        <v>1729</v>
      </c>
      <c r="D160" s="3">
        <v>100</v>
      </c>
      <c r="E160" s="1" t="s">
        <v>7</v>
      </c>
      <c r="F160" s="3">
        <v>25</v>
      </c>
      <c r="G160" s="4">
        <v>44636</v>
      </c>
      <c r="H160" s="1" t="s">
        <v>3191</v>
      </c>
      <c r="I160" s="1" t="s">
        <v>3190</v>
      </c>
      <c r="J160" s="1" t="s">
        <v>2626</v>
      </c>
      <c r="K160" s="1" t="s">
        <v>2102</v>
      </c>
      <c r="L160" s="44" t="s">
        <v>3046</v>
      </c>
      <c r="N160" s="1" t="s">
        <v>3189</v>
      </c>
      <c r="O160" s="25" t="s">
        <v>5</v>
      </c>
      <c r="P160" s="25">
        <v>12.2</v>
      </c>
      <c r="Q160" s="25" t="s">
        <v>3188</v>
      </c>
      <c r="R160" s="25" t="s">
        <v>4</v>
      </c>
      <c r="S160" s="25">
        <v>5.0999999999999996</v>
      </c>
      <c r="T160" s="25" t="s">
        <v>3187</v>
      </c>
      <c r="U160" s="25" t="s">
        <v>1</v>
      </c>
      <c r="V160" s="1" t="s">
        <v>1</v>
      </c>
      <c r="W160" s="1" t="s">
        <v>1</v>
      </c>
      <c r="X160" s="1" t="s">
        <v>1</v>
      </c>
      <c r="Y160" s="1" t="s">
        <v>1</v>
      </c>
      <c r="Z160" s="1" t="s">
        <v>1</v>
      </c>
      <c r="AA160" s="1" t="s">
        <v>3186</v>
      </c>
    </row>
    <row r="161" spans="1:28">
      <c r="A161" s="1">
        <f t="shared" si="2"/>
        <v>156</v>
      </c>
      <c r="B161" s="1" t="s">
        <v>1003</v>
      </c>
      <c r="C161" s="26" t="s">
        <v>1729</v>
      </c>
      <c r="D161" s="3">
        <v>100</v>
      </c>
      <c r="E161" s="1" t="s">
        <v>5</v>
      </c>
      <c r="F161" s="3">
        <v>25</v>
      </c>
      <c r="G161" s="4">
        <v>44615</v>
      </c>
      <c r="H161" s="1" t="s">
        <v>3185</v>
      </c>
      <c r="I161" s="1" t="s">
        <v>3184</v>
      </c>
      <c r="J161" s="1" t="s">
        <v>2626</v>
      </c>
      <c r="K161" s="1" t="s">
        <v>2102</v>
      </c>
      <c r="L161" s="44">
        <v>43709</v>
      </c>
      <c r="N161" s="1" t="s">
        <v>3183</v>
      </c>
      <c r="O161" s="25" t="s">
        <v>4</v>
      </c>
      <c r="P161" s="25">
        <v>5</v>
      </c>
      <c r="Q161" s="25" t="s">
        <v>3182</v>
      </c>
      <c r="R161" s="25" t="s">
        <v>1</v>
      </c>
      <c r="S161" s="25" t="s">
        <v>1</v>
      </c>
      <c r="T161" s="25" t="s">
        <v>1</v>
      </c>
      <c r="U161" s="25" t="s">
        <v>1</v>
      </c>
      <c r="V161" s="25" t="s">
        <v>1</v>
      </c>
      <c r="W161" s="25" t="s">
        <v>1</v>
      </c>
      <c r="X161" s="25" t="s">
        <v>1</v>
      </c>
      <c r="Y161" s="25" t="s">
        <v>1</v>
      </c>
      <c r="Z161" s="25" t="s">
        <v>1</v>
      </c>
      <c r="AA161" s="1" t="s">
        <v>2124</v>
      </c>
    </row>
    <row r="162" spans="1:28">
      <c r="A162" s="1">
        <f t="shared" si="2"/>
        <v>157</v>
      </c>
      <c r="B162" s="1" t="s">
        <v>462</v>
      </c>
      <c r="C162" s="26" t="s">
        <v>1729</v>
      </c>
      <c r="D162" s="3">
        <v>100</v>
      </c>
      <c r="E162" s="1" t="s">
        <v>7</v>
      </c>
      <c r="F162" s="3">
        <v>25</v>
      </c>
      <c r="G162" s="31">
        <v>43972</v>
      </c>
      <c r="H162" s="1" t="s">
        <v>2385</v>
      </c>
      <c r="I162" s="1" t="s">
        <v>3181</v>
      </c>
      <c r="J162" s="1" t="s">
        <v>2091</v>
      </c>
      <c r="K162" s="1" t="s">
        <v>2385</v>
      </c>
      <c r="L162" s="1">
        <v>2016</v>
      </c>
      <c r="N162" s="1" t="s">
        <v>3180</v>
      </c>
      <c r="O162" s="25" t="s">
        <v>5</v>
      </c>
      <c r="P162" s="25">
        <v>11.5</v>
      </c>
      <c r="Q162" s="25" t="s">
        <v>1084</v>
      </c>
      <c r="R162" s="25" t="s">
        <v>1</v>
      </c>
      <c r="S162" s="25" t="s">
        <v>1</v>
      </c>
      <c r="T162" s="25" t="s">
        <v>1</v>
      </c>
      <c r="U162" s="25" t="s">
        <v>1</v>
      </c>
      <c r="V162" s="25" t="s">
        <v>1</v>
      </c>
      <c r="W162" s="25" t="s">
        <v>1</v>
      </c>
      <c r="X162" s="25" t="s">
        <v>1</v>
      </c>
      <c r="Y162" s="25" t="s">
        <v>1</v>
      </c>
      <c r="Z162" s="25" t="s">
        <v>1</v>
      </c>
      <c r="AA162" s="1" t="s">
        <v>2330</v>
      </c>
    </row>
    <row r="163" spans="1:28">
      <c r="A163" s="1">
        <f t="shared" si="2"/>
        <v>158</v>
      </c>
      <c r="B163" s="1" t="s">
        <v>747</v>
      </c>
      <c r="C163" s="26" t="s">
        <v>1729</v>
      </c>
      <c r="D163" s="3">
        <v>100</v>
      </c>
      <c r="E163" s="1" t="s">
        <v>7</v>
      </c>
      <c r="F163" s="3">
        <v>25</v>
      </c>
      <c r="G163" s="4">
        <v>44764</v>
      </c>
      <c r="H163" s="1" t="s">
        <v>3179</v>
      </c>
      <c r="I163" s="1" t="s">
        <v>3178</v>
      </c>
      <c r="J163" s="1" t="s">
        <v>2626</v>
      </c>
      <c r="K163" s="1" t="s">
        <v>2102</v>
      </c>
      <c r="L163" s="44" t="s">
        <v>3046</v>
      </c>
      <c r="N163" s="25" t="s">
        <v>3177</v>
      </c>
      <c r="O163" s="25" t="s">
        <v>5</v>
      </c>
      <c r="P163" s="25">
        <v>21</v>
      </c>
      <c r="Q163" s="25" t="s">
        <v>3176</v>
      </c>
      <c r="R163" s="25" t="s">
        <v>4</v>
      </c>
      <c r="S163" s="25">
        <v>9.1</v>
      </c>
      <c r="T163" s="25" t="s">
        <v>3175</v>
      </c>
      <c r="U163" s="25" t="s">
        <v>1</v>
      </c>
      <c r="V163" s="25" t="s">
        <v>1</v>
      </c>
      <c r="W163" s="25" t="s">
        <v>1</v>
      </c>
      <c r="X163" s="25" t="s">
        <v>1</v>
      </c>
      <c r="Y163" s="25" t="s">
        <v>1</v>
      </c>
      <c r="Z163" s="25" t="s">
        <v>1</v>
      </c>
      <c r="AA163" s="1" t="s">
        <v>2124</v>
      </c>
    </row>
    <row r="164" spans="1:28">
      <c r="A164" s="1">
        <f t="shared" si="2"/>
        <v>159</v>
      </c>
      <c r="B164" s="1" t="s">
        <v>133</v>
      </c>
      <c r="C164" s="26" t="s">
        <v>1729</v>
      </c>
      <c r="D164" s="3">
        <v>100</v>
      </c>
      <c r="E164" s="1" t="s">
        <v>7</v>
      </c>
      <c r="F164" s="3">
        <v>23.5</v>
      </c>
      <c r="G164" s="4">
        <v>45008</v>
      </c>
      <c r="H164" s="1" t="s">
        <v>3174</v>
      </c>
      <c r="I164" s="1" t="s">
        <v>3173</v>
      </c>
      <c r="J164" s="1" t="s">
        <v>2091</v>
      </c>
      <c r="K164" s="1" t="s">
        <v>3172</v>
      </c>
      <c r="L164" s="1">
        <v>2019</v>
      </c>
      <c r="N164" s="1" t="s">
        <v>3171</v>
      </c>
      <c r="O164" s="25" t="s">
        <v>5</v>
      </c>
      <c r="P164" s="25">
        <v>16</v>
      </c>
      <c r="Q164" s="25" t="s">
        <v>3170</v>
      </c>
      <c r="R164" s="25" t="s">
        <v>4</v>
      </c>
      <c r="S164" s="25">
        <v>5</v>
      </c>
      <c r="T164" s="25" t="s">
        <v>3169</v>
      </c>
      <c r="U164" s="25" t="s">
        <v>1</v>
      </c>
      <c r="V164" s="25" t="s">
        <v>1</v>
      </c>
      <c r="W164" s="25" t="s">
        <v>1</v>
      </c>
      <c r="X164" s="25" t="s">
        <v>1</v>
      </c>
      <c r="Y164" s="25" t="s">
        <v>1</v>
      </c>
      <c r="Z164" s="25" t="s">
        <v>1</v>
      </c>
      <c r="AA164" s="1" t="s">
        <v>2204</v>
      </c>
      <c r="AB164" s="28" t="s">
        <v>3168</v>
      </c>
    </row>
    <row r="165" spans="1:28">
      <c r="A165" s="1">
        <f t="shared" si="2"/>
        <v>160</v>
      </c>
      <c r="B165" s="1" t="s">
        <v>670</v>
      </c>
      <c r="C165" s="26" t="s">
        <v>1729</v>
      </c>
      <c r="D165" s="3">
        <v>100</v>
      </c>
      <c r="E165" s="1" t="s">
        <v>4</v>
      </c>
      <c r="F165" s="3">
        <v>25</v>
      </c>
      <c r="G165" s="4">
        <v>44873</v>
      </c>
      <c r="H165" s="1" t="s">
        <v>3167</v>
      </c>
      <c r="I165" s="1" t="s">
        <v>3166</v>
      </c>
      <c r="J165" s="1" t="s">
        <v>3165</v>
      </c>
      <c r="K165" s="1" t="s">
        <v>3165</v>
      </c>
      <c r="L165" s="1">
        <v>2022</v>
      </c>
      <c r="M165" s="1" t="s">
        <v>3164</v>
      </c>
      <c r="N165" s="1" t="s">
        <v>3163</v>
      </c>
      <c r="O165" s="25" t="s">
        <v>1</v>
      </c>
      <c r="P165" s="25" t="s">
        <v>1</v>
      </c>
      <c r="Q165" s="25" t="s">
        <v>1</v>
      </c>
      <c r="R165" s="25" t="s">
        <v>1</v>
      </c>
      <c r="S165" s="25" t="s">
        <v>1</v>
      </c>
      <c r="T165" s="25" t="s">
        <v>1</v>
      </c>
      <c r="U165" s="25" t="s">
        <v>1</v>
      </c>
      <c r="V165" s="25" t="s">
        <v>1</v>
      </c>
      <c r="W165" s="25" t="s">
        <v>1</v>
      </c>
      <c r="X165" s="25" t="s">
        <v>1</v>
      </c>
      <c r="Y165" s="25" t="s">
        <v>1</v>
      </c>
      <c r="Z165" s="25" t="s">
        <v>1</v>
      </c>
      <c r="AA165" s="1" t="s">
        <v>2141</v>
      </c>
    </row>
    <row r="166" spans="1:28">
      <c r="A166" s="1">
        <f t="shared" si="2"/>
        <v>161</v>
      </c>
      <c r="B166" s="1" t="s">
        <v>742</v>
      </c>
      <c r="C166" s="26" t="s">
        <v>1729</v>
      </c>
      <c r="D166" s="3">
        <v>100</v>
      </c>
      <c r="E166" s="1" t="s">
        <v>5</v>
      </c>
      <c r="F166" s="3">
        <v>25</v>
      </c>
      <c r="G166" s="4">
        <v>44757</v>
      </c>
      <c r="H166" s="1" t="s">
        <v>3162</v>
      </c>
      <c r="J166" s="1" t="s">
        <v>2091</v>
      </c>
      <c r="K166" s="1" t="s">
        <v>3161</v>
      </c>
      <c r="L166" s="44" t="s">
        <v>3046</v>
      </c>
      <c r="N166" s="1" t="s">
        <v>3160</v>
      </c>
      <c r="O166" s="25" t="s">
        <v>4</v>
      </c>
      <c r="P166" s="25">
        <v>4</v>
      </c>
      <c r="Q166" s="25" t="s">
        <v>3159</v>
      </c>
      <c r="R166" s="25" t="s">
        <v>4</v>
      </c>
      <c r="S166" s="25">
        <v>1.5</v>
      </c>
      <c r="T166" s="25" t="s">
        <v>3158</v>
      </c>
      <c r="U166" s="25" t="s">
        <v>1</v>
      </c>
      <c r="V166" s="25" t="s">
        <v>1</v>
      </c>
      <c r="W166" s="25" t="s">
        <v>1</v>
      </c>
      <c r="X166" s="25" t="s">
        <v>1</v>
      </c>
      <c r="Y166" s="25" t="s">
        <v>1</v>
      </c>
      <c r="Z166" s="25" t="s">
        <v>1</v>
      </c>
      <c r="AA166" s="1" t="s">
        <v>2964</v>
      </c>
    </row>
    <row r="167" spans="1:28">
      <c r="A167" s="1">
        <f t="shared" si="2"/>
        <v>162</v>
      </c>
      <c r="B167" s="1" t="s">
        <v>3157</v>
      </c>
      <c r="C167" s="26" t="s">
        <v>1729</v>
      </c>
      <c r="D167" s="3">
        <v>100</v>
      </c>
      <c r="E167" s="1" t="s">
        <v>4</v>
      </c>
      <c r="F167" s="3">
        <v>22.4</v>
      </c>
      <c r="G167" s="4">
        <v>44553</v>
      </c>
      <c r="H167" s="1" t="s">
        <v>3156</v>
      </c>
      <c r="I167" s="1" t="s">
        <v>3155</v>
      </c>
      <c r="J167" s="1" t="s">
        <v>2091</v>
      </c>
      <c r="K167" s="1" t="s">
        <v>3154</v>
      </c>
      <c r="L167" s="1">
        <v>2019</v>
      </c>
      <c r="N167" s="1" t="s">
        <v>3153</v>
      </c>
      <c r="O167" s="25" t="s">
        <v>1</v>
      </c>
      <c r="P167" s="25" t="s">
        <v>1</v>
      </c>
      <c r="Q167" s="25" t="s">
        <v>1</v>
      </c>
      <c r="R167" s="25" t="s">
        <v>1</v>
      </c>
      <c r="S167" s="25" t="s">
        <v>1</v>
      </c>
      <c r="T167" s="25" t="s">
        <v>1</v>
      </c>
      <c r="U167" s="25" t="s">
        <v>1</v>
      </c>
      <c r="V167" s="25" t="s">
        <v>1</v>
      </c>
      <c r="W167" s="25" t="s">
        <v>1</v>
      </c>
      <c r="X167" s="25" t="s">
        <v>1</v>
      </c>
      <c r="Y167" s="25" t="s">
        <v>1</v>
      </c>
      <c r="Z167" s="25" t="s">
        <v>1</v>
      </c>
      <c r="AA167" s="1" t="s">
        <v>2216</v>
      </c>
    </row>
    <row r="168" spans="1:28">
      <c r="A168" s="1">
        <f t="shared" si="2"/>
        <v>163</v>
      </c>
      <c r="B168" s="1" t="s">
        <v>3152</v>
      </c>
      <c r="C168" s="26" t="s">
        <v>1729</v>
      </c>
      <c r="D168" s="3">
        <v>100</v>
      </c>
      <c r="E168" s="1" t="s">
        <v>5</v>
      </c>
      <c r="F168" s="3">
        <v>21</v>
      </c>
      <c r="G168" s="31">
        <v>44295</v>
      </c>
      <c r="H168" s="1" t="s">
        <v>3151</v>
      </c>
      <c r="I168" s="1" t="s">
        <v>3150</v>
      </c>
      <c r="J168" s="1" t="s">
        <v>2091</v>
      </c>
      <c r="K168" s="1" t="s">
        <v>2108</v>
      </c>
      <c r="L168" s="44">
        <v>43282</v>
      </c>
      <c r="N168" s="1" t="s">
        <v>1</v>
      </c>
      <c r="O168" s="25" t="s">
        <v>4</v>
      </c>
      <c r="P168" s="25" t="s">
        <v>1</v>
      </c>
      <c r="Q168" s="25" t="s">
        <v>3149</v>
      </c>
      <c r="R168" s="25" t="s">
        <v>1</v>
      </c>
      <c r="S168" s="25" t="s">
        <v>1</v>
      </c>
      <c r="T168" s="25" t="s">
        <v>1</v>
      </c>
      <c r="U168" s="25" t="s">
        <v>1</v>
      </c>
      <c r="V168" s="25" t="s">
        <v>1</v>
      </c>
      <c r="W168" s="25" t="s">
        <v>1</v>
      </c>
      <c r="X168" s="25" t="s">
        <v>1</v>
      </c>
      <c r="Y168" s="25" t="s">
        <v>1</v>
      </c>
      <c r="Z168" s="25" t="s">
        <v>1</v>
      </c>
      <c r="AA168" s="1" t="s">
        <v>2197</v>
      </c>
    </row>
    <row r="169" spans="1:28">
      <c r="A169" s="1">
        <f t="shared" si="2"/>
        <v>164</v>
      </c>
      <c r="B169" s="1" t="s">
        <v>97</v>
      </c>
      <c r="C169" s="26" t="s">
        <v>1729</v>
      </c>
      <c r="D169" s="3">
        <v>100</v>
      </c>
      <c r="E169" s="1" t="s">
        <v>7</v>
      </c>
      <c r="F169" s="3">
        <v>25</v>
      </c>
      <c r="G169" s="4">
        <v>43783</v>
      </c>
      <c r="H169" s="1" t="s">
        <v>3148</v>
      </c>
      <c r="I169" s="1" t="s">
        <v>3147</v>
      </c>
      <c r="J169" s="1" t="s">
        <v>2091</v>
      </c>
      <c r="K169" s="1" t="s">
        <v>2108</v>
      </c>
      <c r="L169" s="1">
        <v>2014</v>
      </c>
      <c r="N169" s="1" t="s">
        <v>3146</v>
      </c>
      <c r="O169" s="25" t="s">
        <v>7</v>
      </c>
      <c r="P169" s="25">
        <v>15</v>
      </c>
      <c r="Q169" s="25" t="s">
        <v>3145</v>
      </c>
      <c r="R169" s="25" t="s">
        <v>5</v>
      </c>
      <c r="S169" s="25">
        <v>10</v>
      </c>
      <c r="T169" s="25" t="s">
        <v>3144</v>
      </c>
      <c r="U169" s="25" t="s">
        <v>4</v>
      </c>
      <c r="V169" s="25">
        <v>5</v>
      </c>
      <c r="W169" s="25" t="s">
        <v>3143</v>
      </c>
      <c r="X169" s="25" t="s">
        <v>1</v>
      </c>
      <c r="Y169" s="25" t="s">
        <v>1</v>
      </c>
      <c r="Z169" s="25" t="s">
        <v>1</v>
      </c>
      <c r="AA169" s="1" t="s">
        <v>2094</v>
      </c>
      <c r="AB169" s="28" t="s">
        <v>3142</v>
      </c>
    </row>
    <row r="170" spans="1:28">
      <c r="A170" s="1">
        <f t="shared" si="2"/>
        <v>165</v>
      </c>
      <c r="B170" s="1" t="s">
        <v>3141</v>
      </c>
      <c r="C170" s="26" t="s">
        <v>1729</v>
      </c>
      <c r="D170" s="3">
        <v>100</v>
      </c>
      <c r="E170" s="1" t="s">
        <v>5</v>
      </c>
      <c r="F170" s="3">
        <v>20</v>
      </c>
      <c r="G170" s="4">
        <v>43818</v>
      </c>
      <c r="H170" s="1" t="s">
        <v>2941</v>
      </c>
      <c r="I170" s="1" t="s">
        <v>3140</v>
      </c>
      <c r="J170" s="1" t="s">
        <v>2091</v>
      </c>
      <c r="K170" s="1" t="s">
        <v>2914</v>
      </c>
      <c r="L170" s="1">
        <v>2013</v>
      </c>
      <c r="N170" s="1" t="s">
        <v>3139</v>
      </c>
      <c r="O170" s="25" t="s">
        <v>1</v>
      </c>
      <c r="P170" s="25" t="s">
        <v>1</v>
      </c>
      <c r="Q170" s="25" t="s">
        <v>1</v>
      </c>
      <c r="R170" s="25" t="s">
        <v>1</v>
      </c>
      <c r="S170" s="25" t="s">
        <v>1</v>
      </c>
      <c r="T170" s="25" t="s">
        <v>1</v>
      </c>
      <c r="U170" s="25" t="s">
        <v>1</v>
      </c>
      <c r="V170" s="25" t="s">
        <v>1</v>
      </c>
      <c r="W170" s="25" t="s">
        <v>1</v>
      </c>
      <c r="X170" s="25" t="s">
        <v>1</v>
      </c>
      <c r="Y170" s="25" t="s">
        <v>1</v>
      </c>
      <c r="Z170" s="25" t="s">
        <v>1</v>
      </c>
      <c r="AA170" s="1" t="s">
        <v>3138</v>
      </c>
    </row>
    <row r="171" spans="1:28">
      <c r="A171" s="1">
        <f t="shared" si="2"/>
        <v>166</v>
      </c>
      <c r="B171" s="1" t="s">
        <v>595</v>
      </c>
      <c r="C171" s="26" t="s">
        <v>1729</v>
      </c>
      <c r="D171" s="3">
        <v>100</v>
      </c>
      <c r="E171" s="1" t="s">
        <v>5</v>
      </c>
      <c r="F171" s="3">
        <v>20</v>
      </c>
      <c r="G171" s="4">
        <v>44801</v>
      </c>
      <c r="H171" s="1" t="s">
        <v>3137</v>
      </c>
      <c r="I171" s="1" t="s">
        <v>3136</v>
      </c>
      <c r="J171" s="1" t="s">
        <v>2091</v>
      </c>
      <c r="K171" s="1" t="s">
        <v>3135</v>
      </c>
      <c r="L171" s="1">
        <v>2021</v>
      </c>
      <c r="N171" s="1" t="s">
        <v>3134</v>
      </c>
      <c r="O171" s="25" t="s">
        <v>285</v>
      </c>
      <c r="P171" s="25">
        <v>0.125</v>
      </c>
      <c r="Q171" s="25" t="s">
        <v>1091</v>
      </c>
      <c r="R171" s="25" t="s">
        <v>1</v>
      </c>
      <c r="S171" s="25" t="s">
        <v>1</v>
      </c>
      <c r="T171" s="25" t="s">
        <v>1</v>
      </c>
      <c r="U171" s="25" t="s">
        <v>1</v>
      </c>
      <c r="V171" s="25" t="s">
        <v>1</v>
      </c>
      <c r="W171" s="25" t="s">
        <v>1</v>
      </c>
      <c r="X171" s="25" t="s">
        <v>1</v>
      </c>
      <c r="Y171" s="25" t="s">
        <v>1</v>
      </c>
      <c r="Z171" s="25" t="s">
        <v>1</v>
      </c>
      <c r="AA171" s="1" t="s">
        <v>2094</v>
      </c>
    </row>
    <row r="172" spans="1:28">
      <c r="A172" s="1">
        <f t="shared" si="2"/>
        <v>167</v>
      </c>
      <c r="B172" s="1" t="s">
        <v>558</v>
      </c>
      <c r="C172" s="26" t="s">
        <v>1729</v>
      </c>
      <c r="D172" s="3">
        <v>100</v>
      </c>
      <c r="E172" s="1" t="s">
        <v>7</v>
      </c>
      <c r="F172" s="3">
        <v>20</v>
      </c>
      <c r="G172" s="4">
        <v>45077</v>
      </c>
      <c r="H172" s="1" t="s">
        <v>3133</v>
      </c>
      <c r="I172" s="1" t="s">
        <v>3132</v>
      </c>
      <c r="J172" s="1" t="s">
        <v>2091</v>
      </c>
      <c r="K172" s="1" t="s">
        <v>2108</v>
      </c>
      <c r="L172" s="1">
        <v>2018</v>
      </c>
      <c r="N172" s="1" t="s">
        <v>3131</v>
      </c>
      <c r="O172" s="25" t="s">
        <v>5</v>
      </c>
      <c r="P172" s="25">
        <v>10.5</v>
      </c>
      <c r="Q172" s="25" t="s">
        <v>3130</v>
      </c>
      <c r="R172" s="25" t="s">
        <v>4</v>
      </c>
      <c r="S172" s="25">
        <v>4</v>
      </c>
      <c r="T172" s="25" t="s">
        <v>3129</v>
      </c>
      <c r="U172" s="25" t="s">
        <v>285</v>
      </c>
      <c r="V172" s="25">
        <v>0.5</v>
      </c>
      <c r="W172" s="25" t="s">
        <v>3128</v>
      </c>
      <c r="X172" s="25" t="s">
        <v>1</v>
      </c>
      <c r="Y172" s="25" t="s">
        <v>1</v>
      </c>
      <c r="Z172" s="25" t="s">
        <v>1</v>
      </c>
      <c r="AA172" s="1" t="s">
        <v>2101</v>
      </c>
    </row>
    <row r="173" spans="1:28">
      <c r="A173" s="1">
        <f t="shared" si="2"/>
        <v>168</v>
      </c>
      <c r="B173" s="1" t="s">
        <v>737</v>
      </c>
      <c r="C173" s="26" t="s">
        <v>1729</v>
      </c>
      <c r="D173" s="3">
        <v>100</v>
      </c>
      <c r="E173" s="1" t="s">
        <v>5</v>
      </c>
      <c r="F173" s="3">
        <v>20</v>
      </c>
      <c r="G173" s="4">
        <v>44676</v>
      </c>
      <c r="H173" s="1" t="s">
        <v>3127</v>
      </c>
      <c r="J173" s="1" t="s">
        <v>2091</v>
      </c>
      <c r="K173" s="1" t="s">
        <v>2355</v>
      </c>
      <c r="L173" s="44" t="s">
        <v>3046</v>
      </c>
      <c r="N173" s="1" t="s">
        <v>3126</v>
      </c>
      <c r="O173" s="25" t="s">
        <v>4</v>
      </c>
      <c r="P173" s="25">
        <v>5</v>
      </c>
      <c r="Q173" s="25" t="s">
        <v>3125</v>
      </c>
      <c r="R173" s="25" t="s">
        <v>285</v>
      </c>
      <c r="S173" s="25" t="s">
        <v>1</v>
      </c>
      <c r="T173" s="25" t="s">
        <v>3124</v>
      </c>
      <c r="U173" s="25" t="s">
        <v>1</v>
      </c>
      <c r="V173" s="25" t="s">
        <v>1</v>
      </c>
      <c r="W173" s="25" t="s">
        <v>1</v>
      </c>
      <c r="X173" s="25" t="s">
        <v>1</v>
      </c>
      <c r="Y173" s="25" t="s">
        <v>1</v>
      </c>
      <c r="Z173" s="25" t="s">
        <v>1</v>
      </c>
      <c r="AA173" s="1" t="s">
        <v>2124</v>
      </c>
    </row>
    <row r="174" spans="1:28">
      <c r="A174" s="1">
        <f t="shared" si="2"/>
        <v>169</v>
      </c>
      <c r="B174" s="1" t="s">
        <v>424</v>
      </c>
      <c r="C174" s="26" t="s">
        <v>1729</v>
      </c>
      <c r="D174" s="3">
        <v>100</v>
      </c>
      <c r="E174" s="1" t="s">
        <v>18</v>
      </c>
      <c r="F174" s="3">
        <v>23</v>
      </c>
      <c r="G174" s="4">
        <v>44328</v>
      </c>
      <c r="H174" s="1" t="s">
        <v>2448</v>
      </c>
      <c r="I174" s="1" t="s">
        <v>3123</v>
      </c>
      <c r="J174" s="1" t="s">
        <v>2091</v>
      </c>
      <c r="K174" s="1" t="s">
        <v>2448</v>
      </c>
      <c r="L174" s="1">
        <v>2013</v>
      </c>
      <c r="N174" s="1" t="s">
        <v>3122</v>
      </c>
      <c r="O174" s="25" t="s">
        <v>7</v>
      </c>
      <c r="P174" s="25">
        <v>16</v>
      </c>
      <c r="Q174" s="25" t="s">
        <v>3121</v>
      </c>
      <c r="R174" s="25" t="s">
        <v>5</v>
      </c>
      <c r="S174" s="25">
        <v>8</v>
      </c>
      <c r="T174" s="25" t="s">
        <v>3120</v>
      </c>
      <c r="U174" s="25" t="s">
        <v>4</v>
      </c>
      <c r="V174" s="25" t="s">
        <v>1</v>
      </c>
      <c r="W174" s="25" t="s">
        <v>3119</v>
      </c>
      <c r="X174" s="25" t="s">
        <v>1</v>
      </c>
      <c r="Y174" s="25" t="s">
        <v>1</v>
      </c>
      <c r="Z174" s="25" t="s">
        <v>1</v>
      </c>
      <c r="AA174" s="1" t="s">
        <v>2094</v>
      </c>
    </row>
    <row r="175" spans="1:28">
      <c r="A175" s="1">
        <f t="shared" si="2"/>
        <v>170</v>
      </c>
      <c r="B175" s="1" t="s">
        <v>665</v>
      </c>
      <c r="C175" s="26" t="s">
        <v>1729</v>
      </c>
      <c r="D175" s="3">
        <v>100</v>
      </c>
      <c r="E175" s="1" t="s">
        <v>4</v>
      </c>
      <c r="F175" s="3">
        <v>12.8</v>
      </c>
      <c r="G175" s="31">
        <v>44601</v>
      </c>
      <c r="H175" s="1" t="s">
        <v>3118</v>
      </c>
      <c r="I175" s="1" t="s">
        <v>3117</v>
      </c>
      <c r="J175" s="1" t="s">
        <v>2368</v>
      </c>
      <c r="K175" s="1" t="s">
        <v>2368</v>
      </c>
      <c r="L175" s="1">
        <v>2021</v>
      </c>
      <c r="M175" s="1" t="s">
        <v>3116</v>
      </c>
      <c r="N175" s="1" t="s">
        <v>3115</v>
      </c>
      <c r="O175" s="25" t="s">
        <v>1</v>
      </c>
      <c r="P175" s="25" t="s">
        <v>1</v>
      </c>
      <c r="Q175" s="25" t="s">
        <v>1</v>
      </c>
      <c r="R175" s="25" t="s">
        <v>1</v>
      </c>
      <c r="S175" s="25" t="s">
        <v>1</v>
      </c>
      <c r="T175" s="25" t="s">
        <v>1</v>
      </c>
      <c r="U175" s="25" t="s">
        <v>1</v>
      </c>
      <c r="V175" s="25" t="s">
        <v>1</v>
      </c>
      <c r="W175" s="25" t="s">
        <v>1</v>
      </c>
      <c r="X175" s="25" t="s">
        <v>1</v>
      </c>
      <c r="Y175" s="25" t="s">
        <v>1</v>
      </c>
      <c r="Z175" s="25" t="s">
        <v>1</v>
      </c>
      <c r="AA175" s="1" t="s">
        <v>2405</v>
      </c>
    </row>
    <row r="176" spans="1:28">
      <c r="A176" s="1">
        <f t="shared" si="2"/>
        <v>171</v>
      </c>
      <c r="B176" s="1" t="s">
        <v>3114</v>
      </c>
      <c r="C176" s="26" t="s">
        <v>1729</v>
      </c>
      <c r="D176" s="3">
        <v>100</v>
      </c>
      <c r="E176" s="1" t="s">
        <v>5</v>
      </c>
      <c r="F176" s="3">
        <v>6.5</v>
      </c>
      <c r="G176" s="4">
        <v>43069</v>
      </c>
      <c r="I176" s="1" t="s">
        <v>3113</v>
      </c>
      <c r="J176" s="1" t="s">
        <v>2361</v>
      </c>
      <c r="K176" s="1" t="s">
        <v>3112</v>
      </c>
      <c r="L176" s="1">
        <v>2017</v>
      </c>
      <c r="N176" s="1" t="s">
        <v>3111</v>
      </c>
      <c r="O176" s="25" t="s">
        <v>5</v>
      </c>
      <c r="P176" s="25">
        <v>4.4000000000000004</v>
      </c>
      <c r="Q176" s="25" t="s">
        <v>3110</v>
      </c>
      <c r="R176" s="25" t="s">
        <v>4</v>
      </c>
      <c r="S176" s="25" t="s">
        <v>1</v>
      </c>
      <c r="T176" s="25" t="s">
        <v>3109</v>
      </c>
      <c r="U176" s="25" t="s">
        <v>1</v>
      </c>
      <c r="V176" s="25" t="s">
        <v>1</v>
      </c>
      <c r="W176" s="25" t="s">
        <v>1</v>
      </c>
      <c r="X176" s="25" t="s">
        <v>1</v>
      </c>
      <c r="Y176" s="25" t="s">
        <v>1</v>
      </c>
      <c r="Z176" s="25" t="s">
        <v>1</v>
      </c>
      <c r="AA176" s="25" t="s">
        <v>1</v>
      </c>
    </row>
    <row r="177" spans="1:27">
      <c r="A177" s="1">
        <f t="shared" si="2"/>
        <v>172</v>
      </c>
      <c r="B177" s="1" t="s">
        <v>902</v>
      </c>
      <c r="C177" s="26" t="s">
        <v>1729</v>
      </c>
      <c r="D177" s="3">
        <v>80</v>
      </c>
      <c r="E177" s="1" t="s">
        <v>5</v>
      </c>
      <c r="F177" s="3">
        <v>20</v>
      </c>
      <c r="G177" s="4">
        <v>45009</v>
      </c>
      <c r="H177" s="1" t="s">
        <v>3108</v>
      </c>
      <c r="I177" s="1" t="s">
        <v>3107</v>
      </c>
      <c r="J177" s="1" t="s">
        <v>2091</v>
      </c>
      <c r="K177" s="1" t="s">
        <v>2762</v>
      </c>
      <c r="L177" s="1">
        <v>2021</v>
      </c>
      <c r="N177" s="1" t="s">
        <v>3106</v>
      </c>
      <c r="O177" s="25" t="s">
        <v>1</v>
      </c>
      <c r="P177" s="25" t="s">
        <v>1</v>
      </c>
      <c r="Q177" s="25" t="s">
        <v>1</v>
      </c>
      <c r="R177" s="25" t="s">
        <v>1</v>
      </c>
      <c r="S177" s="25" t="s">
        <v>1</v>
      </c>
      <c r="T177" s="25" t="s">
        <v>1</v>
      </c>
      <c r="U177" s="25" t="s">
        <v>1</v>
      </c>
      <c r="V177" s="25" t="s">
        <v>1</v>
      </c>
      <c r="W177" s="25" t="s">
        <v>1</v>
      </c>
      <c r="X177" s="25" t="s">
        <v>1</v>
      </c>
      <c r="Y177" s="25" t="s">
        <v>1</v>
      </c>
      <c r="Z177" s="25" t="s">
        <v>1</v>
      </c>
      <c r="AA177" s="1" t="s">
        <v>3105</v>
      </c>
    </row>
    <row r="178" spans="1:27">
      <c r="A178" s="1">
        <f t="shared" si="2"/>
        <v>173</v>
      </c>
      <c r="B178" s="1" t="s">
        <v>570</v>
      </c>
      <c r="C178" s="26" t="s">
        <v>1729</v>
      </c>
      <c r="D178" s="3">
        <v>80</v>
      </c>
      <c r="E178" s="1" t="s">
        <v>5</v>
      </c>
      <c r="F178" s="3">
        <v>20</v>
      </c>
      <c r="G178" s="4">
        <v>44701</v>
      </c>
      <c r="H178" s="1" t="s">
        <v>3104</v>
      </c>
      <c r="I178" s="1" t="s">
        <v>3103</v>
      </c>
      <c r="J178" s="1" t="s">
        <v>2091</v>
      </c>
      <c r="K178" s="1" t="s">
        <v>3102</v>
      </c>
      <c r="L178" s="1">
        <v>2021</v>
      </c>
      <c r="N178" s="1" t="s">
        <v>3101</v>
      </c>
      <c r="O178" s="25" t="s">
        <v>1</v>
      </c>
      <c r="P178" s="25" t="s">
        <v>1</v>
      </c>
      <c r="Q178" s="25" t="s">
        <v>1</v>
      </c>
      <c r="R178" s="25" t="s">
        <v>1</v>
      </c>
      <c r="S178" s="25" t="s">
        <v>1</v>
      </c>
      <c r="T178" s="25" t="s">
        <v>1</v>
      </c>
      <c r="U178" s="25" t="s">
        <v>1</v>
      </c>
      <c r="V178" s="25" t="s">
        <v>1</v>
      </c>
      <c r="W178" s="25" t="s">
        <v>1</v>
      </c>
      <c r="X178" s="25" t="s">
        <v>1</v>
      </c>
      <c r="Y178" s="25" t="s">
        <v>1</v>
      </c>
      <c r="Z178" s="25" t="s">
        <v>1</v>
      </c>
      <c r="AA178" s="1" t="s">
        <v>3100</v>
      </c>
    </row>
    <row r="179" spans="1:27">
      <c r="A179" s="1">
        <f t="shared" si="2"/>
        <v>174</v>
      </c>
      <c r="B179" s="1" t="s">
        <v>3099</v>
      </c>
      <c r="C179" s="26" t="s">
        <v>1729</v>
      </c>
      <c r="D179" s="3">
        <v>80</v>
      </c>
      <c r="E179" s="1" t="s">
        <v>7</v>
      </c>
      <c r="F179" s="3">
        <v>20</v>
      </c>
      <c r="G179" s="4">
        <v>44756</v>
      </c>
      <c r="H179" s="1" t="s">
        <v>2647</v>
      </c>
      <c r="I179" s="1" t="s">
        <v>3098</v>
      </c>
      <c r="J179" s="1" t="s">
        <v>2361</v>
      </c>
      <c r="K179" s="1" t="s">
        <v>3097</v>
      </c>
      <c r="L179" s="1">
        <v>2015</v>
      </c>
      <c r="M179" s="1" t="s">
        <v>3096</v>
      </c>
      <c r="N179" s="1" t="s">
        <v>3095</v>
      </c>
      <c r="O179" s="25" t="s">
        <v>5</v>
      </c>
      <c r="P179" s="25">
        <v>5.5</v>
      </c>
      <c r="Q179" s="25" t="s">
        <v>3094</v>
      </c>
      <c r="R179" s="25" t="s">
        <v>4</v>
      </c>
      <c r="S179" s="25">
        <v>2</v>
      </c>
      <c r="T179" s="25" t="s">
        <v>3093</v>
      </c>
      <c r="U179" s="25" t="s">
        <v>4</v>
      </c>
      <c r="V179" s="25">
        <v>1.3</v>
      </c>
      <c r="W179" s="25" t="s">
        <v>3092</v>
      </c>
      <c r="X179" s="25" t="s">
        <v>4</v>
      </c>
      <c r="Y179" s="25">
        <v>0.4</v>
      </c>
      <c r="Z179" s="25" t="s">
        <v>1</v>
      </c>
      <c r="AA179" s="1" t="s">
        <v>2231</v>
      </c>
    </row>
    <row r="180" spans="1:27">
      <c r="A180" s="1">
        <f t="shared" si="2"/>
        <v>175</v>
      </c>
      <c r="B180" s="1" t="s">
        <v>464</v>
      </c>
      <c r="C180" s="26" t="s">
        <v>1729</v>
      </c>
      <c r="D180" s="3">
        <v>75</v>
      </c>
      <c r="E180" s="1" t="s">
        <v>7</v>
      </c>
      <c r="F180" s="3">
        <v>26.8</v>
      </c>
      <c r="G180" s="4">
        <v>44600</v>
      </c>
      <c r="H180" s="1" t="s">
        <v>3091</v>
      </c>
      <c r="I180" s="1" t="s">
        <v>3090</v>
      </c>
      <c r="J180" s="1" t="s">
        <v>2091</v>
      </c>
      <c r="K180" s="1" t="s">
        <v>3089</v>
      </c>
      <c r="L180" s="1">
        <v>2012</v>
      </c>
      <c r="N180" s="1" t="s">
        <v>3088</v>
      </c>
      <c r="O180" s="25" t="s">
        <v>5</v>
      </c>
      <c r="P180" s="25">
        <v>8.3000000000000007</v>
      </c>
      <c r="Q180" s="25" t="s">
        <v>3087</v>
      </c>
      <c r="R180" s="25" t="s">
        <v>4</v>
      </c>
      <c r="S180" s="25" t="s">
        <v>1</v>
      </c>
      <c r="T180" s="25" t="s">
        <v>3086</v>
      </c>
      <c r="U180" s="25" t="s">
        <v>1</v>
      </c>
      <c r="V180" s="25" t="s">
        <v>1</v>
      </c>
      <c r="W180" s="25" t="s">
        <v>1</v>
      </c>
      <c r="X180" s="25" t="s">
        <v>1</v>
      </c>
      <c r="Y180" s="25" t="s">
        <v>1</v>
      </c>
      <c r="Z180" s="25" t="s">
        <v>1</v>
      </c>
      <c r="AA180" s="1" t="s">
        <v>3085</v>
      </c>
    </row>
    <row r="181" spans="1:27">
      <c r="A181" s="1">
        <f t="shared" si="2"/>
        <v>176</v>
      </c>
      <c r="B181" s="1" t="s">
        <v>3084</v>
      </c>
      <c r="C181" s="26" t="s">
        <v>1729</v>
      </c>
      <c r="D181" s="3">
        <v>75</v>
      </c>
      <c r="E181" s="1" t="s">
        <v>7</v>
      </c>
      <c r="F181" s="3">
        <v>26</v>
      </c>
      <c r="G181" s="4">
        <v>44594</v>
      </c>
      <c r="I181" s="1" t="s">
        <v>3083</v>
      </c>
      <c r="J181" s="1" t="s">
        <v>2091</v>
      </c>
      <c r="K181" s="1" t="s">
        <v>3082</v>
      </c>
      <c r="L181" s="1">
        <v>2015</v>
      </c>
      <c r="N181" s="1" t="s">
        <v>3081</v>
      </c>
      <c r="O181" s="25" t="s">
        <v>7</v>
      </c>
      <c r="P181" s="25">
        <v>13</v>
      </c>
      <c r="Q181" s="25" t="s">
        <v>956</v>
      </c>
      <c r="R181" s="25" t="s">
        <v>5</v>
      </c>
      <c r="S181" s="25">
        <v>5</v>
      </c>
      <c r="T181" s="25" t="s">
        <v>440</v>
      </c>
      <c r="U181" s="25" t="s">
        <v>4</v>
      </c>
      <c r="V181" s="25">
        <v>1.5</v>
      </c>
      <c r="W181" s="25" t="s">
        <v>1</v>
      </c>
      <c r="X181" s="25" t="s">
        <v>1</v>
      </c>
      <c r="Y181" s="25" t="s">
        <v>1</v>
      </c>
      <c r="Z181" s="25" t="s">
        <v>1</v>
      </c>
      <c r="AA181" s="1" t="s">
        <v>2089</v>
      </c>
    </row>
    <row r="182" spans="1:27">
      <c r="A182" s="1">
        <f t="shared" si="2"/>
        <v>177</v>
      </c>
      <c r="B182" s="1" t="s">
        <v>470</v>
      </c>
      <c r="C182" s="26" t="s">
        <v>1729</v>
      </c>
      <c r="D182" s="3">
        <v>75</v>
      </c>
      <c r="E182" s="1" t="s">
        <v>7</v>
      </c>
      <c r="F182" s="3">
        <v>25.7</v>
      </c>
      <c r="G182" s="31">
        <v>43837</v>
      </c>
      <c r="H182" s="1" t="s">
        <v>3080</v>
      </c>
      <c r="I182" s="1" t="s">
        <v>3079</v>
      </c>
      <c r="J182" s="1" t="s">
        <v>2091</v>
      </c>
      <c r="K182" s="1" t="s">
        <v>2108</v>
      </c>
      <c r="L182" s="1">
        <v>2015</v>
      </c>
      <c r="N182" s="1" t="s">
        <v>3078</v>
      </c>
      <c r="O182" s="25" t="s">
        <v>5</v>
      </c>
      <c r="P182" s="25">
        <v>21.6</v>
      </c>
      <c r="Q182" s="25" t="s">
        <v>3077</v>
      </c>
      <c r="R182" s="25" t="s">
        <v>1</v>
      </c>
      <c r="S182" s="25" t="s">
        <v>1</v>
      </c>
      <c r="T182" s="25" t="s">
        <v>1</v>
      </c>
      <c r="U182" s="25" t="s">
        <v>1</v>
      </c>
      <c r="V182" s="25" t="s">
        <v>1</v>
      </c>
      <c r="W182" s="25" t="s">
        <v>1</v>
      </c>
      <c r="X182" s="25" t="s">
        <v>1</v>
      </c>
      <c r="Y182" s="25" t="s">
        <v>1</v>
      </c>
      <c r="Z182" s="25" t="s">
        <v>1</v>
      </c>
      <c r="AA182" s="1" t="s">
        <v>3076</v>
      </c>
    </row>
    <row r="183" spans="1:27">
      <c r="A183" s="1">
        <f t="shared" si="2"/>
        <v>178</v>
      </c>
      <c r="B183" s="1" t="s">
        <v>358</v>
      </c>
      <c r="C183" s="26" t="s">
        <v>1729</v>
      </c>
      <c r="D183" s="3">
        <v>75</v>
      </c>
      <c r="E183" s="1" t="s">
        <v>7</v>
      </c>
      <c r="F183" s="3">
        <v>22</v>
      </c>
      <c r="G183" s="4">
        <v>44861</v>
      </c>
      <c r="H183" s="1" t="s">
        <v>3075</v>
      </c>
      <c r="I183" s="1" t="s">
        <v>3074</v>
      </c>
      <c r="J183" s="1" t="s">
        <v>2091</v>
      </c>
      <c r="K183" s="1" t="s">
        <v>2108</v>
      </c>
      <c r="L183" s="1">
        <v>2018</v>
      </c>
      <c r="N183" s="1" t="s">
        <v>3073</v>
      </c>
      <c r="O183" s="25" t="s">
        <v>5</v>
      </c>
      <c r="P183" s="25">
        <v>15</v>
      </c>
      <c r="Q183" s="25" t="s">
        <v>3072</v>
      </c>
      <c r="R183" s="25" t="s">
        <v>4</v>
      </c>
      <c r="S183" s="25">
        <v>7</v>
      </c>
      <c r="T183" s="25" t="s">
        <v>359</v>
      </c>
      <c r="U183" s="25" t="s">
        <v>1</v>
      </c>
      <c r="V183" s="25" t="s">
        <v>1</v>
      </c>
      <c r="W183" s="25" t="s">
        <v>1</v>
      </c>
      <c r="X183" s="25" t="s">
        <v>1</v>
      </c>
      <c r="Y183" s="25" t="s">
        <v>1</v>
      </c>
      <c r="Z183" s="25" t="s">
        <v>1</v>
      </c>
      <c r="AA183" s="1" t="s">
        <v>2124</v>
      </c>
    </row>
    <row r="184" spans="1:27">
      <c r="A184" s="1">
        <f t="shared" si="2"/>
        <v>179</v>
      </c>
      <c r="B184" s="1" t="s">
        <v>734</v>
      </c>
      <c r="C184" s="26" t="s">
        <v>1729</v>
      </c>
      <c r="D184" s="3">
        <v>75</v>
      </c>
      <c r="E184" s="1" t="s">
        <v>5</v>
      </c>
      <c r="F184" s="3">
        <v>20</v>
      </c>
      <c r="G184" s="4">
        <v>44903</v>
      </c>
      <c r="H184" s="1" t="s">
        <v>3071</v>
      </c>
      <c r="I184" s="1" t="s">
        <v>3070</v>
      </c>
      <c r="J184" s="1" t="s">
        <v>2091</v>
      </c>
      <c r="K184" s="1" t="s">
        <v>3069</v>
      </c>
      <c r="L184" s="44" t="s">
        <v>3046</v>
      </c>
      <c r="N184" s="1" t="s">
        <v>3068</v>
      </c>
      <c r="O184" s="25" t="s">
        <v>5</v>
      </c>
      <c r="P184" s="25">
        <v>11</v>
      </c>
      <c r="Q184" s="25" t="s">
        <v>3067</v>
      </c>
      <c r="R184" s="25" t="s">
        <v>4</v>
      </c>
      <c r="S184" s="25">
        <v>3</v>
      </c>
      <c r="T184" s="25" t="s">
        <v>3066</v>
      </c>
      <c r="U184" s="25" t="s">
        <v>285</v>
      </c>
      <c r="V184" s="25">
        <v>1.2</v>
      </c>
      <c r="W184" s="25" t="s">
        <v>3065</v>
      </c>
      <c r="X184" s="25" t="s">
        <v>1</v>
      </c>
      <c r="Y184" s="25" t="s">
        <v>1</v>
      </c>
      <c r="Z184" s="25" t="s">
        <v>1</v>
      </c>
      <c r="AA184" s="1" t="s">
        <v>2089</v>
      </c>
    </row>
    <row r="185" spans="1:27">
      <c r="A185" s="1">
        <f t="shared" si="2"/>
        <v>180</v>
      </c>
      <c r="B185" s="1" t="s">
        <v>3064</v>
      </c>
      <c r="C185" s="26" t="s">
        <v>1729</v>
      </c>
      <c r="D185" s="3">
        <v>75</v>
      </c>
      <c r="E185" s="1" t="s">
        <v>5</v>
      </c>
      <c r="F185" s="3">
        <v>20</v>
      </c>
      <c r="G185" s="4">
        <v>44578</v>
      </c>
      <c r="H185" s="1" t="s">
        <v>2937</v>
      </c>
      <c r="J185" s="1" t="s">
        <v>2091</v>
      </c>
      <c r="K185" s="1" t="s">
        <v>2578</v>
      </c>
      <c r="L185" s="32">
        <v>43510</v>
      </c>
      <c r="N185" s="1" t="s">
        <v>3063</v>
      </c>
      <c r="O185" s="25" t="s">
        <v>4</v>
      </c>
      <c r="P185" s="25">
        <v>6</v>
      </c>
      <c r="Q185" s="25" t="s">
        <v>3062</v>
      </c>
      <c r="R185" s="25" t="s">
        <v>4</v>
      </c>
      <c r="S185" s="25" t="s">
        <v>1</v>
      </c>
      <c r="T185" s="25" t="s">
        <v>3061</v>
      </c>
      <c r="U185" s="25" t="s">
        <v>1</v>
      </c>
      <c r="V185" s="25" t="s">
        <v>1</v>
      </c>
      <c r="W185" s="25" t="s">
        <v>1</v>
      </c>
      <c r="X185" s="25" t="s">
        <v>1</v>
      </c>
      <c r="Y185" s="25" t="s">
        <v>1</v>
      </c>
      <c r="Z185" s="25" t="s">
        <v>1</v>
      </c>
      <c r="AA185" s="1" t="s">
        <v>2488</v>
      </c>
    </row>
    <row r="186" spans="1:27">
      <c r="A186" s="1">
        <f t="shared" si="2"/>
        <v>181</v>
      </c>
      <c r="B186" s="1" t="s">
        <v>3060</v>
      </c>
      <c r="C186" s="26" t="s">
        <v>1729</v>
      </c>
      <c r="D186" s="3">
        <v>75</v>
      </c>
      <c r="E186" s="1" t="s">
        <v>5</v>
      </c>
      <c r="F186" s="3">
        <v>20</v>
      </c>
      <c r="G186" s="4">
        <v>44602</v>
      </c>
      <c r="H186" s="1" t="s">
        <v>3059</v>
      </c>
      <c r="I186" s="1" t="s">
        <v>3058</v>
      </c>
      <c r="J186" s="1" t="s">
        <v>2091</v>
      </c>
      <c r="K186" s="1" t="s">
        <v>2578</v>
      </c>
      <c r="L186" s="1">
        <v>2019</v>
      </c>
      <c r="N186" s="1" t="s">
        <v>3057</v>
      </c>
      <c r="O186" s="25" t="s">
        <v>1</v>
      </c>
      <c r="P186" s="25" t="s">
        <v>1</v>
      </c>
      <c r="Q186" s="25" t="s">
        <v>1</v>
      </c>
      <c r="R186" s="25" t="s">
        <v>1</v>
      </c>
      <c r="S186" s="25" t="s">
        <v>1</v>
      </c>
      <c r="T186" s="25" t="s">
        <v>1</v>
      </c>
      <c r="U186" s="25" t="s">
        <v>1</v>
      </c>
      <c r="V186" s="25" t="s">
        <v>1</v>
      </c>
      <c r="W186" s="25" t="s">
        <v>1</v>
      </c>
      <c r="X186" s="25" t="s">
        <v>1</v>
      </c>
      <c r="Y186" s="25" t="s">
        <v>1</v>
      </c>
      <c r="Z186" s="25" t="s">
        <v>1</v>
      </c>
      <c r="AA186" s="1" t="s">
        <v>2124</v>
      </c>
    </row>
    <row r="187" spans="1:27" s="12" customFormat="1">
      <c r="A187" s="1">
        <f t="shared" si="2"/>
        <v>182</v>
      </c>
      <c r="B187" s="12" t="s">
        <v>706</v>
      </c>
      <c r="C187" s="35" t="s">
        <v>1729</v>
      </c>
      <c r="D187" s="15">
        <v>75</v>
      </c>
      <c r="E187" s="12" t="s">
        <v>5</v>
      </c>
      <c r="F187" s="15">
        <v>20</v>
      </c>
      <c r="G187" s="42">
        <v>44392</v>
      </c>
      <c r="H187" s="12" t="s">
        <v>3056</v>
      </c>
      <c r="I187" s="12" t="s">
        <v>3055</v>
      </c>
      <c r="J187" s="40" t="s">
        <v>2091</v>
      </c>
      <c r="K187" s="40" t="s">
        <v>2504</v>
      </c>
      <c r="L187" s="12">
        <v>2019</v>
      </c>
      <c r="N187" s="12" t="s">
        <v>3054</v>
      </c>
      <c r="O187" s="24" t="s">
        <v>4</v>
      </c>
      <c r="P187" s="24">
        <v>3.4</v>
      </c>
      <c r="Q187" s="24" t="s">
        <v>707</v>
      </c>
      <c r="R187" s="24" t="s">
        <v>1</v>
      </c>
      <c r="S187" s="24" t="s">
        <v>1</v>
      </c>
      <c r="T187" s="24" t="s">
        <v>1</v>
      </c>
      <c r="U187" s="24" t="s">
        <v>1</v>
      </c>
      <c r="V187" s="24" t="s">
        <v>1</v>
      </c>
      <c r="W187" s="24" t="s">
        <v>1</v>
      </c>
      <c r="X187" s="24" t="s">
        <v>1</v>
      </c>
      <c r="Y187" s="24" t="s">
        <v>1</v>
      </c>
      <c r="Z187" s="24" t="s">
        <v>1</v>
      </c>
      <c r="AA187" s="12" t="s">
        <v>2101</v>
      </c>
    </row>
    <row r="188" spans="1:27" s="12" customFormat="1">
      <c r="A188" s="1">
        <f t="shared" si="2"/>
        <v>183</v>
      </c>
      <c r="B188" s="12" t="s">
        <v>3053</v>
      </c>
      <c r="C188" s="35" t="s">
        <v>1729</v>
      </c>
      <c r="D188" s="15">
        <v>75</v>
      </c>
      <c r="E188" s="12" t="s">
        <v>5</v>
      </c>
      <c r="F188" s="15">
        <v>20</v>
      </c>
      <c r="G188" s="14">
        <v>44614</v>
      </c>
      <c r="H188" s="12" t="s">
        <v>3052</v>
      </c>
      <c r="J188" s="12" t="s">
        <v>2626</v>
      </c>
      <c r="K188" s="12" t="s">
        <v>3051</v>
      </c>
      <c r="L188" s="12">
        <v>2021</v>
      </c>
      <c r="N188" s="12" t="s">
        <v>3050</v>
      </c>
      <c r="O188" s="24" t="s">
        <v>1</v>
      </c>
      <c r="P188" s="24" t="s">
        <v>1</v>
      </c>
      <c r="Q188" s="24" t="s">
        <v>1</v>
      </c>
      <c r="R188" s="24" t="s">
        <v>1</v>
      </c>
      <c r="S188" s="24" t="s">
        <v>1</v>
      </c>
      <c r="T188" s="24" t="s">
        <v>1</v>
      </c>
      <c r="U188" s="24" t="s">
        <v>1</v>
      </c>
      <c r="V188" s="24" t="s">
        <v>1</v>
      </c>
      <c r="W188" s="24" t="s">
        <v>1</v>
      </c>
      <c r="X188" s="24" t="s">
        <v>1</v>
      </c>
      <c r="Y188" s="24" t="s">
        <v>1</v>
      </c>
      <c r="Z188" s="24" t="s">
        <v>1</v>
      </c>
      <c r="AA188" s="12" t="s">
        <v>3049</v>
      </c>
    </row>
    <row r="189" spans="1:27">
      <c r="A189" s="1">
        <f t="shared" si="2"/>
        <v>184</v>
      </c>
      <c r="B189" s="12" t="s">
        <v>732</v>
      </c>
      <c r="C189" s="26" t="s">
        <v>1729</v>
      </c>
      <c r="D189" s="3">
        <v>75</v>
      </c>
      <c r="E189" s="1" t="s">
        <v>5</v>
      </c>
      <c r="F189" s="3">
        <v>20</v>
      </c>
      <c r="G189" s="31">
        <v>44455</v>
      </c>
      <c r="H189" s="1" t="s">
        <v>3048</v>
      </c>
      <c r="I189" s="1" t="s">
        <v>3047</v>
      </c>
      <c r="J189" s="1" t="s">
        <v>2626</v>
      </c>
      <c r="K189" s="1" t="s">
        <v>2448</v>
      </c>
      <c r="L189" s="43" t="s">
        <v>3046</v>
      </c>
      <c r="N189" s="1" t="s">
        <v>3045</v>
      </c>
      <c r="O189" s="25" t="s">
        <v>4</v>
      </c>
      <c r="P189" s="25" t="s">
        <v>3044</v>
      </c>
      <c r="Q189" s="25" t="s">
        <v>1</v>
      </c>
      <c r="R189" s="25" t="s">
        <v>1</v>
      </c>
      <c r="S189" s="25" t="s">
        <v>1</v>
      </c>
      <c r="T189" s="25" t="s">
        <v>1</v>
      </c>
      <c r="U189" s="25" t="s">
        <v>1</v>
      </c>
      <c r="V189" s="25" t="s">
        <v>1</v>
      </c>
      <c r="W189" s="25" t="s">
        <v>1</v>
      </c>
      <c r="X189" s="25" t="s">
        <v>1</v>
      </c>
      <c r="Y189" s="25" t="s">
        <v>1</v>
      </c>
      <c r="Z189" s="25" t="s">
        <v>1</v>
      </c>
      <c r="AA189" s="1" t="s">
        <v>3043</v>
      </c>
    </row>
    <row r="190" spans="1:27">
      <c r="A190" s="1">
        <f t="shared" si="2"/>
        <v>185</v>
      </c>
      <c r="B190" s="1" t="s">
        <v>1157</v>
      </c>
      <c r="C190" s="26" t="s">
        <v>1729</v>
      </c>
      <c r="D190" s="3">
        <v>75</v>
      </c>
      <c r="E190" s="1" t="s">
        <v>5</v>
      </c>
      <c r="F190" s="3">
        <v>20</v>
      </c>
      <c r="G190" s="31">
        <v>44371</v>
      </c>
      <c r="H190" s="1" t="s">
        <v>3042</v>
      </c>
      <c r="I190" s="1" t="s">
        <v>3041</v>
      </c>
      <c r="J190" s="1" t="s">
        <v>2091</v>
      </c>
      <c r="K190" s="1" t="s">
        <v>2283</v>
      </c>
      <c r="L190" s="43">
        <v>2020</v>
      </c>
      <c r="N190" s="1" t="s">
        <v>3040</v>
      </c>
      <c r="O190" s="25" t="s">
        <v>1</v>
      </c>
      <c r="P190" s="25" t="s">
        <v>1</v>
      </c>
      <c r="Q190" s="25" t="s">
        <v>1</v>
      </c>
      <c r="R190" s="25" t="s">
        <v>1</v>
      </c>
      <c r="S190" s="25" t="s">
        <v>1</v>
      </c>
      <c r="T190" s="25" t="s">
        <v>1</v>
      </c>
      <c r="U190" s="25" t="s">
        <v>1</v>
      </c>
      <c r="V190" s="25" t="s">
        <v>1</v>
      </c>
      <c r="W190" s="25" t="s">
        <v>1</v>
      </c>
      <c r="X190" s="25" t="s">
        <v>1</v>
      </c>
      <c r="Y190" s="25" t="s">
        <v>1</v>
      </c>
      <c r="Z190" s="25" t="s">
        <v>1</v>
      </c>
      <c r="AA190" s="1" t="s">
        <v>2101</v>
      </c>
    </row>
    <row r="191" spans="1:27">
      <c r="A191" s="1">
        <f t="shared" si="2"/>
        <v>186</v>
      </c>
      <c r="B191" s="1" t="s">
        <v>3039</v>
      </c>
      <c r="C191" s="26" t="s">
        <v>1729</v>
      </c>
      <c r="D191" s="3">
        <v>75</v>
      </c>
      <c r="E191" s="1" t="s">
        <v>4</v>
      </c>
      <c r="F191" s="3">
        <v>20</v>
      </c>
      <c r="G191" s="4">
        <v>44594</v>
      </c>
      <c r="H191" s="1" t="s">
        <v>3038</v>
      </c>
      <c r="I191" s="1" t="s">
        <v>3037</v>
      </c>
      <c r="J191" s="1" t="s">
        <v>2402</v>
      </c>
      <c r="K191" s="1" t="s">
        <v>3036</v>
      </c>
      <c r="L191" s="1">
        <v>2021</v>
      </c>
      <c r="N191" s="1" t="s">
        <v>1</v>
      </c>
      <c r="O191" s="1" t="s">
        <v>1</v>
      </c>
      <c r="P191" s="1" t="s">
        <v>1</v>
      </c>
      <c r="Q191" s="1" t="s">
        <v>1</v>
      </c>
      <c r="R191" s="1" t="s">
        <v>1</v>
      </c>
      <c r="S191" s="1" t="s">
        <v>1</v>
      </c>
      <c r="T191" s="1" t="s">
        <v>1</v>
      </c>
      <c r="U191" s="1" t="s">
        <v>1</v>
      </c>
      <c r="V191" s="1" t="s">
        <v>1</v>
      </c>
      <c r="W191" s="1" t="s">
        <v>1</v>
      </c>
      <c r="X191" s="1" t="s">
        <v>1</v>
      </c>
      <c r="Y191" s="1" t="s">
        <v>1</v>
      </c>
      <c r="Z191" s="1" t="s">
        <v>1</v>
      </c>
      <c r="AA191" s="1" t="s">
        <v>2197</v>
      </c>
    </row>
    <row r="192" spans="1:27">
      <c r="A192" s="1">
        <f t="shared" si="2"/>
        <v>187</v>
      </c>
      <c r="B192" s="1" t="s">
        <v>3035</v>
      </c>
      <c r="C192" s="26" t="s">
        <v>1729</v>
      </c>
      <c r="D192" s="3">
        <v>75</v>
      </c>
      <c r="E192" s="1" t="s">
        <v>4</v>
      </c>
      <c r="F192" s="3">
        <v>18</v>
      </c>
      <c r="G192" s="4">
        <v>45022</v>
      </c>
      <c r="H192" s="1" t="s">
        <v>3034</v>
      </c>
      <c r="J192" s="1" t="s">
        <v>2091</v>
      </c>
      <c r="K192" s="1" t="s">
        <v>1833</v>
      </c>
      <c r="L192" s="1">
        <v>2022</v>
      </c>
      <c r="M192" s="1" t="s">
        <v>1938</v>
      </c>
      <c r="N192" s="1" t="s">
        <v>3033</v>
      </c>
      <c r="O192" s="25" t="s">
        <v>285</v>
      </c>
      <c r="P192" s="25">
        <v>2.2999999999999998</v>
      </c>
      <c r="Q192" s="25" t="s">
        <v>3032</v>
      </c>
      <c r="R192" s="25" t="s">
        <v>1</v>
      </c>
      <c r="S192" s="25" t="s">
        <v>1</v>
      </c>
      <c r="T192" s="25" t="s">
        <v>1</v>
      </c>
      <c r="U192" s="25" t="s">
        <v>1</v>
      </c>
      <c r="V192" s="25" t="s">
        <v>1</v>
      </c>
      <c r="W192" s="25" t="s">
        <v>1</v>
      </c>
      <c r="X192" s="25" t="s">
        <v>1</v>
      </c>
      <c r="Y192" s="25" t="s">
        <v>1</v>
      </c>
      <c r="Z192" s="25" t="s">
        <v>1</v>
      </c>
      <c r="AA192" s="1" t="s">
        <v>2094</v>
      </c>
    </row>
    <row r="193" spans="1:28">
      <c r="A193" s="1">
        <f t="shared" si="2"/>
        <v>188</v>
      </c>
      <c r="B193" s="12" t="s">
        <v>674</v>
      </c>
      <c r="C193" s="35" t="s">
        <v>1729</v>
      </c>
      <c r="D193" s="15">
        <v>75</v>
      </c>
      <c r="E193" s="12" t="s">
        <v>5</v>
      </c>
      <c r="F193" s="15">
        <v>17</v>
      </c>
      <c r="G193" s="14">
        <v>44679</v>
      </c>
      <c r="H193" s="12" t="s">
        <v>3031</v>
      </c>
      <c r="I193" s="12" t="s">
        <v>3030</v>
      </c>
      <c r="J193" s="12" t="s">
        <v>2626</v>
      </c>
      <c r="K193" s="12" t="s">
        <v>2448</v>
      </c>
      <c r="L193" s="12">
        <v>2019</v>
      </c>
      <c r="N193" s="1" t="s">
        <v>3029</v>
      </c>
      <c r="O193" s="25" t="s">
        <v>4</v>
      </c>
      <c r="P193" s="25">
        <v>4.5</v>
      </c>
      <c r="Q193" s="25" t="s">
        <v>3028</v>
      </c>
      <c r="R193" s="25" t="s">
        <v>1</v>
      </c>
      <c r="S193" s="25" t="s">
        <v>1</v>
      </c>
      <c r="T193" s="25" t="s">
        <v>1</v>
      </c>
      <c r="U193" s="25" t="s">
        <v>1</v>
      </c>
      <c r="V193" s="25" t="s">
        <v>1</v>
      </c>
      <c r="W193" s="25" t="s">
        <v>1</v>
      </c>
      <c r="X193" s="25" t="s">
        <v>1</v>
      </c>
      <c r="Y193" s="25" t="s">
        <v>1</v>
      </c>
      <c r="Z193" s="25" t="s">
        <v>1</v>
      </c>
      <c r="AA193" s="1" t="s">
        <v>2415</v>
      </c>
    </row>
    <row r="194" spans="1:28" s="12" customFormat="1">
      <c r="A194" s="1">
        <f t="shared" si="2"/>
        <v>189</v>
      </c>
      <c r="B194" s="12" t="s">
        <v>3027</v>
      </c>
      <c r="C194" s="35" t="s">
        <v>1729</v>
      </c>
      <c r="D194" s="15">
        <v>75</v>
      </c>
      <c r="E194" s="12" t="s">
        <v>4</v>
      </c>
      <c r="F194" s="15">
        <v>16</v>
      </c>
      <c r="G194" s="42">
        <v>44434</v>
      </c>
      <c r="H194" s="12" t="s">
        <v>3026</v>
      </c>
      <c r="I194" s="12" t="s">
        <v>3025</v>
      </c>
      <c r="J194" s="12" t="s">
        <v>2361</v>
      </c>
      <c r="K194" s="12" t="s">
        <v>2762</v>
      </c>
      <c r="L194" s="12">
        <v>2020</v>
      </c>
      <c r="N194" s="12" t="s">
        <v>3024</v>
      </c>
      <c r="O194" s="24" t="s">
        <v>285</v>
      </c>
      <c r="P194" s="24" t="s">
        <v>1</v>
      </c>
      <c r="Q194" s="24" t="s">
        <v>3023</v>
      </c>
      <c r="R194" s="24" t="s">
        <v>1</v>
      </c>
      <c r="S194" s="24" t="s">
        <v>1</v>
      </c>
      <c r="T194" s="24" t="s">
        <v>1</v>
      </c>
      <c r="U194" s="24" t="s">
        <v>1</v>
      </c>
      <c r="V194" s="24" t="s">
        <v>1</v>
      </c>
      <c r="W194" s="24" t="s">
        <v>1</v>
      </c>
      <c r="X194" s="24" t="s">
        <v>1</v>
      </c>
      <c r="Y194" s="24" t="s">
        <v>1</v>
      </c>
      <c r="Z194" s="24" t="s">
        <v>1</v>
      </c>
      <c r="AA194" s="12" t="s">
        <v>2488</v>
      </c>
    </row>
    <row r="195" spans="1:28">
      <c r="A195" s="1">
        <f t="shared" si="2"/>
        <v>190</v>
      </c>
      <c r="B195" s="1" t="s">
        <v>861</v>
      </c>
      <c r="C195" s="26" t="s">
        <v>1729</v>
      </c>
      <c r="D195" s="3">
        <v>75</v>
      </c>
      <c r="E195" s="1" t="s">
        <v>4</v>
      </c>
      <c r="F195" s="3">
        <v>16</v>
      </c>
      <c r="G195" s="31">
        <v>44298</v>
      </c>
      <c r="I195" s="1" t="s">
        <v>3022</v>
      </c>
      <c r="J195" s="1" t="s">
        <v>2091</v>
      </c>
      <c r="K195" s="1" t="s">
        <v>2177</v>
      </c>
      <c r="L195" s="1">
        <v>2019</v>
      </c>
      <c r="N195" s="1" t="s">
        <v>3021</v>
      </c>
      <c r="O195" s="25" t="s">
        <v>4</v>
      </c>
      <c r="P195" s="25" t="s">
        <v>1</v>
      </c>
      <c r="Q195" s="25" t="s">
        <v>3020</v>
      </c>
      <c r="R195" s="25" t="s">
        <v>1</v>
      </c>
      <c r="S195" s="25" t="s">
        <v>1</v>
      </c>
      <c r="T195" s="25" t="s">
        <v>1</v>
      </c>
      <c r="U195" s="25" t="s">
        <v>1</v>
      </c>
      <c r="V195" s="25" t="s">
        <v>1</v>
      </c>
      <c r="W195" s="25" t="s">
        <v>1</v>
      </c>
      <c r="X195" s="25" t="s">
        <v>1</v>
      </c>
      <c r="Y195" s="25" t="s">
        <v>1</v>
      </c>
      <c r="Z195" s="25" t="s">
        <v>1</v>
      </c>
      <c r="AA195" s="1" t="s">
        <v>2415</v>
      </c>
    </row>
    <row r="196" spans="1:28">
      <c r="A196" s="1">
        <f t="shared" si="2"/>
        <v>191</v>
      </c>
      <c r="B196" s="1" t="s">
        <v>296</v>
      </c>
      <c r="C196" s="26" t="s">
        <v>1729</v>
      </c>
      <c r="D196" s="3">
        <v>75</v>
      </c>
      <c r="E196" s="1" t="s">
        <v>5</v>
      </c>
      <c r="F196" s="3">
        <v>30</v>
      </c>
      <c r="G196" s="4">
        <v>44474</v>
      </c>
      <c r="H196" s="1" t="s">
        <v>3019</v>
      </c>
      <c r="I196" s="1" t="s">
        <v>3018</v>
      </c>
      <c r="J196" s="1" t="s">
        <v>2091</v>
      </c>
      <c r="K196" s="1" t="s">
        <v>2125</v>
      </c>
      <c r="L196" s="1">
        <v>2017</v>
      </c>
      <c r="N196" s="1" t="s">
        <v>3017</v>
      </c>
      <c r="O196" s="25" t="s">
        <v>4</v>
      </c>
      <c r="P196" s="25">
        <v>15</v>
      </c>
      <c r="Q196" s="25" t="s">
        <v>3016</v>
      </c>
      <c r="R196" s="25" t="s">
        <v>1</v>
      </c>
      <c r="S196" s="25" t="s">
        <v>1</v>
      </c>
      <c r="T196" s="25" t="s">
        <v>1</v>
      </c>
      <c r="U196" s="25" t="s">
        <v>1</v>
      </c>
      <c r="V196" s="25" t="s">
        <v>1</v>
      </c>
      <c r="W196" s="25" t="s">
        <v>1</v>
      </c>
      <c r="X196" s="25" t="s">
        <v>1</v>
      </c>
      <c r="Y196" s="25" t="s">
        <v>1</v>
      </c>
      <c r="Z196" s="25" t="s">
        <v>1</v>
      </c>
      <c r="AA196" s="1" t="s">
        <v>3015</v>
      </c>
    </row>
    <row r="197" spans="1:28">
      <c r="A197" s="1">
        <f t="shared" si="2"/>
        <v>192</v>
      </c>
      <c r="B197" s="1" t="s">
        <v>1156</v>
      </c>
      <c r="C197" s="26" t="s">
        <v>1729</v>
      </c>
      <c r="D197" s="3">
        <v>75</v>
      </c>
      <c r="E197" s="1" t="s">
        <v>5</v>
      </c>
      <c r="F197" s="3">
        <v>15</v>
      </c>
      <c r="G197" s="4">
        <v>44468</v>
      </c>
      <c r="H197" s="12" t="s">
        <v>3014</v>
      </c>
      <c r="J197" s="1" t="s">
        <v>2091</v>
      </c>
      <c r="K197" s="1" t="s">
        <v>2509</v>
      </c>
      <c r="L197" s="1">
        <v>2021</v>
      </c>
      <c r="N197" s="1" t="s">
        <v>3013</v>
      </c>
      <c r="O197" s="25" t="s">
        <v>1</v>
      </c>
      <c r="P197" s="25" t="s">
        <v>1</v>
      </c>
      <c r="Q197" s="25" t="s">
        <v>1</v>
      </c>
      <c r="R197" s="25" t="s">
        <v>1</v>
      </c>
      <c r="S197" s="25" t="s">
        <v>1</v>
      </c>
      <c r="T197" s="25" t="s">
        <v>1</v>
      </c>
      <c r="U197" s="25" t="s">
        <v>1</v>
      </c>
      <c r="V197" s="25" t="s">
        <v>1</v>
      </c>
      <c r="W197" s="25" t="s">
        <v>1</v>
      </c>
      <c r="X197" s="25" t="s">
        <v>1</v>
      </c>
      <c r="Y197" s="25" t="s">
        <v>1</v>
      </c>
      <c r="Z197" s="25" t="s">
        <v>1</v>
      </c>
      <c r="AA197" s="1" t="s">
        <v>2968</v>
      </c>
    </row>
    <row r="198" spans="1:28">
      <c r="A198" s="1">
        <f t="shared" si="2"/>
        <v>193</v>
      </c>
      <c r="B198" s="1" t="s">
        <v>3012</v>
      </c>
      <c r="C198" s="26" t="s">
        <v>1729</v>
      </c>
      <c r="D198" s="3">
        <v>75</v>
      </c>
      <c r="E198" s="1" t="s">
        <v>5</v>
      </c>
      <c r="F198" s="3">
        <v>13</v>
      </c>
      <c r="G198" s="4">
        <v>44516</v>
      </c>
      <c r="H198" s="1" t="s">
        <v>3011</v>
      </c>
      <c r="I198" s="1" t="s">
        <v>3010</v>
      </c>
      <c r="J198" s="1" t="s">
        <v>2091</v>
      </c>
      <c r="K198" s="1" t="s">
        <v>3009</v>
      </c>
      <c r="L198" s="1">
        <v>2017</v>
      </c>
      <c r="N198" s="1" t="s">
        <v>3008</v>
      </c>
      <c r="O198" s="25" t="s">
        <v>4</v>
      </c>
      <c r="P198" s="25">
        <v>2.5</v>
      </c>
      <c r="Q198" s="25" t="s">
        <v>3007</v>
      </c>
      <c r="R198" s="25" t="s">
        <v>4</v>
      </c>
      <c r="S198" s="25" t="s">
        <v>1</v>
      </c>
      <c r="T198" s="25" t="s">
        <v>3006</v>
      </c>
      <c r="U198" s="25" t="s">
        <v>1</v>
      </c>
      <c r="V198" s="25" t="s">
        <v>1</v>
      </c>
      <c r="W198" s="25" t="s">
        <v>1</v>
      </c>
      <c r="X198" s="25" t="s">
        <v>1</v>
      </c>
      <c r="Y198" s="25" t="s">
        <v>1</v>
      </c>
      <c r="Z198" s="25" t="s">
        <v>1</v>
      </c>
      <c r="AA198" s="1" t="s">
        <v>2094</v>
      </c>
    </row>
    <row r="199" spans="1:28">
      <c r="A199" s="1">
        <f t="shared" si="2"/>
        <v>194</v>
      </c>
      <c r="B199" s="1" t="s">
        <v>3005</v>
      </c>
      <c r="C199" s="26" t="s">
        <v>1729</v>
      </c>
      <c r="D199" s="3">
        <v>60</v>
      </c>
      <c r="E199" s="1" t="s">
        <v>5</v>
      </c>
      <c r="F199" s="3">
        <v>21.7</v>
      </c>
      <c r="G199" s="4">
        <v>44909</v>
      </c>
      <c r="H199" s="1" t="s">
        <v>3004</v>
      </c>
      <c r="J199" s="1" t="s">
        <v>2147</v>
      </c>
      <c r="K199" s="1" t="s">
        <v>3003</v>
      </c>
      <c r="L199" s="1">
        <v>2022</v>
      </c>
      <c r="N199" s="1" t="s">
        <v>3002</v>
      </c>
      <c r="O199" s="25" t="s">
        <v>1</v>
      </c>
      <c r="P199" s="25" t="s">
        <v>1</v>
      </c>
      <c r="Q199" s="25" t="s">
        <v>1</v>
      </c>
      <c r="R199" s="25" t="s">
        <v>1</v>
      </c>
      <c r="S199" s="25" t="s">
        <v>1</v>
      </c>
      <c r="T199" s="25" t="s">
        <v>1</v>
      </c>
      <c r="U199" s="25" t="s">
        <v>1</v>
      </c>
      <c r="V199" s="25" t="s">
        <v>1</v>
      </c>
      <c r="W199" s="25" t="s">
        <v>1</v>
      </c>
      <c r="X199" s="25" t="s">
        <v>1</v>
      </c>
      <c r="Y199" s="25" t="s">
        <v>1</v>
      </c>
      <c r="Z199" s="25" t="s">
        <v>1</v>
      </c>
      <c r="AA199" s="1" t="s">
        <v>2330</v>
      </c>
    </row>
    <row r="200" spans="1:28">
      <c r="A200" s="1">
        <f t="shared" ref="A200:A264" si="3">A199+1</f>
        <v>195</v>
      </c>
      <c r="B200" s="1" t="s">
        <v>309</v>
      </c>
      <c r="C200" s="26" t="s">
        <v>1729</v>
      </c>
      <c r="D200" s="3">
        <v>60</v>
      </c>
      <c r="E200" s="1" t="s">
        <v>5</v>
      </c>
      <c r="F200" s="3">
        <v>10</v>
      </c>
      <c r="G200" s="4">
        <v>44637</v>
      </c>
      <c r="H200" s="1" t="s">
        <v>3001</v>
      </c>
      <c r="I200" s="1" t="s">
        <v>3000</v>
      </c>
      <c r="J200" s="1" t="s">
        <v>2091</v>
      </c>
      <c r="K200" s="1" t="s">
        <v>2999</v>
      </c>
      <c r="L200" s="1">
        <v>2014</v>
      </c>
      <c r="N200" s="1" t="s">
        <v>2998</v>
      </c>
      <c r="O200" s="25" t="s">
        <v>4</v>
      </c>
      <c r="P200" s="25">
        <v>4.5</v>
      </c>
      <c r="Q200" s="25" t="s">
        <v>2997</v>
      </c>
      <c r="R200" s="25" t="s">
        <v>4</v>
      </c>
      <c r="S200" s="25">
        <v>1.8</v>
      </c>
      <c r="T200" s="25" t="s">
        <v>2996</v>
      </c>
      <c r="U200" s="25" t="s">
        <v>1</v>
      </c>
      <c r="V200" s="25" t="s">
        <v>1</v>
      </c>
      <c r="W200" s="25" t="s">
        <v>1</v>
      </c>
      <c r="X200" s="25" t="s">
        <v>1</v>
      </c>
      <c r="Y200" s="25" t="s">
        <v>1</v>
      </c>
      <c r="Z200" s="25" t="s">
        <v>1</v>
      </c>
      <c r="AA200" s="1" t="s">
        <v>2094</v>
      </c>
    </row>
    <row r="201" spans="1:28">
      <c r="A201" s="1">
        <f t="shared" si="3"/>
        <v>196</v>
      </c>
      <c r="B201" s="1" t="s">
        <v>2995</v>
      </c>
      <c r="C201" s="26" t="s">
        <v>1729</v>
      </c>
      <c r="D201" s="3">
        <v>50</v>
      </c>
      <c r="E201" s="1" t="s">
        <v>5</v>
      </c>
      <c r="F201" s="3">
        <v>20.9</v>
      </c>
      <c r="G201" s="4">
        <v>44411</v>
      </c>
      <c r="H201" s="1" t="s">
        <v>2994</v>
      </c>
      <c r="I201" s="1" t="s">
        <v>2993</v>
      </c>
      <c r="J201" s="1" t="s">
        <v>2091</v>
      </c>
      <c r="K201" s="1" t="s">
        <v>2992</v>
      </c>
      <c r="L201" s="1">
        <v>2018</v>
      </c>
      <c r="N201" s="1" t="s">
        <v>2991</v>
      </c>
      <c r="O201" s="25" t="s">
        <v>4</v>
      </c>
      <c r="P201" s="25">
        <v>1.5</v>
      </c>
      <c r="Q201" s="25" t="s">
        <v>2990</v>
      </c>
      <c r="R201" s="25" t="s">
        <v>1</v>
      </c>
      <c r="S201" s="25" t="s">
        <v>1</v>
      </c>
      <c r="T201" s="25" t="s">
        <v>1</v>
      </c>
      <c r="U201" s="25" t="s">
        <v>1</v>
      </c>
      <c r="V201" s="25" t="s">
        <v>1</v>
      </c>
      <c r="W201" s="25" t="s">
        <v>1</v>
      </c>
      <c r="X201" s="25" t="s">
        <v>1</v>
      </c>
      <c r="Y201" s="25" t="s">
        <v>1</v>
      </c>
      <c r="Z201" s="25" t="s">
        <v>1</v>
      </c>
      <c r="AA201" s="1" t="s">
        <v>2251</v>
      </c>
    </row>
    <row r="202" spans="1:28">
      <c r="A202" s="1">
        <f t="shared" si="3"/>
        <v>197</v>
      </c>
      <c r="B202" s="1" t="s">
        <v>1122</v>
      </c>
      <c r="C202" s="26" t="s">
        <v>1729</v>
      </c>
      <c r="D202" s="3">
        <v>50</v>
      </c>
      <c r="E202" s="1" t="s">
        <v>4</v>
      </c>
      <c r="F202" s="15">
        <v>18.5</v>
      </c>
      <c r="G202" s="4">
        <v>45050</v>
      </c>
      <c r="H202" s="1" t="s">
        <v>2989</v>
      </c>
      <c r="I202" s="1" t="s">
        <v>2988</v>
      </c>
      <c r="J202" s="1" t="s">
        <v>2091</v>
      </c>
      <c r="K202" s="1" t="s">
        <v>2102</v>
      </c>
      <c r="L202" s="1">
        <v>2023</v>
      </c>
      <c r="N202" s="1" t="s">
        <v>2987</v>
      </c>
      <c r="O202" s="25" t="s">
        <v>1</v>
      </c>
      <c r="P202" s="25" t="s">
        <v>1</v>
      </c>
      <c r="Q202" s="25" t="s">
        <v>1</v>
      </c>
      <c r="R202" s="25" t="s">
        <v>1</v>
      </c>
      <c r="S202" s="25" t="s">
        <v>1</v>
      </c>
      <c r="T202" s="25" t="s">
        <v>1</v>
      </c>
      <c r="U202" s="25" t="s">
        <v>1</v>
      </c>
      <c r="V202" s="25" t="s">
        <v>1</v>
      </c>
      <c r="W202" s="25" t="s">
        <v>1</v>
      </c>
      <c r="X202" s="25" t="s">
        <v>1</v>
      </c>
      <c r="Y202" s="25" t="s">
        <v>1</v>
      </c>
      <c r="Z202" s="25" t="s">
        <v>1</v>
      </c>
      <c r="AA202" s="1" t="s">
        <v>2415</v>
      </c>
    </row>
    <row r="203" spans="1:28">
      <c r="B203" s="1" t="s">
        <v>2071</v>
      </c>
      <c r="C203" s="26" t="s">
        <v>1729</v>
      </c>
      <c r="D203" s="3">
        <v>50</v>
      </c>
      <c r="E203" s="1" t="s">
        <v>5</v>
      </c>
      <c r="F203" s="3">
        <v>18</v>
      </c>
      <c r="G203" s="4">
        <v>44866</v>
      </c>
      <c r="H203" s="1" t="s">
        <v>4566</v>
      </c>
      <c r="I203" s="1" t="s">
        <v>4565</v>
      </c>
      <c r="J203" s="1" t="s">
        <v>2091</v>
      </c>
      <c r="K203" s="1" t="s">
        <v>2102</v>
      </c>
      <c r="L203" s="1">
        <v>2021</v>
      </c>
      <c r="N203" s="1" t="s">
        <v>4567</v>
      </c>
      <c r="O203" s="25" t="s">
        <v>4</v>
      </c>
      <c r="P203" s="25">
        <v>5.0999999999999996</v>
      </c>
      <c r="Q203" s="25" t="s">
        <v>4569</v>
      </c>
      <c r="R203" s="25" t="s">
        <v>1</v>
      </c>
      <c r="S203" s="25" t="s">
        <v>1</v>
      </c>
      <c r="T203" s="25" t="s">
        <v>1</v>
      </c>
      <c r="U203" s="25" t="s">
        <v>1</v>
      </c>
      <c r="V203" s="25" t="s">
        <v>1</v>
      </c>
      <c r="W203" s="25" t="s">
        <v>1</v>
      </c>
      <c r="X203" s="25" t="s">
        <v>1</v>
      </c>
      <c r="Y203" s="25" t="s">
        <v>1</v>
      </c>
      <c r="Z203" s="25" t="s">
        <v>1</v>
      </c>
      <c r="AA203" s="1" t="s">
        <v>2094</v>
      </c>
      <c r="AB203" s="28" t="s">
        <v>4564</v>
      </c>
    </row>
    <row r="204" spans="1:28">
      <c r="A204" s="1">
        <f>A202+1</f>
        <v>198</v>
      </c>
      <c r="B204" s="1" t="s">
        <v>474</v>
      </c>
      <c r="C204" s="26" t="s">
        <v>1729</v>
      </c>
      <c r="D204" s="3">
        <v>50</v>
      </c>
      <c r="E204" s="1" t="s">
        <v>5</v>
      </c>
      <c r="F204" s="3">
        <v>15.5</v>
      </c>
      <c r="G204" s="4">
        <v>44727</v>
      </c>
      <c r="H204" s="1" t="s">
        <v>2986</v>
      </c>
      <c r="I204" s="1" t="s">
        <v>2985</v>
      </c>
      <c r="J204" s="1" t="s">
        <v>2091</v>
      </c>
      <c r="K204" s="1" t="s">
        <v>2290</v>
      </c>
      <c r="L204" s="1">
        <v>2013</v>
      </c>
      <c r="N204" s="1" t="s">
        <v>2984</v>
      </c>
      <c r="O204" s="25" t="s">
        <v>5</v>
      </c>
      <c r="P204" s="25">
        <v>12</v>
      </c>
      <c r="Q204" s="41" t="s">
        <v>2983</v>
      </c>
      <c r="R204" s="25" t="s">
        <v>4</v>
      </c>
      <c r="S204" s="25">
        <v>2</v>
      </c>
      <c r="T204" s="25" t="s">
        <v>1125</v>
      </c>
      <c r="U204" s="25" t="s">
        <v>1</v>
      </c>
      <c r="V204" s="25" t="s">
        <v>1</v>
      </c>
      <c r="W204" s="25" t="s">
        <v>1</v>
      </c>
      <c r="X204" s="25" t="s">
        <v>1</v>
      </c>
      <c r="Y204" s="25" t="s">
        <v>1</v>
      </c>
      <c r="Z204" s="25" t="s">
        <v>1</v>
      </c>
      <c r="AA204" s="1" t="s">
        <v>2124</v>
      </c>
    </row>
    <row r="205" spans="1:28">
      <c r="A205" s="1">
        <f t="shared" si="3"/>
        <v>199</v>
      </c>
      <c r="B205" s="1" t="s">
        <v>362</v>
      </c>
      <c r="C205" s="26" t="s">
        <v>1729</v>
      </c>
      <c r="D205" s="3">
        <v>50</v>
      </c>
      <c r="E205" s="1" t="s">
        <v>5</v>
      </c>
      <c r="F205" s="3">
        <v>16</v>
      </c>
      <c r="G205" s="4">
        <v>44663</v>
      </c>
      <c r="H205" s="1" t="s">
        <v>2982</v>
      </c>
      <c r="I205" s="1" t="s">
        <v>2981</v>
      </c>
      <c r="J205" s="1" t="s">
        <v>2091</v>
      </c>
      <c r="K205" s="1" t="s">
        <v>2279</v>
      </c>
      <c r="L205" s="1">
        <v>2019</v>
      </c>
      <c r="N205" s="1" t="s">
        <v>2980</v>
      </c>
      <c r="O205" s="25" t="s">
        <v>4</v>
      </c>
      <c r="P205" s="25">
        <v>12</v>
      </c>
      <c r="Q205" s="25" t="s">
        <v>2979</v>
      </c>
      <c r="R205" s="25" t="s">
        <v>1</v>
      </c>
      <c r="S205" s="25" t="s">
        <v>1</v>
      </c>
      <c r="T205" s="25" t="s">
        <v>1</v>
      </c>
      <c r="U205" s="25" t="s">
        <v>1</v>
      </c>
      <c r="V205" s="25" t="s">
        <v>1</v>
      </c>
      <c r="W205" s="25" t="s">
        <v>1</v>
      </c>
      <c r="X205" s="25" t="s">
        <v>1</v>
      </c>
      <c r="Y205" s="25" t="s">
        <v>1</v>
      </c>
      <c r="Z205" s="25" t="s">
        <v>1</v>
      </c>
      <c r="AA205" s="1" t="s">
        <v>2124</v>
      </c>
    </row>
    <row r="206" spans="1:28">
      <c r="A206" s="1">
        <f t="shared" si="3"/>
        <v>200</v>
      </c>
      <c r="B206" s="1" t="s">
        <v>305</v>
      </c>
      <c r="C206" s="26" t="s">
        <v>1729</v>
      </c>
      <c r="D206" s="3">
        <v>50</v>
      </c>
      <c r="E206" s="1" t="s">
        <v>5</v>
      </c>
      <c r="F206" s="3">
        <v>15</v>
      </c>
      <c r="G206" s="4">
        <v>44314</v>
      </c>
      <c r="H206" s="1" t="s">
        <v>2978</v>
      </c>
      <c r="I206" s="1" t="s">
        <v>2977</v>
      </c>
      <c r="J206" s="1" t="s">
        <v>2091</v>
      </c>
      <c r="K206" s="1" t="s">
        <v>2976</v>
      </c>
      <c r="L206" s="1">
        <v>2017</v>
      </c>
      <c r="N206" s="1" t="s">
        <v>2975</v>
      </c>
      <c r="O206" s="25" t="s">
        <v>285</v>
      </c>
      <c r="P206" s="25" t="s">
        <v>1</v>
      </c>
      <c r="Q206" s="25" t="s">
        <v>2974</v>
      </c>
      <c r="R206" s="25" t="s">
        <v>1</v>
      </c>
      <c r="S206" s="25" t="s">
        <v>1</v>
      </c>
      <c r="T206" s="25" t="s">
        <v>1</v>
      </c>
      <c r="U206" s="25" t="s">
        <v>1</v>
      </c>
      <c r="V206" s="25" t="s">
        <v>1</v>
      </c>
      <c r="W206" s="25" t="s">
        <v>1</v>
      </c>
      <c r="X206" s="25" t="s">
        <v>1</v>
      </c>
      <c r="Y206" s="25" t="s">
        <v>1</v>
      </c>
      <c r="Z206" s="25" t="s">
        <v>1</v>
      </c>
      <c r="AA206" s="1" t="s">
        <v>2973</v>
      </c>
    </row>
    <row r="207" spans="1:28" s="12" customFormat="1">
      <c r="A207" s="1">
        <f t="shared" si="3"/>
        <v>201</v>
      </c>
      <c r="B207" s="12" t="s">
        <v>2972</v>
      </c>
      <c r="C207" s="35" t="s">
        <v>1729</v>
      </c>
      <c r="D207" s="15">
        <v>50</v>
      </c>
      <c r="E207" s="12" t="s">
        <v>5</v>
      </c>
      <c r="F207" s="15">
        <v>11</v>
      </c>
      <c r="G207" s="14">
        <v>45070</v>
      </c>
      <c r="H207" s="12" t="s">
        <v>2142</v>
      </c>
      <c r="J207" s="40" t="s">
        <v>2091</v>
      </c>
      <c r="K207" s="40" t="s">
        <v>2509</v>
      </c>
      <c r="L207" s="12">
        <v>2018</v>
      </c>
      <c r="N207" s="12" t="s">
        <v>2971</v>
      </c>
      <c r="O207" s="24" t="s">
        <v>4</v>
      </c>
      <c r="P207" s="24" t="s">
        <v>1</v>
      </c>
      <c r="Q207" s="24" t="s">
        <v>2970</v>
      </c>
      <c r="R207" s="24" t="s">
        <v>285</v>
      </c>
      <c r="S207" s="24" t="s">
        <v>1</v>
      </c>
      <c r="T207" s="24" t="s">
        <v>2969</v>
      </c>
      <c r="U207" s="25" t="s">
        <v>1</v>
      </c>
      <c r="V207" s="25" t="s">
        <v>1</v>
      </c>
      <c r="W207" s="25" t="s">
        <v>1</v>
      </c>
      <c r="X207" s="25" t="s">
        <v>1</v>
      </c>
      <c r="Y207" s="25" t="s">
        <v>1</v>
      </c>
      <c r="Z207" s="25" t="s">
        <v>1</v>
      </c>
      <c r="AA207" s="12" t="s">
        <v>2968</v>
      </c>
    </row>
    <row r="208" spans="1:28">
      <c r="A208" s="1">
        <f t="shared" si="3"/>
        <v>202</v>
      </c>
      <c r="B208" s="1" t="s">
        <v>693</v>
      </c>
      <c r="C208" s="26" t="s">
        <v>1729</v>
      </c>
      <c r="D208" s="3">
        <v>50</v>
      </c>
      <c r="E208" s="1" t="s">
        <v>5</v>
      </c>
      <c r="F208" s="3">
        <v>15</v>
      </c>
      <c r="G208" s="4">
        <v>44838</v>
      </c>
      <c r="H208" s="1" t="s">
        <v>2967</v>
      </c>
      <c r="I208" s="1" t="s">
        <v>2966</v>
      </c>
      <c r="J208" s="1" t="s">
        <v>2091</v>
      </c>
      <c r="K208" s="1" t="s">
        <v>2797</v>
      </c>
      <c r="L208" s="1">
        <v>2020</v>
      </c>
      <c r="N208" s="1" t="s">
        <v>2965</v>
      </c>
      <c r="O208" s="25" t="s">
        <v>1</v>
      </c>
      <c r="P208" s="25" t="s">
        <v>1</v>
      </c>
      <c r="Q208" s="25" t="s">
        <v>1</v>
      </c>
      <c r="R208" s="25" t="s">
        <v>1</v>
      </c>
      <c r="S208" s="25" t="s">
        <v>1</v>
      </c>
      <c r="T208" s="25" t="s">
        <v>1</v>
      </c>
      <c r="U208" s="25" t="s">
        <v>1</v>
      </c>
      <c r="V208" s="25" t="s">
        <v>1</v>
      </c>
      <c r="W208" s="25" t="s">
        <v>1</v>
      </c>
      <c r="X208" s="25" t="s">
        <v>1</v>
      </c>
      <c r="Y208" s="25" t="s">
        <v>1</v>
      </c>
      <c r="Z208" s="25" t="s">
        <v>1</v>
      </c>
      <c r="AA208" s="1" t="s">
        <v>2964</v>
      </c>
    </row>
    <row r="209" spans="1:27" s="12" customFormat="1">
      <c r="A209" s="1">
        <f t="shared" si="3"/>
        <v>203</v>
      </c>
      <c r="B209" s="12" t="s">
        <v>728</v>
      </c>
      <c r="C209" s="35" t="s">
        <v>1729</v>
      </c>
      <c r="D209" s="15">
        <v>50</v>
      </c>
      <c r="E209" s="12" t="s">
        <v>5</v>
      </c>
      <c r="F209" s="15">
        <v>12.5</v>
      </c>
      <c r="G209" s="14">
        <v>44784</v>
      </c>
      <c r="H209" s="12" t="s">
        <v>2963</v>
      </c>
      <c r="I209" s="12" t="s">
        <v>2962</v>
      </c>
      <c r="J209" s="12" t="s">
        <v>2091</v>
      </c>
      <c r="K209" s="12" t="s">
        <v>2108</v>
      </c>
      <c r="L209" s="39">
        <v>2018</v>
      </c>
      <c r="N209" s="12" t="s">
        <v>2961</v>
      </c>
      <c r="O209" s="24" t="s">
        <v>5</v>
      </c>
      <c r="P209" s="24">
        <v>10</v>
      </c>
      <c r="Q209" s="24" t="s">
        <v>2960</v>
      </c>
      <c r="R209" s="24" t="s">
        <v>285</v>
      </c>
      <c r="S209" s="24" t="s">
        <v>1</v>
      </c>
      <c r="T209" s="24" t="s">
        <v>2959</v>
      </c>
      <c r="U209" s="24" t="s">
        <v>4</v>
      </c>
      <c r="V209" s="24" t="s">
        <v>1</v>
      </c>
      <c r="W209" s="24" t="s">
        <v>2958</v>
      </c>
      <c r="X209" s="24" t="s">
        <v>1</v>
      </c>
      <c r="Y209" s="24" t="s">
        <v>1</v>
      </c>
      <c r="Z209" s="24" t="s">
        <v>1</v>
      </c>
      <c r="AA209" s="12" t="s">
        <v>2957</v>
      </c>
    </row>
    <row r="210" spans="1:27" s="12" customFormat="1">
      <c r="A210" s="1">
        <f t="shared" si="3"/>
        <v>204</v>
      </c>
      <c r="B210" s="12" t="s">
        <v>691</v>
      </c>
      <c r="C210" s="35" t="s">
        <v>1729</v>
      </c>
      <c r="D210" s="15">
        <v>50</v>
      </c>
      <c r="E210" s="12" t="s">
        <v>4</v>
      </c>
      <c r="F210" s="15">
        <v>5.3</v>
      </c>
      <c r="G210" s="14">
        <v>45069</v>
      </c>
      <c r="H210" s="12" t="s">
        <v>2956</v>
      </c>
      <c r="I210" s="12" t="s">
        <v>2955</v>
      </c>
      <c r="J210" s="12" t="s">
        <v>2091</v>
      </c>
      <c r="K210" s="12" t="s">
        <v>2355</v>
      </c>
      <c r="L210" s="38">
        <v>44531</v>
      </c>
      <c r="N210" s="12" t="s">
        <v>2954</v>
      </c>
      <c r="O210" s="24" t="s">
        <v>285</v>
      </c>
      <c r="P210" s="24" t="s">
        <v>1</v>
      </c>
      <c r="Q210" s="24" t="s">
        <v>692</v>
      </c>
      <c r="R210" s="24" t="s">
        <v>1</v>
      </c>
      <c r="S210" s="24" t="s">
        <v>1</v>
      </c>
      <c r="T210" s="24" t="s">
        <v>1</v>
      </c>
      <c r="U210" s="24" t="s">
        <v>1</v>
      </c>
      <c r="V210" s="24" t="s">
        <v>1</v>
      </c>
      <c r="W210" s="24" t="s">
        <v>1</v>
      </c>
      <c r="X210" s="24" t="s">
        <v>1</v>
      </c>
      <c r="Y210" s="24" t="s">
        <v>1</v>
      </c>
      <c r="Z210" s="24" t="s">
        <v>1</v>
      </c>
      <c r="AA210" s="12" t="s">
        <v>2953</v>
      </c>
    </row>
    <row r="211" spans="1:27">
      <c r="A211" s="1">
        <f t="shared" si="3"/>
        <v>205</v>
      </c>
      <c r="B211" s="1" t="s">
        <v>689</v>
      </c>
      <c r="C211" s="26" t="s">
        <v>1729</v>
      </c>
      <c r="D211" s="3">
        <v>50</v>
      </c>
      <c r="E211" s="1" t="s">
        <v>4</v>
      </c>
      <c r="F211" s="3">
        <v>15</v>
      </c>
      <c r="G211" s="4">
        <v>44691</v>
      </c>
      <c r="H211" s="1" t="s">
        <v>2937</v>
      </c>
      <c r="I211" s="1" t="s">
        <v>2952</v>
      </c>
      <c r="J211" s="1" t="s">
        <v>2091</v>
      </c>
      <c r="K211" s="1" t="s">
        <v>2693</v>
      </c>
      <c r="L211" s="32">
        <v>44362</v>
      </c>
      <c r="N211" s="1" t="s">
        <v>2951</v>
      </c>
      <c r="O211" s="25" t="s">
        <v>1</v>
      </c>
      <c r="P211" s="25" t="s">
        <v>1</v>
      </c>
      <c r="Q211" s="25" t="s">
        <v>1</v>
      </c>
      <c r="R211" s="25" t="s">
        <v>1</v>
      </c>
      <c r="S211" s="25" t="s">
        <v>1</v>
      </c>
      <c r="T211" s="25" t="s">
        <v>1</v>
      </c>
      <c r="U211" s="25" t="s">
        <v>1</v>
      </c>
      <c r="V211" s="25" t="s">
        <v>1</v>
      </c>
      <c r="W211" s="25" t="s">
        <v>1</v>
      </c>
      <c r="X211" s="25" t="s">
        <v>1</v>
      </c>
      <c r="Y211" s="25" t="s">
        <v>1</v>
      </c>
      <c r="Z211" s="25" t="s">
        <v>1</v>
      </c>
      <c r="AA211" s="1" t="s">
        <v>2204</v>
      </c>
    </row>
    <row r="212" spans="1:27">
      <c r="A212" s="1">
        <f t="shared" si="3"/>
        <v>206</v>
      </c>
      <c r="B212" s="1" t="s">
        <v>687</v>
      </c>
      <c r="C212" s="26" t="s">
        <v>1729</v>
      </c>
      <c r="D212" s="3">
        <v>50</v>
      </c>
      <c r="E212" s="1" t="s">
        <v>5</v>
      </c>
      <c r="F212" s="3">
        <v>15</v>
      </c>
      <c r="G212" s="31">
        <v>44482</v>
      </c>
      <c r="H212" s="1" t="s">
        <v>2950</v>
      </c>
      <c r="I212" s="1" t="s">
        <v>2949</v>
      </c>
      <c r="J212" s="1" t="s">
        <v>2091</v>
      </c>
      <c r="K212" s="1" t="s">
        <v>2102</v>
      </c>
      <c r="L212" s="1">
        <v>2020</v>
      </c>
      <c r="N212" s="1" t="s">
        <v>2948</v>
      </c>
      <c r="O212" s="25" t="s">
        <v>4</v>
      </c>
      <c r="P212" s="25">
        <v>4.5</v>
      </c>
      <c r="Q212" s="25" t="s">
        <v>2947</v>
      </c>
      <c r="R212" s="25" t="s">
        <v>285</v>
      </c>
      <c r="S212" s="25">
        <v>0.125</v>
      </c>
      <c r="T212" s="25" t="s">
        <v>1091</v>
      </c>
      <c r="U212" s="25" t="s">
        <v>1</v>
      </c>
      <c r="V212" s="25" t="s">
        <v>1</v>
      </c>
      <c r="W212" s="25" t="s">
        <v>1</v>
      </c>
      <c r="X212" s="25" t="s">
        <v>1</v>
      </c>
      <c r="Y212" s="25" t="s">
        <v>1</v>
      </c>
      <c r="Z212" s="25" t="s">
        <v>1</v>
      </c>
      <c r="AA212" s="1" t="s">
        <v>2141</v>
      </c>
    </row>
    <row r="213" spans="1:27">
      <c r="A213" s="1">
        <f t="shared" si="3"/>
        <v>207</v>
      </c>
      <c r="B213" s="1" t="s">
        <v>683</v>
      </c>
      <c r="C213" s="26" t="s">
        <v>1729</v>
      </c>
      <c r="D213" s="3">
        <v>50</v>
      </c>
      <c r="E213" s="1" t="s">
        <v>5</v>
      </c>
      <c r="F213" s="3">
        <v>14.5</v>
      </c>
      <c r="G213" s="31">
        <v>44389</v>
      </c>
      <c r="H213" s="1" t="s">
        <v>2946</v>
      </c>
      <c r="I213" s="1" t="s">
        <v>2945</v>
      </c>
      <c r="J213" s="1" t="s">
        <v>2091</v>
      </c>
      <c r="K213" s="1" t="s">
        <v>2102</v>
      </c>
      <c r="L213" s="1">
        <v>2019</v>
      </c>
      <c r="N213" s="1" t="s">
        <v>2944</v>
      </c>
      <c r="O213" s="25" t="s">
        <v>4</v>
      </c>
      <c r="P213" s="25">
        <v>3</v>
      </c>
      <c r="Q213" s="25" t="s">
        <v>2943</v>
      </c>
      <c r="R213" s="25" t="s">
        <v>285</v>
      </c>
      <c r="S213" s="25" t="s">
        <v>1</v>
      </c>
      <c r="T213" s="25" t="s">
        <v>2942</v>
      </c>
      <c r="U213" s="25" t="s">
        <v>1</v>
      </c>
      <c r="V213" s="25" t="s">
        <v>1</v>
      </c>
      <c r="W213" s="25" t="s">
        <v>1</v>
      </c>
      <c r="X213" s="25" t="s">
        <v>1</v>
      </c>
      <c r="Y213" s="25" t="s">
        <v>1</v>
      </c>
      <c r="Z213" s="25" t="s">
        <v>1</v>
      </c>
      <c r="AA213" s="1" t="s">
        <v>2415</v>
      </c>
    </row>
    <row r="214" spans="1:27">
      <c r="A214" s="1">
        <f t="shared" si="3"/>
        <v>208</v>
      </c>
      <c r="B214" s="1" t="s">
        <v>788</v>
      </c>
      <c r="C214" s="26" t="s">
        <v>1729</v>
      </c>
      <c r="D214" s="3">
        <v>50</v>
      </c>
      <c r="E214" s="1" t="s">
        <v>4</v>
      </c>
      <c r="F214" s="3">
        <v>15</v>
      </c>
      <c r="G214" s="4">
        <v>44999</v>
      </c>
      <c r="H214" s="1" t="s">
        <v>2941</v>
      </c>
      <c r="I214" s="1" t="s">
        <v>2940</v>
      </c>
      <c r="J214" s="1" t="s">
        <v>2091</v>
      </c>
      <c r="K214" s="1" t="s">
        <v>2102</v>
      </c>
      <c r="L214" s="1">
        <v>2021</v>
      </c>
      <c r="M214" s="1" t="s">
        <v>2939</v>
      </c>
      <c r="N214" s="1" t="s">
        <v>1</v>
      </c>
      <c r="O214" s="25" t="s">
        <v>285</v>
      </c>
      <c r="P214" s="25">
        <v>4.5</v>
      </c>
      <c r="Q214" s="25" t="s">
        <v>2938</v>
      </c>
      <c r="R214" s="25" t="s">
        <v>1</v>
      </c>
      <c r="S214" s="25" t="s">
        <v>1</v>
      </c>
      <c r="T214" s="25" t="s">
        <v>1</v>
      </c>
      <c r="U214" s="25" t="s">
        <v>1</v>
      </c>
      <c r="V214" s="25" t="s">
        <v>1</v>
      </c>
      <c r="W214" s="25" t="s">
        <v>1</v>
      </c>
      <c r="X214" s="25" t="s">
        <v>1</v>
      </c>
      <c r="Y214" s="25" t="s">
        <v>1</v>
      </c>
      <c r="Z214" s="25" t="s">
        <v>1</v>
      </c>
      <c r="AA214" s="1" t="s">
        <v>2415</v>
      </c>
    </row>
    <row r="215" spans="1:27">
      <c r="A215" s="1">
        <f t="shared" si="3"/>
        <v>209</v>
      </c>
      <c r="B215" s="1" t="s">
        <v>680</v>
      </c>
      <c r="C215" s="26" t="s">
        <v>1729</v>
      </c>
      <c r="D215" s="3">
        <v>50</v>
      </c>
      <c r="E215" s="1" t="s">
        <v>5</v>
      </c>
      <c r="F215" s="3">
        <v>14</v>
      </c>
      <c r="G215" s="4">
        <v>44705</v>
      </c>
      <c r="H215" s="1" t="s">
        <v>2937</v>
      </c>
      <c r="I215" s="1" t="s">
        <v>2936</v>
      </c>
      <c r="J215" s="1" t="s">
        <v>2091</v>
      </c>
      <c r="K215" s="1" t="s">
        <v>2693</v>
      </c>
      <c r="L215" s="1">
        <v>2019</v>
      </c>
      <c r="N215" s="1" t="s">
        <v>2935</v>
      </c>
      <c r="O215" s="25" t="s">
        <v>4</v>
      </c>
      <c r="P215" s="25">
        <v>5</v>
      </c>
      <c r="Q215" s="25" t="s">
        <v>2934</v>
      </c>
      <c r="R215" s="25" t="s">
        <v>285</v>
      </c>
      <c r="S215" s="25">
        <v>0.62</v>
      </c>
      <c r="T215" s="25" t="s">
        <v>2933</v>
      </c>
      <c r="U215" s="25" t="s">
        <v>1</v>
      </c>
      <c r="V215" s="25" t="s">
        <v>1</v>
      </c>
      <c r="W215" s="25" t="s">
        <v>1</v>
      </c>
      <c r="X215" s="25" t="s">
        <v>1</v>
      </c>
      <c r="Y215" s="25" t="s">
        <v>1</v>
      </c>
      <c r="Z215" s="25" t="s">
        <v>1</v>
      </c>
      <c r="AA215" s="1" t="s">
        <v>2754</v>
      </c>
    </row>
    <row r="216" spans="1:27">
      <c r="A216" s="1">
        <f t="shared" si="3"/>
        <v>210</v>
      </c>
      <c r="B216" s="1" t="s">
        <v>2932</v>
      </c>
      <c r="C216" s="26" t="s">
        <v>1729</v>
      </c>
      <c r="D216" s="3">
        <v>50</v>
      </c>
      <c r="E216" s="1" t="s">
        <v>5</v>
      </c>
      <c r="F216" s="3">
        <v>13.6</v>
      </c>
      <c r="G216" s="4">
        <v>44134</v>
      </c>
      <c r="H216" s="1" t="s">
        <v>2931</v>
      </c>
      <c r="I216" s="1" t="s">
        <v>2930</v>
      </c>
      <c r="J216" s="1" t="s">
        <v>2091</v>
      </c>
      <c r="K216" s="1" t="s">
        <v>2914</v>
      </c>
      <c r="L216" s="1">
        <v>2016</v>
      </c>
      <c r="N216" s="1" t="s">
        <v>2929</v>
      </c>
      <c r="O216" s="25" t="s">
        <v>5</v>
      </c>
      <c r="P216" s="25">
        <v>6</v>
      </c>
      <c r="Q216" s="25" t="s">
        <v>2928</v>
      </c>
      <c r="R216" s="25" t="s">
        <v>4</v>
      </c>
      <c r="S216" s="25">
        <v>5</v>
      </c>
      <c r="T216" s="25" t="s">
        <v>2928</v>
      </c>
      <c r="U216" s="25" t="s">
        <v>4</v>
      </c>
      <c r="V216" s="25">
        <v>3</v>
      </c>
      <c r="W216" s="25" t="s">
        <v>2927</v>
      </c>
      <c r="X216" s="25" t="s">
        <v>4</v>
      </c>
      <c r="Y216" s="25">
        <v>2</v>
      </c>
      <c r="Z216" s="25" t="s">
        <v>2927</v>
      </c>
      <c r="AA216" s="1" t="s">
        <v>2259</v>
      </c>
    </row>
    <row r="217" spans="1:27">
      <c r="A217" s="1">
        <f t="shared" si="3"/>
        <v>211</v>
      </c>
      <c r="B217" s="1" t="s">
        <v>2926</v>
      </c>
      <c r="C217" s="26" t="s">
        <v>1729</v>
      </c>
      <c r="D217" s="3">
        <v>50</v>
      </c>
      <c r="E217" s="1" t="s">
        <v>4</v>
      </c>
      <c r="F217" s="3">
        <v>13.75</v>
      </c>
      <c r="G217" s="4">
        <v>45014</v>
      </c>
      <c r="H217" s="1" t="s">
        <v>2925</v>
      </c>
      <c r="I217" s="1" t="s">
        <v>2924</v>
      </c>
      <c r="J217" s="1" t="s">
        <v>2626</v>
      </c>
      <c r="K217" s="1" t="s">
        <v>2923</v>
      </c>
      <c r="L217" s="1">
        <v>2021</v>
      </c>
      <c r="M217" s="1" t="s">
        <v>2922</v>
      </c>
      <c r="N217" s="1" t="s">
        <v>1</v>
      </c>
      <c r="O217" s="25" t="s">
        <v>4</v>
      </c>
      <c r="P217" s="25">
        <v>5.4</v>
      </c>
      <c r="Q217" s="25" t="s">
        <v>1</v>
      </c>
      <c r="R217" s="25" t="s">
        <v>1</v>
      </c>
      <c r="S217" s="25" t="s">
        <v>1</v>
      </c>
      <c r="T217" s="25" t="s">
        <v>1</v>
      </c>
      <c r="U217" s="25" t="s">
        <v>1</v>
      </c>
      <c r="V217" s="25" t="s">
        <v>1</v>
      </c>
      <c r="W217" s="25" t="s">
        <v>1</v>
      </c>
      <c r="X217" s="25" t="s">
        <v>1</v>
      </c>
      <c r="Y217" s="25" t="s">
        <v>1</v>
      </c>
      <c r="Z217" s="25" t="s">
        <v>1</v>
      </c>
      <c r="AA217" s="1" t="s">
        <v>2141</v>
      </c>
    </row>
    <row r="218" spans="1:27">
      <c r="A218" s="1">
        <f t="shared" si="3"/>
        <v>212</v>
      </c>
      <c r="B218" s="1" t="s">
        <v>677</v>
      </c>
      <c r="C218" s="26" t="s">
        <v>1729</v>
      </c>
      <c r="D218" s="3">
        <v>50</v>
      </c>
      <c r="E218" s="1" t="s">
        <v>5</v>
      </c>
      <c r="F218" s="3">
        <v>12.7</v>
      </c>
      <c r="G218" s="4">
        <v>44952</v>
      </c>
      <c r="H218" s="1" t="s">
        <v>2921</v>
      </c>
      <c r="I218" s="1" t="s">
        <v>2920</v>
      </c>
      <c r="J218" s="1" t="s">
        <v>2091</v>
      </c>
      <c r="K218" s="1" t="s">
        <v>2582</v>
      </c>
      <c r="L218" s="1">
        <v>2021</v>
      </c>
      <c r="N218" s="1" t="s">
        <v>2919</v>
      </c>
      <c r="O218" s="25" t="s">
        <v>4</v>
      </c>
      <c r="P218" s="25">
        <v>5</v>
      </c>
      <c r="Q218" s="25" t="s">
        <v>678</v>
      </c>
      <c r="R218" s="25" t="s">
        <v>1</v>
      </c>
      <c r="S218" s="25" t="s">
        <v>1</v>
      </c>
      <c r="T218" s="25" t="s">
        <v>1</v>
      </c>
      <c r="U218" s="25" t="s">
        <v>1</v>
      </c>
      <c r="V218" s="25" t="s">
        <v>1</v>
      </c>
      <c r="W218" s="25" t="s">
        <v>1</v>
      </c>
      <c r="X218" s="25" t="s">
        <v>1</v>
      </c>
      <c r="Y218" s="25" t="s">
        <v>1</v>
      </c>
      <c r="Z218" s="25" t="s">
        <v>1</v>
      </c>
      <c r="AA218" s="1" t="s">
        <v>2101</v>
      </c>
    </row>
    <row r="219" spans="1:27">
      <c r="A219" s="1">
        <f t="shared" si="3"/>
        <v>213</v>
      </c>
      <c r="B219" s="12" t="s">
        <v>672</v>
      </c>
      <c r="C219" s="35" t="s">
        <v>1729</v>
      </c>
      <c r="D219" s="15">
        <v>50</v>
      </c>
      <c r="E219" s="12" t="s">
        <v>4</v>
      </c>
      <c r="F219" s="15">
        <v>13</v>
      </c>
      <c r="G219" s="14">
        <v>44896</v>
      </c>
      <c r="H219" s="12" t="s">
        <v>2918</v>
      </c>
      <c r="I219" s="1" t="s">
        <v>2917</v>
      </c>
      <c r="J219" s="12" t="s">
        <v>2091</v>
      </c>
      <c r="K219" s="12" t="s">
        <v>2504</v>
      </c>
      <c r="L219" s="12">
        <v>2019</v>
      </c>
      <c r="N219" s="1" t="s">
        <v>2916</v>
      </c>
      <c r="O219" s="25" t="s">
        <v>285</v>
      </c>
      <c r="P219" s="25">
        <v>1</v>
      </c>
      <c r="Q219" s="25" t="s">
        <v>1</v>
      </c>
      <c r="R219" s="25" t="s">
        <v>1</v>
      </c>
      <c r="S219" s="25" t="s">
        <v>1</v>
      </c>
      <c r="T219" s="25" t="s">
        <v>1</v>
      </c>
      <c r="U219" s="25" t="s">
        <v>1</v>
      </c>
      <c r="V219" s="25" t="s">
        <v>1</v>
      </c>
      <c r="W219" s="25" t="s">
        <v>1</v>
      </c>
      <c r="X219" s="25" t="s">
        <v>1</v>
      </c>
      <c r="Y219" s="25" t="s">
        <v>1</v>
      </c>
      <c r="Z219" s="25" t="s">
        <v>1</v>
      </c>
      <c r="AA219" s="1" t="s">
        <v>2915</v>
      </c>
    </row>
    <row r="220" spans="1:27">
      <c r="A220" s="1">
        <f t="shared" si="3"/>
        <v>214</v>
      </c>
      <c r="B220" s="1" t="s">
        <v>667</v>
      </c>
      <c r="C220" s="26" t="s">
        <v>1729</v>
      </c>
      <c r="D220" s="3">
        <v>50</v>
      </c>
      <c r="E220" s="1" t="s">
        <v>5</v>
      </c>
      <c r="F220" s="3">
        <v>12.6</v>
      </c>
      <c r="G220" s="4">
        <v>44579</v>
      </c>
      <c r="H220" s="1" t="s">
        <v>2914</v>
      </c>
      <c r="I220" s="1" t="s">
        <v>2913</v>
      </c>
      <c r="J220" s="1" t="s">
        <v>2091</v>
      </c>
      <c r="K220" s="1" t="s">
        <v>2102</v>
      </c>
      <c r="L220" s="1">
        <v>2020</v>
      </c>
      <c r="N220" s="1" t="s">
        <v>2912</v>
      </c>
      <c r="O220" s="25" t="s">
        <v>4</v>
      </c>
      <c r="P220" s="25">
        <v>3</v>
      </c>
      <c r="Q220" s="25" t="s">
        <v>2911</v>
      </c>
      <c r="R220" s="1" t="s">
        <v>1</v>
      </c>
      <c r="S220" s="1" t="s">
        <v>1</v>
      </c>
      <c r="T220" s="1" t="s">
        <v>1</v>
      </c>
      <c r="U220" s="1" t="s">
        <v>1</v>
      </c>
      <c r="V220" s="1" t="s">
        <v>1</v>
      </c>
      <c r="W220" s="1" t="s">
        <v>1</v>
      </c>
      <c r="X220" s="1" t="s">
        <v>1</v>
      </c>
      <c r="Y220" s="1" t="s">
        <v>1</v>
      </c>
      <c r="Z220" s="1" t="s">
        <v>1</v>
      </c>
      <c r="AA220" s="1" t="s">
        <v>2415</v>
      </c>
    </row>
    <row r="221" spans="1:27">
      <c r="A221" s="1">
        <f t="shared" si="3"/>
        <v>215</v>
      </c>
      <c r="B221" s="1" t="s">
        <v>699</v>
      </c>
      <c r="C221" s="26" t="s">
        <v>1729</v>
      </c>
      <c r="D221" s="3">
        <v>50</v>
      </c>
      <c r="E221" s="1" t="s">
        <v>5</v>
      </c>
      <c r="F221" s="3">
        <v>12.5</v>
      </c>
      <c r="G221" s="4">
        <v>45005</v>
      </c>
      <c r="H221" s="1" t="s">
        <v>2910</v>
      </c>
      <c r="J221" s="1" t="s">
        <v>2091</v>
      </c>
      <c r="K221" s="1" t="s">
        <v>2102</v>
      </c>
      <c r="L221" s="1">
        <v>2021</v>
      </c>
      <c r="N221" s="1" t="s">
        <v>2909</v>
      </c>
      <c r="O221" s="25" t="s">
        <v>4</v>
      </c>
      <c r="P221" s="25">
        <v>5</v>
      </c>
      <c r="Q221" s="25" t="s">
        <v>709</v>
      </c>
      <c r="R221" s="25" t="s">
        <v>1</v>
      </c>
      <c r="S221" s="25" t="s">
        <v>1</v>
      </c>
      <c r="T221" s="25" t="s">
        <v>1</v>
      </c>
      <c r="U221" s="25" t="s">
        <v>1</v>
      </c>
      <c r="V221" s="25" t="s">
        <v>1</v>
      </c>
      <c r="W221" s="25" t="s">
        <v>1</v>
      </c>
      <c r="X221" s="25" t="s">
        <v>1</v>
      </c>
      <c r="Y221" s="25" t="s">
        <v>1</v>
      </c>
      <c r="Z221" s="25" t="s">
        <v>1</v>
      </c>
      <c r="AA221" s="1" t="s">
        <v>2710</v>
      </c>
    </row>
    <row r="222" spans="1:27" s="12" customFormat="1">
      <c r="A222" s="1">
        <f t="shared" si="3"/>
        <v>216</v>
      </c>
      <c r="B222" s="12" t="s">
        <v>1092</v>
      </c>
      <c r="C222" s="35" t="s">
        <v>1729</v>
      </c>
      <c r="D222" s="15">
        <v>50</v>
      </c>
      <c r="E222" s="12" t="s">
        <v>5</v>
      </c>
      <c r="F222" s="15">
        <v>12.5</v>
      </c>
      <c r="G222" s="14">
        <v>44978</v>
      </c>
      <c r="H222" s="12" t="s">
        <v>2908</v>
      </c>
      <c r="I222" s="12" t="s">
        <v>2907</v>
      </c>
      <c r="J222" s="12" t="s">
        <v>2091</v>
      </c>
      <c r="K222" s="12" t="s">
        <v>2102</v>
      </c>
      <c r="L222" s="12">
        <v>2019</v>
      </c>
      <c r="M222" s="12" t="s">
        <v>1938</v>
      </c>
      <c r="N222" s="12" t="s">
        <v>2906</v>
      </c>
      <c r="O222" s="24" t="s">
        <v>4</v>
      </c>
      <c r="P222" s="24" t="s">
        <v>1</v>
      </c>
      <c r="Q222" s="24" t="s">
        <v>1091</v>
      </c>
      <c r="R222" s="24" t="s">
        <v>1</v>
      </c>
      <c r="S222" s="24" t="s">
        <v>1</v>
      </c>
      <c r="T222" s="24" t="s">
        <v>1</v>
      </c>
      <c r="U222" s="24" t="s">
        <v>1</v>
      </c>
      <c r="V222" s="24" t="s">
        <v>1</v>
      </c>
      <c r="W222" s="24" t="s">
        <v>1</v>
      </c>
      <c r="X222" s="24" t="s">
        <v>1</v>
      </c>
      <c r="Y222" s="24" t="s">
        <v>1</v>
      </c>
      <c r="Z222" s="24" t="s">
        <v>1</v>
      </c>
      <c r="AA222" s="12" t="s">
        <v>2415</v>
      </c>
    </row>
    <row r="223" spans="1:27">
      <c r="A223" s="1">
        <f t="shared" si="3"/>
        <v>217</v>
      </c>
      <c r="B223" s="1" t="s">
        <v>785</v>
      </c>
      <c r="C223" s="26" t="s">
        <v>1729</v>
      </c>
      <c r="D223" s="3">
        <v>50</v>
      </c>
      <c r="E223" s="1" t="s">
        <v>5</v>
      </c>
      <c r="F223" s="3">
        <v>12.8</v>
      </c>
      <c r="G223" s="4">
        <v>44698</v>
      </c>
      <c r="H223" s="1" t="s">
        <v>2905</v>
      </c>
      <c r="J223" s="1" t="s">
        <v>2091</v>
      </c>
      <c r="K223" s="1" t="s">
        <v>2102</v>
      </c>
      <c r="L223" s="1">
        <v>2020</v>
      </c>
      <c r="N223" s="1" t="s">
        <v>2904</v>
      </c>
      <c r="O223" s="25" t="s">
        <v>4</v>
      </c>
      <c r="P223" s="25">
        <v>5.5</v>
      </c>
      <c r="Q223" s="25" t="s">
        <v>2903</v>
      </c>
      <c r="R223" s="1" t="s">
        <v>1</v>
      </c>
      <c r="S223" s="1" t="s">
        <v>1</v>
      </c>
      <c r="T223" s="1" t="s">
        <v>1</v>
      </c>
      <c r="U223" s="1" t="s">
        <v>1</v>
      </c>
      <c r="V223" s="1" t="s">
        <v>1</v>
      </c>
      <c r="W223" s="1" t="s">
        <v>1</v>
      </c>
      <c r="X223" s="1" t="s">
        <v>1</v>
      </c>
      <c r="Y223" s="1" t="s">
        <v>1</v>
      </c>
      <c r="Z223" s="1" t="s">
        <v>1</v>
      </c>
      <c r="AA223" s="1" t="s">
        <v>2415</v>
      </c>
    </row>
    <row r="224" spans="1:27">
      <c r="A224" s="1">
        <f t="shared" si="3"/>
        <v>218</v>
      </c>
      <c r="B224" s="1" t="s">
        <v>655</v>
      </c>
      <c r="C224" s="26" t="s">
        <v>1729</v>
      </c>
      <c r="D224" s="3">
        <v>50</v>
      </c>
      <c r="E224" s="1" t="s">
        <v>5</v>
      </c>
      <c r="F224" s="3">
        <v>12.5</v>
      </c>
      <c r="G224" s="4">
        <v>43391</v>
      </c>
      <c r="H224" s="1" t="s">
        <v>2902</v>
      </c>
      <c r="I224" s="1" t="s">
        <v>2901</v>
      </c>
      <c r="J224" s="1" t="s">
        <v>2091</v>
      </c>
      <c r="K224" s="1" t="s">
        <v>2102</v>
      </c>
      <c r="L224" s="1">
        <v>2018</v>
      </c>
      <c r="N224" s="1" t="s">
        <v>2900</v>
      </c>
      <c r="O224" s="25" t="s">
        <v>4</v>
      </c>
      <c r="P224" s="25">
        <v>2</v>
      </c>
      <c r="Q224" s="25" t="s">
        <v>828</v>
      </c>
      <c r="R224" s="25" t="s">
        <v>1</v>
      </c>
      <c r="S224" s="25" t="s">
        <v>1</v>
      </c>
      <c r="T224" s="25" t="s">
        <v>1</v>
      </c>
      <c r="U224" s="25" t="s">
        <v>1</v>
      </c>
      <c r="V224" s="25" t="s">
        <v>1</v>
      </c>
      <c r="W224" s="25" t="s">
        <v>1</v>
      </c>
      <c r="X224" s="25" t="s">
        <v>1</v>
      </c>
      <c r="Y224" s="25" t="s">
        <v>1</v>
      </c>
      <c r="Z224" s="25" t="s">
        <v>1</v>
      </c>
      <c r="AA224" s="1" t="s">
        <v>2899</v>
      </c>
    </row>
    <row r="225" spans="1:27">
      <c r="A225" s="1">
        <f t="shared" si="3"/>
        <v>219</v>
      </c>
      <c r="B225" s="1" t="s">
        <v>657</v>
      </c>
      <c r="C225" s="26" t="s">
        <v>1729</v>
      </c>
      <c r="D225" s="3">
        <v>50</v>
      </c>
      <c r="E225" s="1" t="s">
        <v>5</v>
      </c>
      <c r="F225" s="3">
        <v>13</v>
      </c>
      <c r="G225" s="4">
        <v>44642</v>
      </c>
      <c r="H225" s="1" t="s">
        <v>2898</v>
      </c>
      <c r="I225" s="1" t="s">
        <v>2897</v>
      </c>
      <c r="J225" s="1" t="s">
        <v>2091</v>
      </c>
      <c r="K225" s="1" t="s">
        <v>2102</v>
      </c>
      <c r="L225" s="1">
        <v>2019</v>
      </c>
      <c r="N225" s="1" t="s">
        <v>2896</v>
      </c>
      <c r="O225" s="25" t="s">
        <v>4</v>
      </c>
      <c r="P225" s="25">
        <v>3.5</v>
      </c>
      <c r="Q225" s="25" t="s">
        <v>2895</v>
      </c>
      <c r="R225" s="25" t="s">
        <v>285</v>
      </c>
      <c r="S225" s="25">
        <v>1</v>
      </c>
      <c r="T225" s="25" t="s">
        <v>2894</v>
      </c>
      <c r="U225" s="25" t="s">
        <v>1</v>
      </c>
      <c r="V225" s="25" t="s">
        <v>1</v>
      </c>
      <c r="W225" s="25" t="s">
        <v>1</v>
      </c>
      <c r="X225" s="25" t="s">
        <v>1</v>
      </c>
      <c r="Y225" s="25" t="s">
        <v>1</v>
      </c>
      <c r="Z225" s="25" t="s">
        <v>1</v>
      </c>
      <c r="AA225" s="1" t="s">
        <v>2893</v>
      </c>
    </row>
    <row r="226" spans="1:27">
      <c r="A226" s="1">
        <f t="shared" si="3"/>
        <v>220</v>
      </c>
      <c r="B226" s="1" t="s">
        <v>662</v>
      </c>
      <c r="C226" s="26" t="s">
        <v>1729</v>
      </c>
      <c r="D226" s="3">
        <v>50</v>
      </c>
      <c r="E226" s="1" t="s">
        <v>4</v>
      </c>
      <c r="F226" s="3">
        <v>12.25</v>
      </c>
      <c r="G226" s="4">
        <v>44622</v>
      </c>
      <c r="H226" s="1" t="s">
        <v>2892</v>
      </c>
      <c r="I226" s="1" t="s">
        <v>2891</v>
      </c>
      <c r="J226" s="1" t="s">
        <v>2091</v>
      </c>
      <c r="K226" s="1" t="s">
        <v>2102</v>
      </c>
      <c r="L226" s="1">
        <v>2019</v>
      </c>
      <c r="M226" s="1" t="s">
        <v>2890</v>
      </c>
      <c r="N226" s="1" t="s">
        <v>2889</v>
      </c>
      <c r="O226" s="25" t="s">
        <v>4</v>
      </c>
      <c r="P226" s="25">
        <v>3.8</v>
      </c>
      <c r="Q226" s="25" t="s">
        <v>1</v>
      </c>
      <c r="R226" s="25" t="s">
        <v>1</v>
      </c>
      <c r="S226" s="25" t="s">
        <v>1</v>
      </c>
      <c r="T226" s="25" t="s">
        <v>1</v>
      </c>
      <c r="U226" s="25" t="s">
        <v>1</v>
      </c>
      <c r="V226" s="25" t="s">
        <v>1</v>
      </c>
      <c r="W226" s="25" t="s">
        <v>1</v>
      </c>
      <c r="X226" s="25" t="s">
        <v>1</v>
      </c>
      <c r="Y226" s="25" t="s">
        <v>1</v>
      </c>
      <c r="Z226" s="25" t="s">
        <v>1</v>
      </c>
      <c r="AA226" s="1" t="s">
        <v>2415</v>
      </c>
    </row>
    <row r="227" spans="1:27">
      <c r="A227" s="1">
        <f t="shared" si="3"/>
        <v>221</v>
      </c>
      <c r="B227" s="1" t="s">
        <v>526</v>
      </c>
      <c r="C227" s="26" t="s">
        <v>1729</v>
      </c>
      <c r="D227" s="3">
        <v>50</v>
      </c>
      <c r="E227" s="1" t="s">
        <v>5</v>
      </c>
      <c r="F227" s="3">
        <v>12</v>
      </c>
      <c r="G227" s="4">
        <v>44340</v>
      </c>
      <c r="H227" s="1" t="s">
        <v>2888</v>
      </c>
      <c r="I227" s="1" t="s">
        <v>2887</v>
      </c>
      <c r="J227" s="1" t="s">
        <v>2091</v>
      </c>
      <c r="K227" s="1" t="s">
        <v>2125</v>
      </c>
      <c r="L227" s="1">
        <v>2014</v>
      </c>
      <c r="N227" s="1" t="s">
        <v>2886</v>
      </c>
      <c r="O227" s="25" t="s">
        <v>4</v>
      </c>
      <c r="P227" s="25">
        <v>4</v>
      </c>
      <c r="Q227" s="25" t="s">
        <v>2885</v>
      </c>
      <c r="R227" s="25" t="s">
        <v>4</v>
      </c>
      <c r="S227" s="25">
        <v>1.7</v>
      </c>
      <c r="T227" s="25" t="s">
        <v>2884</v>
      </c>
      <c r="U227" s="25" t="s">
        <v>4</v>
      </c>
      <c r="V227" s="25" t="s">
        <v>1</v>
      </c>
      <c r="W227" s="25" t="s">
        <v>2883</v>
      </c>
      <c r="X227" s="25" t="s">
        <v>4</v>
      </c>
      <c r="Y227" s="25" t="s">
        <v>1</v>
      </c>
      <c r="Z227" s="25" t="s">
        <v>2882</v>
      </c>
      <c r="AA227" s="1" t="s">
        <v>2881</v>
      </c>
    </row>
    <row r="228" spans="1:27">
      <c r="A228" s="1">
        <f t="shared" si="3"/>
        <v>222</v>
      </c>
      <c r="B228" s="1" t="s">
        <v>660</v>
      </c>
      <c r="C228" s="26" t="s">
        <v>1729</v>
      </c>
      <c r="D228" s="3">
        <v>50</v>
      </c>
      <c r="E228" s="1" t="s">
        <v>5</v>
      </c>
      <c r="F228" s="3">
        <v>12</v>
      </c>
      <c r="G228" s="4">
        <v>44677</v>
      </c>
      <c r="H228" s="1" t="s">
        <v>2880</v>
      </c>
      <c r="I228" s="1" t="s">
        <v>2879</v>
      </c>
      <c r="J228" s="1" t="s">
        <v>2091</v>
      </c>
      <c r="K228" s="1" t="s">
        <v>2102</v>
      </c>
      <c r="L228" s="1">
        <v>2019</v>
      </c>
      <c r="N228" s="1" t="s">
        <v>2878</v>
      </c>
      <c r="O228" s="25" t="s">
        <v>4</v>
      </c>
      <c r="P228" s="25">
        <v>8</v>
      </c>
      <c r="Q228" s="1" t="s">
        <v>2877</v>
      </c>
      <c r="R228" s="25" t="s">
        <v>1</v>
      </c>
      <c r="S228" s="25" t="s">
        <v>1</v>
      </c>
      <c r="T228" s="25" t="s">
        <v>1</v>
      </c>
      <c r="U228" s="25" t="s">
        <v>1</v>
      </c>
      <c r="V228" s="25" t="s">
        <v>1</v>
      </c>
      <c r="W228" s="25" t="s">
        <v>1</v>
      </c>
      <c r="X228" s="25" t="s">
        <v>1</v>
      </c>
      <c r="Y228" s="25" t="s">
        <v>1</v>
      </c>
      <c r="Z228" s="25" t="s">
        <v>1</v>
      </c>
      <c r="AA228" s="1" t="s">
        <v>2415</v>
      </c>
    </row>
    <row r="229" spans="1:27">
      <c r="A229" s="1">
        <f t="shared" si="3"/>
        <v>223</v>
      </c>
      <c r="B229" s="1" t="s">
        <v>653</v>
      </c>
      <c r="C229" s="26" t="s">
        <v>1729</v>
      </c>
      <c r="D229" s="3">
        <v>50</v>
      </c>
      <c r="E229" s="1" t="s">
        <v>5</v>
      </c>
      <c r="F229" s="3">
        <v>12</v>
      </c>
      <c r="G229" s="4">
        <v>44860</v>
      </c>
      <c r="H229" s="1" t="s">
        <v>2448</v>
      </c>
      <c r="I229" s="1" t="s">
        <v>2876</v>
      </c>
      <c r="J229" s="1" t="s">
        <v>2091</v>
      </c>
      <c r="K229" s="1" t="s">
        <v>2102</v>
      </c>
      <c r="L229" s="1">
        <v>2020</v>
      </c>
      <c r="M229" s="1" t="s">
        <v>2875</v>
      </c>
      <c r="N229" s="1" t="s">
        <v>2874</v>
      </c>
      <c r="O229" s="25" t="s">
        <v>4</v>
      </c>
      <c r="P229" s="25">
        <v>2.8</v>
      </c>
      <c r="Q229" s="25" t="s">
        <v>2873</v>
      </c>
      <c r="R229" s="25" t="s">
        <v>1</v>
      </c>
      <c r="S229" s="25" t="s">
        <v>1</v>
      </c>
      <c r="T229" s="25" t="s">
        <v>1</v>
      </c>
      <c r="U229" s="25" t="s">
        <v>1</v>
      </c>
      <c r="V229" s="25" t="s">
        <v>1</v>
      </c>
      <c r="W229" s="25" t="s">
        <v>1</v>
      </c>
      <c r="X229" s="25" t="s">
        <v>1</v>
      </c>
      <c r="Y229" s="25" t="s">
        <v>1</v>
      </c>
      <c r="Z229" s="25" t="s">
        <v>1</v>
      </c>
      <c r="AA229" s="1" t="s">
        <v>2872</v>
      </c>
    </row>
    <row r="230" spans="1:27">
      <c r="A230" s="1">
        <f t="shared" si="3"/>
        <v>224</v>
      </c>
      <c r="B230" s="1" t="s">
        <v>663</v>
      </c>
      <c r="C230" s="26" t="s">
        <v>1729</v>
      </c>
      <c r="D230" s="3">
        <v>50</v>
      </c>
      <c r="E230" s="1" t="s">
        <v>5</v>
      </c>
      <c r="F230" s="3">
        <v>12</v>
      </c>
      <c r="G230" s="4">
        <v>44971</v>
      </c>
      <c r="H230" s="1" t="s">
        <v>2871</v>
      </c>
      <c r="I230" s="1" t="s">
        <v>2870</v>
      </c>
      <c r="J230" s="1" t="s">
        <v>2091</v>
      </c>
      <c r="K230" s="1" t="s">
        <v>2102</v>
      </c>
      <c r="L230" s="1">
        <v>2022</v>
      </c>
      <c r="N230" s="1" t="s">
        <v>2869</v>
      </c>
      <c r="O230" s="25" t="s">
        <v>4</v>
      </c>
      <c r="P230" s="25">
        <v>5</v>
      </c>
      <c r="Q230" s="25" t="s">
        <v>2868</v>
      </c>
      <c r="R230" s="25" t="s">
        <v>1</v>
      </c>
      <c r="S230" s="25" t="s">
        <v>1</v>
      </c>
      <c r="T230" s="25" t="s">
        <v>1</v>
      </c>
      <c r="U230" s="25" t="s">
        <v>1</v>
      </c>
      <c r="V230" s="25" t="s">
        <v>1</v>
      </c>
      <c r="W230" s="25" t="s">
        <v>1</v>
      </c>
      <c r="X230" s="25" t="s">
        <v>1</v>
      </c>
      <c r="Y230" s="25" t="s">
        <v>1</v>
      </c>
      <c r="Z230" s="25" t="s">
        <v>1</v>
      </c>
      <c r="AA230" s="1" t="s">
        <v>2172</v>
      </c>
    </row>
    <row r="231" spans="1:27">
      <c r="A231" s="1">
        <f t="shared" si="3"/>
        <v>225</v>
      </c>
      <c r="B231" s="1" t="s">
        <v>731</v>
      </c>
      <c r="C231" s="26" t="s">
        <v>1729</v>
      </c>
      <c r="D231" s="3">
        <v>50</v>
      </c>
      <c r="E231" s="1" t="s">
        <v>5</v>
      </c>
      <c r="F231" s="3">
        <v>11</v>
      </c>
      <c r="G231" s="4">
        <v>44483</v>
      </c>
      <c r="H231" s="1" t="s">
        <v>2867</v>
      </c>
      <c r="I231" s="1" t="s">
        <v>2866</v>
      </c>
      <c r="J231" s="1" t="s">
        <v>2091</v>
      </c>
      <c r="K231" s="1" t="s">
        <v>2173</v>
      </c>
      <c r="L231" s="1">
        <v>2020</v>
      </c>
      <c r="N231" s="1" t="s">
        <v>2865</v>
      </c>
      <c r="O231" s="25" t="s">
        <v>4</v>
      </c>
      <c r="P231" s="25">
        <v>2.9</v>
      </c>
      <c r="Q231" s="25" t="s">
        <v>2864</v>
      </c>
      <c r="R231" s="25" t="s">
        <v>285</v>
      </c>
      <c r="S231" s="25" t="s">
        <v>1</v>
      </c>
      <c r="T231" s="25" t="s">
        <v>2863</v>
      </c>
      <c r="U231" s="25" t="s">
        <v>1</v>
      </c>
      <c r="V231" s="25" t="s">
        <v>1</v>
      </c>
      <c r="W231" s="25" t="s">
        <v>1</v>
      </c>
      <c r="X231" s="25" t="s">
        <v>1</v>
      </c>
      <c r="Y231" s="25" t="s">
        <v>1</v>
      </c>
      <c r="Z231" s="25" t="s">
        <v>1</v>
      </c>
      <c r="AA231" s="1" t="s">
        <v>2862</v>
      </c>
    </row>
    <row r="232" spans="1:27">
      <c r="A232" s="1">
        <f t="shared" si="3"/>
        <v>226</v>
      </c>
      <c r="B232" s="1" t="s">
        <v>2861</v>
      </c>
      <c r="C232" s="26" t="s">
        <v>1729</v>
      </c>
      <c r="D232" s="3">
        <v>50</v>
      </c>
      <c r="E232" s="1" t="s">
        <v>5</v>
      </c>
      <c r="F232" s="3">
        <v>11</v>
      </c>
      <c r="G232" s="4">
        <v>44959</v>
      </c>
      <c r="H232" s="1" t="s">
        <v>2860</v>
      </c>
      <c r="I232" s="1" t="s">
        <v>2859</v>
      </c>
      <c r="J232" s="1" t="s">
        <v>2091</v>
      </c>
      <c r="K232" s="1" t="s">
        <v>2173</v>
      </c>
      <c r="L232" s="1">
        <v>2020</v>
      </c>
      <c r="N232" s="1" t="s">
        <v>2858</v>
      </c>
      <c r="O232" s="25" t="s">
        <v>4</v>
      </c>
      <c r="P232" s="25">
        <v>2.2000000000000002</v>
      </c>
      <c r="Q232" s="25" t="s">
        <v>2857</v>
      </c>
      <c r="R232" s="25" t="s">
        <v>1</v>
      </c>
      <c r="S232" s="25" t="s">
        <v>1</v>
      </c>
      <c r="T232" s="25" t="s">
        <v>1</v>
      </c>
      <c r="U232" s="25" t="s">
        <v>1</v>
      </c>
      <c r="V232" s="25" t="s">
        <v>1</v>
      </c>
      <c r="W232" s="25" t="s">
        <v>1</v>
      </c>
      <c r="X232" s="25" t="s">
        <v>1</v>
      </c>
      <c r="Y232" s="25" t="s">
        <v>1</v>
      </c>
      <c r="Z232" s="25" t="s">
        <v>1</v>
      </c>
      <c r="AA232" s="1" t="s">
        <v>2101</v>
      </c>
    </row>
    <row r="233" spans="1:27">
      <c r="A233" s="1">
        <f t="shared" si="3"/>
        <v>227</v>
      </c>
      <c r="B233" s="1" t="s">
        <v>2856</v>
      </c>
      <c r="C233" s="26" t="s">
        <v>1729</v>
      </c>
      <c r="D233" s="3">
        <v>50</v>
      </c>
      <c r="E233" s="1" t="s">
        <v>5</v>
      </c>
      <c r="F233" s="3">
        <v>10.6</v>
      </c>
      <c r="G233" s="4">
        <v>44819</v>
      </c>
      <c r="H233" s="1" t="s">
        <v>2855</v>
      </c>
      <c r="I233" s="1" t="s">
        <v>2854</v>
      </c>
      <c r="J233" s="1" t="s">
        <v>2091</v>
      </c>
      <c r="K233" s="1" t="s">
        <v>2355</v>
      </c>
      <c r="L233" s="1">
        <v>2019</v>
      </c>
      <c r="N233" s="1" t="s">
        <v>2853</v>
      </c>
      <c r="O233" s="25" t="s">
        <v>4</v>
      </c>
      <c r="P233" s="25">
        <v>1.5</v>
      </c>
      <c r="Q233" s="25" t="s">
        <v>2852</v>
      </c>
      <c r="R233" s="25" t="s">
        <v>285</v>
      </c>
      <c r="S233" s="25">
        <v>0.1</v>
      </c>
      <c r="T233" s="25" t="s">
        <v>650</v>
      </c>
      <c r="U233" s="25" t="s">
        <v>1</v>
      </c>
      <c r="V233" s="25" t="s">
        <v>1</v>
      </c>
      <c r="W233" s="25" t="s">
        <v>1</v>
      </c>
      <c r="X233" s="25" t="s">
        <v>1</v>
      </c>
      <c r="Y233" s="25" t="s">
        <v>1</v>
      </c>
      <c r="Z233" s="25" t="s">
        <v>1</v>
      </c>
      <c r="AA233" s="1" t="s">
        <v>2094</v>
      </c>
    </row>
    <row r="234" spans="1:27">
      <c r="A234" s="1">
        <f t="shared" si="3"/>
        <v>228</v>
      </c>
      <c r="B234" s="1" t="s">
        <v>646</v>
      </c>
      <c r="C234" s="26" t="s">
        <v>1729</v>
      </c>
      <c r="D234" s="3">
        <v>50</v>
      </c>
      <c r="E234" s="1" t="s">
        <v>4</v>
      </c>
      <c r="F234" s="3">
        <v>10.6</v>
      </c>
      <c r="G234" s="4">
        <v>45007</v>
      </c>
      <c r="H234" s="1" t="s">
        <v>2851</v>
      </c>
      <c r="I234" s="1" t="s">
        <v>2850</v>
      </c>
      <c r="J234" s="1" t="s">
        <v>2091</v>
      </c>
      <c r="K234" s="1" t="s">
        <v>2290</v>
      </c>
      <c r="L234" s="1">
        <v>2022</v>
      </c>
      <c r="N234" s="1" t="s">
        <v>2849</v>
      </c>
      <c r="O234" s="25" t="s">
        <v>1</v>
      </c>
      <c r="P234" s="25" t="s">
        <v>1</v>
      </c>
      <c r="Q234" s="25" t="s">
        <v>1</v>
      </c>
      <c r="R234" s="25" t="s">
        <v>1</v>
      </c>
      <c r="S234" s="25" t="s">
        <v>1</v>
      </c>
      <c r="T234" s="25" t="s">
        <v>1</v>
      </c>
      <c r="U234" s="25" t="s">
        <v>1</v>
      </c>
      <c r="V234" s="25" t="s">
        <v>1</v>
      </c>
      <c r="W234" s="25" t="s">
        <v>1</v>
      </c>
      <c r="X234" s="25" t="s">
        <v>1</v>
      </c>
      <c r="Y234" s="25" t="s">
        <v>1</v>
      </c>
      <c r="Z234" s="25" t="s">
        <v>1</v>
      </c>
      <c r="AA234" s="1" t="s">
        <v>2124</v>
      </c>
    </row>
    <row r="235" spans="1:27">
      <c r="A235" s="1">
        <f t="shared" si="3"/>
        <v>229</v>
      </c>
      <c r="B235" s="1" t="s">
        <v>643</v>
      </c>
      <c r="C235" s="26" t="s">
        <v>1729</v>
      </c>
      <c r="D235" s="3">
        <v>50</v>
      </c>
      <c r="E235" s="1" t="s">
        <v>4</v>
      </c>
      <c r="F235" s="3">
        <v>10.5</v>
      </c>
      <c r="G235" s="4">
        <v>44984</v>
      </c>
      <c r="H235" s="1" t="s">
        <v>2142</v>
      </c>
      <c r="I235" s="1" t="s">
        <v>2848</v>
      </c>
      <c r="J235" s="1" t="s">
        <v>2091</v>
      </c>
      <c r="K235" s="1" t="s">
        <v>2509</v>
      </c>
      <c r="L235" s="1">
        <v>2019</v>
      </c>
      <c r="N235" s="1" t="s">
        <v>2847</v>
      </c>
      <c r="O235" s="25" t="s">
        <v>4</v>
      </c>
      <c r="P235" s="25">
        <v>3</v>
      </c>
      <c r="Q235" s="25" t="s">
        <v>2846</v>
      </c>
      <c r="R235" s="25" t="s">
        <v>4</v>
      </c>
      <c r="S235" s="25">
        <v>2</v>
      </c>
      <c r="T235" s="25" t="s">
        <v>2845</v>
      </c>
      <c r="U235" s="25" t="s">
        <v>285</v>
      </c>
      <c r="V235" s="25">
        <v>0.6</v>
      </c>
      <c r="W235" s="25" t="s">
        <v>1</v>
      </c>
      <c r="X235" s="25" t="s">
        <v>1</v>
      </c>
      <c r="Y235" s="25" t="s">
        <v>1</v>
      </c>
      <c r="Z235" s="25" t="s">
        <v>1</v>
      </c>
      <c r="AA235" s="1" t="s">
        <v>2141</v>
      </c>
    </row>
    <row r="236" spans="1:27">
      <c r="A236" s="1">
        <f t="shared" si="3"/>
        <v>230</v>
      </c>
      <c r="B236" s="1" t="s">
        <v>584</v>
      </c>
      <c r="C236" s="26" t="s">
        <v>1729</v>
      </c>
      <c r="D236" s="3">
        <v>50</v>
      </c>
      <c r="E236" s="1" t="s">
        <v>4</v>
      </c>
      <c r="F236" s="3">
        <v>10</v>
      </c>
      <c r="G236" s="4">
        <v>44887</v>
      </c>
      <c r="H236" s="1" t="s">
        <v>2844</v>
      </c>
      <c r="I236" s="1" t="s">
        <v>2843</v>
      </c>
      <c r="J236" s="1" t="s">
        <v>2091</v>
      </c>
      <c r="K236" s="1" t="s">
        <v>2108</v>
      </c>
      <c r="L236" s="1">
        <v>2021</v>
      </c>
      <c r="N236" s="1" t="s">
        <v>2842</v>
      </c>
      <c r="O236" s="25" t="s">
        <v>1</v>
      </c>
      <c r="P236" s="25" t="s">
        <v>1</v>
      </c>
      <c r="Q236" s="25" t="s">
        <v>1</v>
      </c>
      <c r="R236" s="25" t="s">
        <v>1</v>
      </c>
      <c r="S236" s="25" t="s">
        <v>1</v>
      </c>
      <c r="T236" s="25" t="s">
        <v>1</v>
      </c>
      <c r="U236" s="25" t="s">
        <v>1</v>
      </c>
      <c r="V236" s="25" t="s">
        <v>1</v>
      </c>
      <c r="W236" s="25" t="s">
        <v>1</v>
      </c>
      <c r="X236" s="25" t="s">
        <v>1</v>
      </c>
      <c r="Y236" s="25" t="s">
        <v>1</v>
      </c>
      <c r="Z236" s="25" t="s">
        <v>1</v>
      </c>
      <c r="AA236" s="1" t="s">
        <v>2101</v>
      </c>
    </row>
    <row r="237" spans="1:27">
      <c r="A237" s="1">
        <f t="shared" si="3"/>
        <v>231</v>
      </c>
      <c r="B237" s="1" t="s">
        <v>783</v>
      </c>
      <c r="C237" s="26" t="s">
        <v>1729</v>
      </c>
      <c r="D237" s="3">
        <v>50</v>
      </c>
      <c r="E237" s="1" t="s">
        <v>4</v>
      </c>
      <c r="F237" s="3">
        <v>10</v>
      </c>
      <c r="G237" s="4">
        <v>44858</v>
      </c>
      <c r="H237" s="1" t="s">
        <v>2841</v>
      </c>
      <c r="I237" s="1" t="s">
        <v>2840</v>
      </c>
      <c r="J237" s="1" t="s">
        <v>2361</v>
      </c>
      <c r="K237" s="1" t="s">
        <v>2839</v>
      </c>
      <c r="L237" s="1">
        <v>2021</v>
      </c>
      <c r="N237" s="1" t="s">
        <v>2838</v>
      </c>
      <c r="O237" s="25" t="s">
        <v>4</v>
      </c>
      <c r="P237" s="25">
        <v>4.5999999999999996</v>
      </c>
      <c r="Q237" s="25" t="s">
        <v>2837</v>
      </c>
      <c r="R237" s="25" t="s">
        <v>1</v>
      </c>
      <c r="S237" s="25" t="s">
        <v>1</v>
      </c>
      <c r="T237" s="25" t="s">
        <v>1</v>
      </c>
      <c r="U237" s="25" t="s">
        <v>1</v>
      </c>
      <c r="V237" s="25" t="s">
        <v>1</v>
      </c>
      <c r="W237" s="25" t="s">
        <v>1</v>
      </c>
      <c r="X237" s="25" t="s">
        <v>1</v>
      </c>
      <c r="Y237" s="25" t="s">
        <v>1</v>
      </c>
      <c r="Z237" s="25" t="s">
        <v>1</v>
      </c>
      <c r="AA237" s="1" t="s">
        <v>2836</v>
      </c>
    </row>
    <row r="238" spans="1:27">
      <c r="A238" s="1">
        <f t="shared" si="3"/>
        <v>232</v>
      </c>
      <c r="B238" s="1" t="s">
        <v>416</v>
      </c>
      <c r="C238" s="26" t="s">
        <v>1729</v>
      </c>
      <c r="D238" s="3">
        <v>50</v>
      </c>
      <c r="E238" s="1" t="s">
        <v>5</v>
      </c>
      <c r="F238" s="3">
        <v>10</v>
      </c>
      <c r="G238" s="4">
        <v>44740</v>
      </c>
      <c r="H238" s="1" t="s">
        <v>2835</v>
      </c>
      <c r="I238" s="1" t="s">
        <v>2834</v>
      </c>
      <c r="J238" s="1" t="s">
        <v>2091</v>
      </c>
      <c r="K238" s="1" t="s">
        <v>2446</v>
      </c>
      <c r="L238" s="1">
        <v>2016</v>
      </c>
      <c r="N238" s="1" t="s">
        <v>2833</v>
      </c>
      <c r="O238" s="25" t="s">
        <v>4</v>
      </c>
      <c r="P238" s="25">
        <v>4</v>
      </c>
      <c r="Q238" s="25" t="s">
        <v>2832</v>
      </c>
      <c r="R238" s="25" t="s">
        <v>1</v>
      </c>
      <c r="S238" s="25" t="s">
        <v>1</v>
      </c>
      <c r="T238" s="25" t="s">
        <v>1</v>
      </c>
      <c r="U238" s="25" t="s">
        <v>1</v>
      </c>
      <c r="V238" s="25" t="s">
        <v>1</v>
      </c>
      <c r="W238" s="25" t="s">
        <v>1</v>
      </c>
      <c r="X238" s="25" t="s">
        <v>1</v>
      </c>
      <c r="Y238" s="25" t="s">
        <v>1</v>
      </c>
      <c r="Z238" s="25" t="s">
        <v>1</v>
      </c>
      <c r="AA238" s="1" t="s">
        <v>2132</v>
      </c>
    </row>
    <row r="239" spans="1:27">
      <c r="A239" s="1">
        <f t="shared" si="3"/>
        <v>233</v>
      </c>
      <c r="B239" s="1" t="s">
        <v>576</v>
      </c>
      <c r="C239" s="26" t="s">
        <v>1729</v>
      </c>
      <c r="D239" s="3">
        <v>50</v>
      </c>
      <c r="E239" s="1" t="s">
        <v>4</v>
      </c>
      <c r="F239" s="3">
        <v>9</v>
      </c>
      <c r="G239" s="4">
        <v>44859</v>
      </c>
      <c r="H239" s="1" t="s">
        <v>2831</v>
      </c>
      <c r="I239" s="1" t="s">
        <v>2830</v>
      </c>
      <c r="J239" s="1" t="s">
        <v>2091</v>
      </c>
      <c r="K239" s="1" t="s">
        <v>2829</v>
      </c>
      <c r="L239" s="1">
        <v>2021</v>
      </c>
      <c r="M239" s="1" t="s">
        <v>2828</v>
      </c>
      <c r="N239" s="1" t="s">
        <v>2827</v>
      </c>
      <c r="O239" s="25" t="s">
        <v>1</v>
      </c>
      <c r="P239" s="25" t="s">
        <v>1</v>
      </c>
      <c r="Q239" s="25" t="s">
        <v>1</v>
      </c>
      <c r="R239" s="25" t="s">
        <v>1</v>
      </c>
      <c r="S239" s="25" t="s">
        <v>1</v>
      </c>
      <c r="T239" s="25" t="s">
        <v>1</v>
      </c>
      <c r="U239" s="25" t="s">
        <v>1</v>
      </c>
      <c r="V239" s="25" t="s">
        <v>1</v>
      </c>
      <c r="W239" s="25" t="s">
        <v>1</v>
      </c>
      <c r="X239" s="25" t="s">
        <v>1</v>
      </c>
      <c r="Y239" s="25" t="s">
        <v>1</v>
      </c>
      <c r="Z239" s="25" t="s">
        <v>1</v>
      </c>
      <c r="AA239" s="1" t="s">
        <v>2124</v>
      </c>
    </row>
    <row r="240" spans="1:27">
      <c r="A240" s="1">
        <f t="shared" si="3"/>
        <v>234</v>
      </c>
      <c r="B240" s="1" t="s">
        <v>436</v>
      </c>
      <c r="C240" s="26" t="s">
        <v>1729</v>
      </c>
      <c r="D240" s="3">
        <v>50</v>
      </c>
      <c r="E240" s="1" t="s">
        <v>5</v>
      </c>
      <c r="F240" s="3">
        <v>8.5</v>
      </c>
      <c r="G240" s="4">
        <v>44307</v>
      </c>
      <c r="H240" s="1" t="s">
        <v>2826</v>
      </c>
      <c r="I240" s="1" t="s">
        <v>2825</v>
      </c>
      <c r="J240" s="1" t="s">
        <v>2091</v>
      </c>
      <c r="K240" s="1" t="s">
        <v>2824</v>
      </c>
      <c r="L240" s="1">
        <v>2016</v>
      </c>
      <c r="N240" s="1" t="s">
        <v>2823</v>
      </c>
      <c r="O240" s="25" t="s">
        <v>4</v>
      </c>
      <c r="P240" s="25">
        <v>4.4000000000000004</v>
      </c>
      <c r="Q240" s="25" t="s">
        <v>1</v>
      </c>
      <c r="R240" s="25" t="s">
        <v>1</v>
      </c>
      <c r="S240" s="25" t="s">
        <v>1</v>
      </c>
      <c r="T240" s="25" t="s">
        <v>1</v>
      </c>
      <c r="U240" s="25" t="s">
        <v>1</v>
      </c>
      <c r="V240" s="25" t="s">
        <v>1</v>
      </c>
      <c r="W240" s="25" t="s">
        <v>1</v>
      </c>
      <c r="X240" s="25" t="s">
        <v>1</v>
      </c>
      <c r="Y240" s="25" t="s">
        <v>1</v>
      </c>
      <c r="Z240" s="25" t="s">
        <v>1</v>
      </c>
      <c r="AA240" s="1" t="s">
        <v>2097</v>
      </c>
    </row>
    <row r="241" spans="1:27">
      <c r="A241" s="1">
        <f t="shared" si="3"/>
        <v>235</v>
      </c>
      <c r="B241" s="1" t="s">
        <v>591</v>
      </c>
      <c r="C241" s="26" t="s">
        <v>1729</v>
      </c>
      <c r="D241" s="3">
        <v>50</v>
      </c>
      <c r="E241" s="1" t="s">
        <v>4</v>
      </c>
      <c r="F241" s="3">
        <v>8</v>
      </c>
      <c r="G241" s="4">
        <v>44711</v>
      </c>
      <c r="H241" s="1" t="s">
        <v>2822</v>
      </c>
      <c r="I241" s="1" t="s">
        <v>2821</v>
      </c>
      <c r="J241" s="1" t="s">
        <v>2091</v>
      </c>
      <c r="K241" s="1" t="s">
        <v>2290</v>
      </c>
      <c r="L241" s="1">
        <v>2021</v>
      </c>
      <c r="M241" s="1" t="s">
        <v>2820</v>
      </c>
      <c r="N241" s="1" t="s">
        <v>2819</v>
      </c>
      <c r="O241" s="25" t="s">
        <v>1</v>
      </c>
      <c r="P241" s="25" t="s">
        <v>1</v>
      </c>
      <c r="Q241" s="25" t="s">
        <v>1</v>
      </c>
      <c r="R241" s="25" t="s">
        <v>1</v>
      </c>
      <c r="S241" s="25" t="s">
        <v>1</v>
      </c>
      <c r="T241" s="25" t="s">
        <v>1</v>
      </c>
      <c r="U241" s="25" t="s">
        <v>1</v>
      </c>
      <c r="V241" s="25" t="s">
        <v>1</v>
      </c>
      <c r="W241" s="25" t="s">
        <v>1</v>
      </c>
      <c r="X241" s="25" t="s">
        <v>1</v>
      </c>
      <c r="Y241" s="25" t="s">
        <v>1</v>
      </c>
      <c r="Z241" s="25" t="s">
        <v>1</v>
      </c>
      <c r="AA241" s="1" t="s">
        <v>2124</v>
      </c>
    </row>
    <row r="242" spans="1:27">
      <c r="A242" s="1">
        <f t="shared" si="3"/>
        <v>236</v>
      </c>
      <c r="B242" s="1" t="s">
        <v>2818</v>
      </c>
      <c r="C242" s="26" t="s">
        <v>1729</v>
      </c>
      <c r="D242" s="3">
        <v>50</v>
      </c>
      <c r="E242" s="1" t="s">
        <v>5</v>
      </c>
      <c r="F242" s="3">
        <v>8</v>
      </c>
      <c r="G242" s="4">
        <v>45020</v>
      </c>
      <c r="H242" s="1" t="s">
        <v>2817</v>
      </c>
      <c r="J242" s="1" t="s">
        <v>2091</v>
      </c>
      <c r="K242" s="1" t="s">
        <v>2355</v>
      </c>
      <c r="L242" s="1">
        <v>2019</v>
      </c>
      <c r="N242" s="1" t="s">
        <v>2816</v>
      </c>
      <c r="O242" s="25" t="s">
        <v>1</v>
      </c>
      <c r="P242" s="25" t="s">
        <v>1</v>
      </c>
      <c r="Q242" s="25" t="s">
        <v>1</v>
      </c>
      <c r="R242" s="25" t="s">
        <v>1</v>
      </c>
      <c r="S242" s="25" t="s">
        <v>1</v>
      </c>
      <c r="T242" s="25" t="s">
        <v>1</v>
      </c>
      <c r="U242" s="25" t="s">
        <v>1</v>
      </c>
      <c r="V242" s="25" t="s">
        <v>1</v>
      </c>
      <c r="W242" s="25" t="s">
        <v>1</v>
      </c>
      <c r="X242" s="25" t="s">
        <v>1</v>
      </c>
      <c r="Y242" s="25" t="s">
        <v>1</v>
      </c>
      <c r="Z242" s="25" t="s">
        <v>1</v>
      </c>
      <c r="AA242" s="1" t="s">
        <v>2815</v>
      </c>
    </row>
    <row r="243" spans="1:27">
      <c r="A243" s="1">
        <f t="shared" si="3"/>
        <v>237</v>
      </c>
      <c r="B243" s="1" t="s">
        <v>604</v>
      </c>
      <c r="C243" s="26" t="s">
        <v>1729</v>
      </c>
      <c r="D243" s="3">
        <v>50</v>
      </c>
      <c r="E243" s="1" t="s">
        <v>4</v>
      </c>
      <c r="F243" s="3">
        <v>6.8</v>
      </c>
      <c r="G243" s="4">
        <v>44964</v>
      </c>
      <c r="H243" s="1" t="s">
        <v>2814</v>
      </c>
      <c r="I243" s="1" t="s">
        <v>2813</v>
      </c>
      <c r="J243" s="1" t="s">
        <v>2091</v>
      </c>
      <c r="K243" s="1" t="s">
        <v>2812</v>
      </c>
      <c r="L243" s="1">
        <v>2021</v>
      </c>
      <c r="N243" s="1" t="s">
        <v>2811</v>
      </c>
      <c r="O243" s="25" t="s">
        <v>4</v>
      </c>
      <c r="P243" s="25">
        <v>1.6</v>
      </c>
      <c r="Q243" s="25" t="s">
        <v>2810</v>
      </c>
      <c r="R243" s="25" t="s">
        <v>1</v>
      </c>
      <c r="S243" s="25" t="s">
        <v>1</v>
      </c>
      <c r="T243" s="25" t="s">
        <v>1</v>
      </c>
      <c r="U243" s="25" t="s">
        <v>1</v>
      </c>
      <c r="V243" s="25" t="s">
        <v>1</v>
      </c>
      <c r="W243" s="25" t="s">
        <v>1</v>
      </c>
      <c r="X243" s="25" t="s">
        <v>1</v>
      </c>
      <c r="Y243" s="25" t="s">
        <v>1</v>
      </c>
      <c r="Z243" s="25" t="s">
        <v>1</v>
      </c>
      <c r="AA243" s="1" t="s">
        <v>2809</v>
      </c>
    </row>
    <row r="244" spans="1:27">
      <c r="A244" s="1">
        <f t="shared" si="3"/>
        <v>238</v>
      </c>
      <c r="B244" s="1" t="s">
        <v>447</v>
      </c>
      <c r="C244" s="26" t="s">
        <v>1729</v>
      </c>
      <c r="D244" s="3">
        <v>50</v>
      </c>
      <c r="E244" s="1" t="s">
        <v>4</v>
      </c>
      <c r="F244" s="3">
        <v>7</v>
      </c>
      <c r="G244" s="4">
        <v>44602</v>
      </c>
      <c r="H244" s="1" t="s">
        <v>2808</v>
      </c>
      <c r="I244" s="1" t="s">
        <v>2807</v>
      </c>
      <c r="J244" s="1" t="s">
        <v>2091</v>
      </c>
      <c r="K244" s="1" t="s">
        <v>2372</v>
      </c>
      <c r="L244" s="1">
        <v>2019</v>
      </c>
      <c r="N244" s="1" t="s">
        <v>2806</v>
      </c>
      <c r="O244" s="25" t="s">
        <v>285</v>
      </c>
      <c r="P244" s="25">
        <v>1.1000000000000001</v>
      </c>
      <c r="Q244" s="25" t="s">
        <v>448</v>
      </c>
      <c r="R244" s="25" t="s">
        <v>1</v>
      </c>
      <c r="S244" s="25" t="s">
        <v>1</v>
      </c>
      <c r="T244" s="25" t="s">
        <v>1</v>
      </c>
      <c r="U244" s="25" t="s">
        <v>1</v>
      </c>
      <c r="V244" s="25" t="s">
        <v>1</v>
      </c>
      <c r="W244" s="25" t="s">
        <v>1</v>
      </c>
      <c r="X244" s="25" t="s">
        <v>1</v>
      </c>
      <c r="Y244" s="25" t="s">
        <v>1</v>
      </c>
      <c r="Z244" s="25" t="s">
        <v>1</v>
      </c>
      <c r="AA244" s="1" t="s">
        <v>2204</v>
      </c>
    </row>
    <row r="245" spans="1:27">
      <c r="A245" s="1">
        <f t="shared" si="3"/>
        <v>239</v>
      </c>
      <c r="B245" s="1" t="s">
        <v>841</v>
      </c>
      <c r="C245" s="26" t="s">
        <v>1729</v>
      </c>
      <c r="D245" s="3">
        <v>50</v>
      </c>
      <c r="E245" s="1" t="s">
        <v>4</v>
      </c>
      <c r="F245" s="3">
        <v>4.5</v>
      </c>
      <c r="G245" s="4">
        <v>45056</v>
      </c>
      <c r="H245" s="1" t="s">
        <v>2805</v>
      </c>
      <c r="I245" s="1" t="s">
        <v>2804</v>
      </c>
      <c r="J245" s="1" t="s">
        <v>2091</v>
      </c>
      <c r="K245" s="1" t="s">
        <v>2803</v>
      </c>
      <c r="L245" s="1">
        <v>2022</v>
      </c>
      <c r="N245" s="1" t="s">
        <v>2802</v>
      </c>
      <c r="O245" s="25" t="s">
        <v>1</v>
      </c>
      <c r="P245" s="25" t="s">
        <v>1</v>
      </c>
      <c r="Q245" s="25" t="s">
        <v>1</v>
      </c>
      <c r="R245" s="25" t="s">
        <v>1</v>
      </c>
      <c r="S245" s="25" t="s">
        <v>1</v>
      </c>
      <c r="T245" s="25" t="s">
        <v>1</v>
      </c>
      <c r="U245" s="25" t="s">
        <v>1</v>
      </c>
      <c r="V245" s="25" t="s">
        <v>1</v>
      </c>
      <c r="W245" s="25" t="s">
        <v>1</v>
      </c>
      <c r="X245" s="25" t="s">
        <v>1</v>
      </c>
      <c r="Y245" s="25" t="s">
        <v>1</v>
      </c>
      <c r="Z245" s="25" t="s">
        <v>1</v>
      </c>
      <c r="AA245" s="1" t="s">
        <v>2089</v>
      </c>
    </row>
    <row r="246" spans="1:27">
      <c r="A246" s="1">
        <f t="shared" si="3"/>
        <v>240</v>
      </c>
      <c r="B246" s="1" t="s">
        <v>721</v>
      </c>
      <c r="C246" s="26" t="s">
        <v>1729</v>
      </c>
      <c r="D246" s="3">
        <v>50</v>
      </c>
      <c r="E246" s="1" t="s">
        <v>4</v>
      </c>
      <c r="F246" s="3">
        <v>5.5</v>
      </c>
      <c r="G246" s="4">
        <v>45092</v>
      </c>
      <c r="H246" s="1" t="s">
        <v>2801</v>
      </c>
      <c r="J246" s="1" t="s">
        <v>2091</v>
      </c>
      <c r="K246" s="1" t="s">
        <v>2102</v>
      </c>
      <c r="L246" s="32">
        <v>44176</v>
      </c>
      <c r="N246" s="1" t="s">
        <v>2800</v>
      </c>
      <c r="O246" s="25" t="s">
        <v>285</v>
      </c>
      <c r="P246" s="25">
        <v>0.125</v>
      </c>
      <c r="Q246" s="25" t="s">
        <v>2760</v>
      </c>
      <c r="R246" s="25" t="s">
        <v>1</v>
      </c>
      <c r="S246" s="25" t="s">
        <v>1</v>
      </c>
      <c r="T246" s="25" t="s">
        <v>1</v>
      </c>
      <c r="U246" s="25" t="s">
        <v>1</v>
      </c>
      <c r="V246" s="25" t="s">
        <v>1</v>
      </c>
      <c r="W246" s="25" t="s">
        <v>1</v>
      </c>
      <c r="X246" s="25" t="s">
        <v>1</v>
      </c>
      <c r="Y246" s="25" t="s">
        <v>1</v>
      </c>
      <c r="Z246" s="25" t="s">
        <v>1</v>
      </c>
      <c r="AA246" s="1" t="s">
        <v>2415</v>
      </c>
    </row>
    <row r="247" spans="1:27" s="12" customFormat="1">
      <c r="A247" s="1">
        <f t="shared" si="3"/>
        <v>241</v>
      </c>
      <c r="B247" s="12" t="s">
        <v>573</v>
      </c>
      <c r="C247" s="35" t="s">
        <v>1729</v>
      </c>
      <c r="D247" s="15">
        <v>50</v>
      </c>
      <c r="E247" s="12" t="s">
        <v>4</v>
      </c>
      <c r="F247" s="15">
        <v>5.6</v>
      </c>
      <c r="G247" s="14">
        <v>45048</v>
      </c>
      <c r="H247" s="12" t="s">
        <v>2799</v>
      </c>
      <c r="I247" s="12" t="s">
        <v>2798</v>
      </c>
      <c r="J247" s="12" t="s">
        <v>2091</v>
      </c>
      <c r="K247" s="12" t="s">
        <v>2797</v>
      </c>
      <c r="L247" s="12">
        <v>2022</v>
      </c>
      <c r="M247" s="12" t="s">
        <v>2796</v>
      </c>
      <c r="N247" s="12" t="s">
        <v>2795</v>
      </c>
      <c r="O247" s="24" t="s">
        <v>1</v>
      </c>
      <c r="P247" s="24" t="s">
        <v>1</v>
      </c>
      <c r="Q247" s="24" t="s">
        <v>1</v>
      </c>
      <c r="R247" s="24" t="s">
        <v>1</v>
      </c>
      <c r="S247" s="24" t="s">
        <v>1</v>
      </c>
      <c r="T247" s="24" t="s">
        <v>1</v>
      </c>
      <c r="U247" s="24" t="s">
        <v>1</v>
      </c>
      <c r="V247" s="24" t="s">
        <v>1</v>
      </c>
      <c r="W247" s="24" t="s">
        <v>1</v>
      </c>
      <c r="X247" s="24" t="s">
        <v>1</v>
      </c>
      <c r="Y247" s="24" t="s">
        <v>1</v>
      </c>
      <c r="Z247" s="24" t="s">
        <v>1</v>
      </c>
      <c r="AA247" s="12" t="s">
        <v>2094</v>
      </c>
    </row>
    <row r="248" spans="1:27">
      <c r="A248" s="1">
        <f t="shared" si="3"/>
        <v>242</v>
      </c>
      <c r="B248" s="1" t="s">
        <v>602</v>
      </c>
      <c r="C248" s="26" t="s">
        <v>1729</v>
      </c>
      <c r="D248" s="3">
        <v>50</v>
      </c>
      <c r="E248" s="1" t="s">
        <v>4</v>
      </c>
      <c r="F248" s="3">
        <v>6</v>
      </c>
      <c r="G248" s="4">
        <v>44852</v>
      </c>
      <c r="H248" s="1" t="s">
        <v>2794</v>
      </c>
      <c r="I248" s="1" t="s">
        <v>2793</v>
      </c>
      <c r="J248" s="1" t="s">
        <v>2091</v>
      </c>
      <c r="K248" s="1" t="s">
        <v>2792</v>
      </c>
      <c r="L248" s="1">
        <v>2022</v>
      </c>
      <c r="N248" s="1" t="s">
        <v>2791</v>
      </c>
      <c r="O248" s="25" t="s">
        <v>1</v>
      </c>
      <c r="P248" s="25" t="s">
        <v>1</v>
      </c>
      <c r="Q248" s="25" t="s">
        <v>1</v>
      </c>
      <c r="R248" s="25" t="s">
        <v>1</v>
      </c>
      <c r="S248" s="25" t="s">
        <v>1</v>
      </c>
      <c r="T248" s="25" t="s">
        <v>1</v>
      </c>
      <c r="U248" s="25" t="s">
        <v>1</v>
      </c>
      <c r="V248" s="25" t="s">
        <v>1</v>
      </c>
      <c r="W248" s="25" t="s">
        <v>1</v>
      </c>
      <c r="X248" s="25" t="s">
        <v>1</v>
      </c>
      <c r="Y248" s="25" t="s">
        <v>1</v>
      </c>
      <c r="Z248" s="25" t="s">
        <v>1</v>
      </c>
      <c r="AA248" s="1" t="s">
        <v>2204</v>
      </c>
    </row>
    <row r="249" spans="1:27">
      <c r="A249" s="1">
        <f t="shared" si="3"/>
        <v>243</v>
      </c>
      <c r="B249" s="1" t="s">
        <v>478</v>
      </c>
      <c r="C249" s="26" t="s">
        <v>1729</v>
      </c>
      <c r="D249" s="3">
        <v>50</v>
      </c>
      <c r="E249" s="1" t="s">
        <v>4</v>
      </c>
      <c r="F249" s="3">
        <v>6</v>
      </c>
      <c r="G249" s="4">
        <v>45104</v>
      </c>
      <c r="H249" s="1" t="s">
        <v>2790</v>
      </c>
      <c r="J249" s="1" t="s">
        <v>2091</v>
      </c>
      <c r="K249" s="1" t="s">
        <v>2789</v>
      </c>
      <c r="L249" s="1">
        <v>2023</v>
      </c>
      <c r="M249" s="1" t="s">
        <v>1938</v>
      </c>
      <c r="N249" s="1" t="s">
        <v>2788</v>
      </c>
      <c r="O249" s="25" t="s">
        <v>1</v>
      </c>
      <c r="P249" s="25" t="s">
        <v>1</v>
      </c>
      <c r="Q249" s="25" t="s">
        <v>1</v>
      </c>
      <c r="R249" s="25" t="s">
        <v>1</v>
      </c>
      <c r="S249" s="25" t="s">
        <v>1</v>
      </c>
      <c r="T249" s="25" t="s">
        <v>1</v>
      </c>
      <c r="U249" s="25" t="s">
        <v>1</v>
      </c>
      <c r="V249" s="25" t="s">
        <v>1</v>
      </c>
      <c r="W249" s="25" t="s">
        <v>1</v>
      </c>
      <c r="X249" s="25" t="s">
        <v>1</v>
      </c>
      <c r="Y249" s="25" t="s">
        <v>1</v>
      </c>
      <c r="Z249" s="25" t="s">
        <v>1</v>
      </c>
      <c r="AA249" s="1" t="s">
        <v>2197</v>
      </c>
    </row>
    <row r="250" spans="1:27">
      <c r="A250" s="1">
        <f t="shared" si="3"/>
        <v>244</v>
      </c>
      <c r="B250" s="1" t="s">
        <v>607</v>
      </c>
      <c r="C250" s="26" t="s">
        <v>1729</v>
      </c>
      <c r="D250" s="3">
        <v>50</v>
      </c>
      <c r="E250" s="1" t="s">
        <v>4</v>
      </c>
      <c r="F250" s="3">
        <v>6</v>
      </c>
      <c r="G250" s="4">
        <v>44781</v>
      </c>
      <c r="H250" s="1" t="s">
        <v>2787</v>
      </c>
      <c r="I250" s="1" t="s">
        <v>2786</v>
      </c>
      <c r="J250" s="1" t="s">
        <v>2091</v>
      </c>
      <c r="K250" s="1" t="s">
        <v>2785</v>
      </c>
      <c r="L250" s="1">
        <v>2021</v>
      </c>
      <c r="N250" s="1" t="s">
        <v>2784</v>
      </c>
      <c r="O250" s="25" t="s">
        <v>285</v>
      </c>
      <c r="P250" s="25">
        <v>1</v>
      </c>
      <c r="Q250" s="25" t="s">
        <v>2783</v>
      </c>
      <c r="R250" s="25" t="s">
        <v>1</v>
      </c>
      <c r="S250" s="25" t="s">
        <v>1</v>
      </c>
      <c r="T250" s="25" t="s">
        <v>1</v>
      </c>
      <c r="U250" s="25" t="s">
        <v>1</v>
      </c>
      <c r="V250" s="25" t="s">
        <v>1</v>
      </c>
      <c r="W250" s="25" t="s">
        <v>1</v>
      </c>
      <c r="X250" s="25" t="s">
        <v>1</v>
      </c>
      <c r="Y250" s="25" t="s">
        <v>1</v>
      </c>
      <c r="Z250" s="25" t="s">
        <v>1</v>
      </c>
      <c r="AA250" s="1" t="s">
        <v>2172</v>
      </c>
    </row>
    <row r="251" spans="1:27">
      <c r="A251" s="1">
        <f t="shared" si="3"/>
        <v>245</v>
      </c>
      <c r="B251" s="1" t="s">
        <v>551</v>
      </c>
      <c r="C251" s="26" t="s">
        <v>1729</v>
      </c>
      <c r="D251" s="3">
        <v>50</v>
      </c>
      <c r="E251" s="1" t="s">
        <v>5</v>
      </c>
      <c r="F251" s="3">
        <v>5</v>
      </c>
      <c r="G251" s="31">
        <v>44514</v>
      </c>
      <c r="H251" s="1" t="s">
        <v>2782</v>
      </c>
      <c r="I251" s="1" t="s">
        <v>2781</v>
      </c>
      <c r="J251" s="1" t="s">
        <v>2091</v>
      </c>
      <c r="K251" s="1" t="s">
        <v>2194</v>
      </c>
      <c r="L251" s="1">
        <v>2018</v>
      </c>
      <c r="N251" s="1" t="s">
        <v>2780</v>
      </c>
      <c r="O251" s="25" t="s">
        <v>4</v>
      </c>
      <c r="P251" s="25" t="s">
        <v>1</v>
      </c>
      <c r="Q251" s="25" t="s">
        <v>2779</v>
      </c>
      <c r="R251" s="25" t="s">
        <v>1</v>
      </c>
      <c r="S251" s="25" t="s">
        <v>1</v>
      </c>
      <c r="T251" s="25" t="s">
        <v>1</v>
      </c>
      <c r="U251" s="25" t="s">
        <v>1</v>
      </c>
      <c r="V251" s="25" t="s">
        <v>1</v>
      </c>
      <c r="W251" s="25" t="s">
        <v>1</v>
      </c>
      <c r="X251" s="25" t="s">
        <v>1</v>
      </c>
      <c r="Y251" s="25" t="s">
        <v>1</v>
      </c>
      <c r="Z251" s="25" t="s">
        <v>1</v>
      </c>
      <c r="AA251" s="1" t="s">
        <v>2141</v>
      </c>
    </row>
    <row r="252" spans="1:27">
      <c r="A252" s="1">
        <f t="shared" si="3"/>
        <v>246</v>
      </c>
      <c r="B252" s="1" t="s">
        <v>2778</v>
      </c>
      <c r="C252" s="26" t="s">
        <v>1729</v>
      </c>
      <c r="D252" s="3">
        <v>50</v>
      </c>
      <c r="E252" s="1" t="s">
        <v>7</v>
      </c>
      <c r="F252" s="3">
        <v>5</v>
      </c>
      <c r="G252" s="37" t="s">
        <v>1</v>
      </c>
      <c r="H252" s="1" t="s">
        <v>2777</v>
      </c>
      <c r="J252" s="1" t="s">
        <v>2091</v>
      </c>
      <c r="K252" s="1" t="s">
        <v>2355</v>
      </c>
      <c r="L252" s="32">
        <v>40483</v>
      </c>
      <c r="N252" s="1" t="s">
        <v>7</v>
      </c>
      <c r="O252" s="25" t="s">
        <v>1</v>
      </c>
      <c r="P252" s="25" t="s">
        <v>1</v>
      </c>
      <c r="Q252" s="25" t="s">
        <v>5</v>
      </c>
      <c r="R252" s="25" t="s">
        <v>1</v>
      </c>
      <c r="S252" s="25" t="s">
        <v>1</v>
      </c>
      <c r="T252" s="25" t="s">
        <v>1</v>
      </c>
      <c r="U252" s="25" t="s">
        <v>1</v>
      </c>
      <c r="V252" s="25" t="s">
        <v>1</v>
      </c>
      <c r="W252" s="25" t="s">
        <v>1</v>
      </c>
      <c r="X252" s="25" t="s">
        <v>1</v>
      </c>
      <c r="Y252" s="25" t="s">
        <v>1</v>
      </c>
      <c r="Z252" s="25" t="s">
        <v>1</v>
      </c>
      <c r="AA252" s="1" t="s">
        <v>2776</v>
      </c>
    </row>
    <row r="253" spans="1:27">
      <c r="A253" s="1">
        <f t="shared" si="3"/>
        <v>247</v>
      </c>
      <c r="B253" s="1" t="s">
        <v>714</v>
      </c>
      <c r="C253" s="26" t="s">
        <v>1729</v>
      </c>
      <c r="D253" s="3">
        <v>50</v>
      </c>
      <c r="E253" s="1" t="s">
        <v>5</v>
      </c>
      <c r="F253" s="3">
        <v>6</v>
      </c>
      <c r="G253" s="4">
        <v>44917</v>
      </c>
      <c r="H253" s="1" t="s">
        <v>2775</v>
      </c>
      <c r="J253" s="1" t="s">
        <v>2091</v>
      </c>
      <c r="K253" s="1" t="s">
        <v>2689</v>
      </c>
      <c r="N253" s="1" t="s">
        <v>2774</v>
      </c>
      <c r="O253" s="25" t="s">
        <v>4</v>
      </c>
      <c r="P253" s="25">
        <v>5.9</v>
      </c>
      <c r="Q253" s="25" t="s">
        <v>2773</v>
      </c>
      <c r="R253" s="25" t="s">
        <v>4</v>
      </c>
      <c r="S253" s="25" t="s">
        <v>1</v>
      </c>
      <c r="T253" s="25" t="s">
        <v>2772</v>
      </c>
      <c r="U253" s="25" t="s">
        <v>4</v>
      </c>
      <c r="V253" s="25">
        <v>3.6</v>
      </c>
      <c r="W253" s="25" t="s">
        <v>2771</v>
      </c>
      <c r="X253" s="25" t="s">
        <v>1</v>
      </c>
      <c r="Y253" s="25" t="s">
        <v>1</v>
      </c>
      <c r="Z253" s="25" t="s">
        <v>1</v>
      </c>
      <c r="AA253" s="1" t="s">
        <v>2770</v>
      </c>
    </row>
    <row r="254" spans="1:27">
      <c r="A254" s="1">
        <f t="shared" si="3"/>
        <v>248</v>
      </c>
      <c r="B254" s="1" t="s">
        <v>339</v>
      </c>
      <c r="C254" s="26" t="s">
        <v>1729</v>
      </c>
      <c r="D254" s="3">
        <v>50</v>
      </c>
      <c r="E254" s="1" t="s">
        <v>2769</v>
      </c>
      <c r="F254" s="3">
        <v>2.5</v>
      </c>
      <c r="G254" s="4">
        <v>44805</v>
      </c>
      <c r="H254" s="1" t="s">
        <v>2768</v>
      </c>
      <c r="I254" s="1" t="s">
        <v>2767</v>
      </c>
      <c r="J254" s="1" t="s">
        <v>2091</v>
      </c>
      <c r="K254" s="1" t="s">
        <v>2446</v>
      </c>
      <c r="L254" s="1">
        <v>2020</v>
      </c>
      <c r="M254" s="1" t="s">
        <v>2766</v>
      </c>
      <c r="N254" s="1" t="s">
        <v>1</v>
      </c>
      <c r="O254" s="25" t="s">
        <v>4</v>
      </c>
      <c r="P254" s="25">
        <v>5.0999999999999996</v>
      </c>
      <c r="Q254" s="25" t="s">
        <v>2765</v>
      </c>
      <c r="R254" s="25" t="s">
        <v>1</v>
      </c>
      <c r="S254" s="25" t="s">
        <v>1</v>
      </c>
      <c r="T254" s="25" t="s">
        <v>1</v>
      </c>
      <c r="U254" s="25" t="s">
        <v>1</v>
      </c>
      <c r="V254" s="25" t="s">
        <v>1</v>
      </c>
      <c r="W254" s="25" t="s">
        <v>1</v>
      </c>
      <c r="X254" s="25" t="s">
        <v>1</v>
      </c>
      <c r="Y254" s="25" t="s">
        <v>1</v>
      </c>
      <c r="Z254" s="25" t="s">
        <v>1</v>
      </c>
      <c r="AA254" s="1" t="s">
        <v>2512</v>
      </c>
    </row>
    <row r="255" spans="1:27">
      <c r="A255" s="1">
        <f t="shared" si="3"/>
        <v>249</v>
      </c>
      <c r="B255" s="1" t="s">
        <v>710</v>
      </c>
      <c r="C255" s="26" t="s">
        <v>1729</v>
      </c>
      <c r="D255" s="3">
        <v>50</v>
      </c>
      <c r="E255" s="1" t="s">
        <v>4</v>
      </c>
      <c r="F255" s="3">
        <v>2.5</v>
      </c>
      <c r="G255" s="4">
        <v>44469</v>
      </c>
      <c r="H255" s="1" t="s">
        <v>2764</v>
      </c>
      <c r="I255" s="1" t="s">
        <v>2763</v>
      </c>
      <c r="J255" s="1" t="s">
        <v>2091</v>
      </c>
      <c r="K255" s="1" t="s">
        <v>2762</v>
      </c>
      <c r="L255" s="34">
        <v>44211</v>
      </c>
      <c r="N255" s="1" t="s">
        <v>2761</v>
      </c>
      <c r="O255" s="25" t="s">
        <v>285</v>
      </c>
      <c r="P255" s="25" t="s">
        <v>1</v>
      </c>
      <c r="Q255" s="25" t="s">
        <v>2760</v>
      </c>
      <c r="R255" s="25" t="s">
        <v>1</v>
      </c>
      <c r="S255" s="25" t="s">
        <v>1</v>
      </c>
      <c r="T255" s="25" t="s">
        <v>1</v>
      </c>
      <c r="U255" s="25" t="s">
        <v>1</v>
      </c>
      <c r="V255" s="25" t="s">
        <v>1</v>
      </c>
      <c r="W255" s="25" t="s">
        <v>1</v>
      </c>
      <c r="X255" s="25" t="s">
        <v>1</v>
      </c>
      <c r="Y255" s="25" t="s">
        <v>1</v>
      </c>
      <c r="Z255" s="25" t="s">
        <v>1</v>
      </c>
      <c r="AA255" s="1" t="s">
        <v>2415</v>
      </c>
    </row>
    <row r="256" spans="1:27">
      <c r="A256" s="1">
        <f t="shared" si="3"/>
        <v>250</v>
      </c>
      <c r="B256" s="1" t="s">
        <v>2759</v>
      </c>
      <c r="C256" s="26" t="s">
        <v>1729</v>
      </c>
      <c r="D256" s="3">
        <v>50</v>
      </c>
      <c r="E256" s="1" t="s">
        <v>4</v>
      </c>
      <c r="F256" s="3">
        <v>1.5</v>
      </c>
      <c r="G256" s="4">
        <v>45061</v>
      </c>
      <c r="H256" s="1" t="s">
        <v>2758</v>
      </c>
      <c r="I256" s="1" t="s">
        <v>2757</v>
      </c>
      <c r="J256" s="1" t="s">
        <v>2361</v>
      </c>
      <c r="K256" s="1" t="s">
        <v>2756</v>
      </c>
      <c r="L256" s="1">
        <v>2023</v>
      </c>
      <c r="N256" s="1" t="s">
        <v>2755</v>
      </c>
      <c r="O256" s="25" t="s">
        <v>1</v>
      </c>
      <c r="P256" s="25" t="s">
        <v>1</v>
      </c>
      <c r="Q256" s="25" t="s">
        <v>1</v>
      </c>
      <c r="R256" s="25" t="s">
        <v>1</v>
      </c>
      <c r="S256" s="25" t="s">
        <v>1</v>
      </c>
      <c r="T256" s="25" t="s">
        <v>1</v>
      </c>
      <c r="U256" s="25" t="s">
        <v>1</v>
      </c>
      <c r="V256" s="25" t="s">
        <v>1</v>
      </c>
      <c r="W256" s="25" t="s">
        <v>1</v>
      </c>
      <c r="X256" s="25" t="s">
        <v>1</v>
      </c>
      <c r="Y256" s="25" t="s">
        <v>1</v>
      </c>
      <c r="Z256" s="25" t="s">
        <v>1</v>
      </c>
      <c r="AA256" s="1" t="s">
        <v>2754</v>
      </c>
    </row>
    <row r="257" spans="1:27">
      <c r="A257" s="1">
        <f t="shared" si="3"/>
        <v>251</v>
      </c>
      <c r="B257" s="1" t="s">
        <v>2753</v>
      </c>
      <c r="C257" s="26" t="s">
        <v>1729</v>
      </c>
      <c r="D257" s="3">
        <v>50</v>
      </c>
      <c r="E257" s="1" t="s">
        <v>4</v>
      </c>
      <c r="F257" s="3">
        <v>0.5</v>
      </c>
      <c r="G257" s="4">
        <v>45021</v>
      </c>
      <c r="H257" s="1" t="s">
        <v>2752</v>
      </c>
      <c r="J257" s="1" t="s">
        <v>2091</v>
      </c>
      <c r="K257" s="1" t="s">
        <v>2751</v>
      </c>
      <c r="L257" s="1">
        <v>2022</v>
      </c>
      <c r="M257" s="1" t="s">
        <v>1744</v>
      </c>
      <c r="N257" s="1" t="s">
        <v>1091</v>
      </c>
      <c r="O257" s="25" t="s">
        <v>4</v>
      </c>
      <c r="P257" s="25">
        <v>0.56999999999999995</v>
      </c>
      <c r="Q257" s="25" t="s">
        <v>787</v>
      </c>
      <c r="R257" s="25" t="s">
        <v>1</v>
      </c>
      <c r="S257" s="25" t="s">
        <v>1</v>
      </c>
      <c r="T257" s="25" t="s">
        <v>1</v>
      </c>
      <c r="U257" s="25" t="s">
        <v>1</v>
      </c>
      <c r="V257" s="25" t="s">
        <v>1</v>
      </c>
      <c r="W257" s="25" t="s">
        <v>1</v>
      </c>
      <c r="X257" s="25" t="s">
        <v>1</v>
      </c>
      <c r="Y257" s="25" t="s">
        <v>1</v>
      </c>
      <c r="Z257" s="25" t="s">
        <v>1</v>
      </c>
      <c r="AA257" s="1" t="s">
        <v>2750</v>
      </c>
    </row>
    <row r="258" spans="1:27" s="12" customFormat="1">
      <c r="A258" s="1">
        <f t="shared" si="3"/>
        <v>252</v>
      </c>
      <c r="B258" s="12" t="s">
        <v>2749</v>
      </c>
      <c r="C258" s="35" t="s">
        <v>1729</v>
      </c>
      <c r="D258" s="15">
        <v>50</v>
      </c>
      <c r="E258" s="12" t="s">
        <v>285</v>
      </c>
      <c r="F258" s="15">
        <v>0.5</v>
      </c>
      <c r="G258" s="14">
        <v>45021</v>
      </c>
      <c r="H258" s="12" t="s">
        <v>2748</v>
      </c>
      <c r="I258" s="12" t="s">
        <v>2747</v>
      </c>
      <c r="J258" s="12" t="s">
        <v>2091</v>
      </c>
      <c r="K258" s="12" t="s">
        <v>2578</v>
      </c>
      <c r="L258" s="36">
        <v>42609</v>
      </c>
      <c r="M258" s="12" t="s">
        <v>1947</v>
      </c>
      <c r="N258" s="12" t="s">
        <v>2746</v>
      </c>
      <c r="O258" s="24" t="s">
        <v>1</v>
      </c>
      <c r="P258" s="24" t="s">
        <v>1</v>
      </c>
      <c r="Q258" s="24" t="s">
        <v>1</v>
      </c>
      <c r="R258" s="24" t="s">
        <v>1</v>
      </c>
      <c r="S258" s="24" t="s">
        <v>1</v>
      </c>
      <c r="T258" s="24" t="s">
        <v>1</v>
      </c>
      <c r="U258" s="24" t="s">
        <v>1</v>
      </c>
      <c r="V258" s="24" t="s">
        <v>1</v>
      </c>
      <c r="W258" s="24" t="s">
        <v>1</v>
      </c>
      <c r="X258" s="24" t="s">
        <v>1</v>
      </c>
      <c r="Y258" s="24" t="s">
        <v>1</v>
      </c>
      <c r="Z258" s="24" t="s">
        <v>1</v>
      </c>
      <c r="AA258" s="12" t="s">
        <v>2415</v>
      </c>
    </row>
    <row r="259" spans="1:27">
      <c r="A259" s="1">
        <f t="shared" si="3"/>
        <v>253</v>
      </c>
      <c r="B259" s="1" t="s">
        <v>2745</v>
      </c>
      <c r="C259" s="26" t="s">
        <v>1729</v>
      </c>
      <c r="D259" s="3">
        <v>40</v>
      </c>
      <c r="E259" s="1" t="s">
        <v>7</v>
      </c>
      <c r="F259" s="3">
        <v>5</v>
      </c>
      <c r="G259" s="31">
        <v>44008</v>
      </c>
      <c r="H259" s="1" t="s">
        <v>2744</v>
      </c>
      <c r="I259" s="1" t="s">
        <v>2743</v>
      </c>
      <c r="J259" s="1" t="s">
        <v>2091</v>
      </c>
      <c r="K259" s="1" t="s">
        <v>2147</v>
      </c>
      <c r="L259" s="1">
        <v>2016</v>
      </c>
      <c r="M259" s="1" t="s">
        <v>2742</v>
      </c>
      <c r="N259" s="1" t="s">
        <v>2741</v>
      </c>
      <c r="O259" s="25" t="s">
        <v>7</v>
      </c>
      <c r="P259" s="25">
        <v>14</v>
      </c>
      <c r="Q259" s="25" t="s">
        <v>2740</v>
      </c>
      <c r="R259" s="25" t="s">
        <v>5</v>
      </c>
      <c r="S259" s="25">
        <v>4</v>
      </c>
      <c r="T259" s="25" t="s">
        <v>2739</v>
      </c>
      <c r="U259" s="25" t="s">
        <v>4</v>
      </c>
      <c r="V259" s="25">
        <v>0.6</v>
      </c>
      <c r="W259" s="25" t="s">
        <v>2738</v>
      </c>
      <c r="X259" s="25" t="s">
        <v>1</v>
      </c>
      <c r="Y259" s="25" t="s">
        <v>1</v>
      </c>
      <c r="Z259" s="25" t="s">
        <v>1</v>
      </c>
      <c r="AA259" s="1" t="s">
        <v>2737</v>
      </c>
    </row>
    <row r="260" spans="1:27">
      <c r="A260" s="1">
        <f t="shared" si="3"/>
        <v>254</v>
      </c>
      <c r="B260" s="1" t="s">
        <v>2736</v>
      </c>
      <c r="C260" s="26" t="s">
        <v>1729</v>
      </c>
      <c r="D260" s="3">
        <v>40</v>
      </c>
      <c r="E260" s="1" t="s">
        <v>4</v>
      </c>
      <c r="F260" s="3">
        <v>10</v>
      </c>
      <c r="G260" s="4">
        <v>45026</v>
      </c>
      <c r="H260" s="1" t="s">
        <v>2735</v>
      </c>
      <c r="J260" s="1" t="s">
        <v>2368</v>
      </c>
      <c r="K260" s="1" t="s">
        <v>2368</v>
      </c>
      <c r="L260" s="12">
        <v>2023</v>
      </c>
      <c r="N260" s="1" t="s">
        <v>1</v>
      </c>
      <c r="O260" s="1" t="s">
        <v>1</v>
      </c>
      <c r="P260" s="1" t="s">
        <v>1</v>
      </c>
      <c r="Q260" s="1" t="s">
        <v>1</v>
      </c>
      <c r="R260" s="1" t="s">
        <v>1</v>
      </c>
      <c r="S260" s="1" t="s">
        <v>1</v>
      </c>
      <c r="T260" s="1" t="s">
        <v>1</v>
      </c>
      <c r="U260" s="1" t="s">
        <v>1</v>
      </c>
      <c r="V260" s="1" t="s">
        <v>1</v>
      </c>
      <c r="W260" s="1" t="s">
        <v>1</v>
      </c>
      <c r="X260" s="1" t="s">
        <v>1</v>
      </c>
      <c r="Y260" s="1" t="s">
        <v>1</v>
      </c>
      <c r="Z260" s="1" t="s">
        <v>1</v>
      </c>
      <c r="AA260" s="1" t="s">
        <v>1</v>
      </c>
    </row>
    <row r="261" spans="1:27">
      <c r="A261" s="1">
        <f t="shared" si="3"/>
        <v>255</v>
      </c>
      <c r="B261" s="1" t="s">
        <v>635</v>
      </c>
      <c r="C261" s="26" t="s">
        <v>1729</v>
      </c>
      <c r="D261" s="3">
        <v>40</v>
      </c>
      <c r="E261" s="1" t="s">
        <v>5</v>
      </c>
      <c r="F261" s="3">
        <v>10</v>
      </c>
      <c r="G261" s="4">
        <v>44930</v>
      </c>
      <c r="H261" s="1" t="s">
        <v>2734</v>
      </c>
      <c r="I261" s="1" t="s">
        <v>2733</v>
      </c>
      <c r="J261" s="1" t="s">
        <v>2091</v>
      </c>
      <c r="K261" s="1" t="s">
        <v>2732</v>
      </c>
      <c r="L261" s="1">
        <v>2020</v>
      </c>
      <c r="N261" s="1" t="s">
        <v>2731</v>
      </c>
      <c r="O261" s="25" t="s">
        <v>4</v>
      </c>
      <c r="P261" s="25">
        <v>2</v>
      </c>
      <c r="Q261" s="25" t="s">
        <v>1</v>
      </c>
      <c r="R261" s="25" t="s">
        <v>1</v>
      </c>
      <c r="S261" s="25" t="s">
        <v>1</v>
      </c>
      <c r="T261" s="25" t="s">
        <v>1</v>
      </c>
      <c r="U261" s="25" t="s">
        <v>1</v>
      </c>
      <c r="V261" s="25" t="s">
        <v>1</v>
      </c>
      <c r="W261" s="25" t="s">
        <v>1</v>
      </c>
      <c r="X261" s="25" t="s">
        <v>1</v>
      </c>
      <c r="Y261" s="25" t="s">
        <v>1</v>
      </c>
      <c r="Z261" s="25" t="s">
        <v>1</v>
      </c>
      <c r="AA261" s="1" t="s">
        <v>2654</v>
      </c>
    </row>
    <row r="262" spans="1:27">
      <c r="A262" s="1">
        <f t="shared" si="3"/>
        <v>256</v>
      </c>
      <c r="B262" s="12" t="s">
        <v>2730</v>
      </c>
      <c r="C262" s="35" t="s">
        <v>1729</v>
      </c>
      <c r="D262" s="15">
        <v>40</v>
      </c>
      <c r="E262" s="12" t="s">
        <v>5</v>
      </c>
      <c r="F262" s="15">
        <v>10</v>
      </c>
      <c r="G262" s="14">
        <v>44825</v>
      </c>
      <c r="H262" s="12" t="s">
        <v>2729</v>
      </c>
      <c r="I262" s="12"/>
      <c r="J262" s="12" t="s">
        <v>2091</v>
      </c>
      <c r="K262" s="12" t="s">
        <v>2578</v>
      </c>
      <c r="L262" s="12">
        <v>2020</v>
      </c>
      <c r="N262" s="1" t="s">
        <v>2728</v>
      </c>
      <c r="O262" s="25" t="s">
        <v>4</v>
      </c>
      <c r="P262" s="25">
        <v>1.5</v>
      </c>
      <c r="Q262" s="25" t="s">
        <v>2727</v>
      </c>
      <c r="R262" s="25" t="s">
        <v>1</v>
      </c>
      <c r="S262" s="25" t="s">
        <v>1</v>
      </c>
      <c r="T262" s="25" t="s">
        <v>1</v>
      </c>
      <c r="U262" s="25" t="s">
        <v>1</v>
      </c>
      <c r="V262" s="25" t="s">
        <v>1</v>
      </c>
      <c r="W262" s="25" t="s">
        <v>1</v>
      </c>
      <c r="X262" s="25" t="s">
        <v>1</v>
      </c>
      <c r="Y262" s="25" t="s">
        <v>1</v>
      </c>
      <c r="Z262" s="25" t="s">
        <v>1</v>
      </c>
      <c r="AA262" s="1" t="s">
        <v>2726</v>
      </c>
    </row>
    <row r="263" spans="1:27">
      <c r="A263" s="1">
        <f t="shared" si="3"/>
        <v>257</v>
      </c>
      <c r="B263" s="1" t="s">
        <v>641</v>
      </c>
      <c r="C263" s="26" t="s">
        <v>1729</v>
      </c>
      <c r="D263" s="3">
        <v>40</v>
      </c>
      <c r="E263" s="1" t="s">
        <v>5</v>
      </c>
      <c r="F263" s="3">
        <v>10</v>
      </c>
      <c r="G263" s="31">
        <v>43887</v>
      </c>
      <c r="H263" s="1" t="s">
        <v>2725</v>
      </c>
      <c r="I263" s="1" t="s">
        <v>2724</v>
      </c>
      <c r="J263" s="1" t="s">
        <v>2091</v>
      </c>
      <c r="K263" s="1" t="s">
        <v>2693</v>
      </c>
      <c r="L263" s="1">
        <v>2019</v>
      </c>
      <c r="N263" s="1" t="s">
        <v>642</v>
      </c>
      <c r="O263" s="25" t="s">
        <v>5</v>
      </c>
      <c r="P263" s="25">
        <v>9</v>
      </c>
      <c r="Q263" s="25" t="s">
        <v>2723</v>
      </c>
      <c r="R263" s="25" t="s">
        <v>4</v>
      </c>
      <c r="S263" s="25">
        <v>2.4</v>
      </c>
      <c r="T263" s="25" t="s">
        <v>2722</v>
      </c>
      <c r="U263" s="25" t="s">
        <v>1</v>
      </c>
      <c r="V263" s="25" t="s">
        <v>1</v>
      </c>
      <c r="W263" s="25" t="s">
        <v>1</v>
      </c>
      <c r="X263" s="25" t="s">
        <v>1</v>
      </c>
      <c r="Y263" s="25" t="s">
        <v>1</v>
      </c>
      <c r="Z263" s="25" t="s">
        <v>1</v>
      </c>
      <c r="AA263" s="1" t="s">
        <v>2204</v>
      </c>
    </row>
    <row r="264" spans="1:27">
      <c r="A264" s="1">
        <f t="shared" si="3"/>
        <v>258</v>
      </c>
      <c r="B264" s="1" t="s">
        <v>2721</v>
      </c>
      <c r="C264" s="26" t="s">
        <v>1729</v>
      </c>
      <c r="D264" s="3">
        <v>30</v>
      </c>
      <c r="E264" s="1" t="s">
        <v>4</v>
      </c>
      <c r="F264" s="3">
        <v>6</v>
      </c>
      <c r="G264" s="4">
        <v>45070</v>
      </c>
      <c r="H264" s="1" t="s">
        <v>2720</v>
      </c>
      <c r="I264" s="1" t="s">
        <v>2719</v>
      </c>
      <c r="J264" s="1" t="s">
        <v>2361</v>
      </c>
      <c r="K264" s="1" t="s">
        <v>2578</v>
      </c>
      <c r="L264" s="1">
        <v>2021</v>
      </c>
      <c r="N264" s="1" t="s">
        <v>1</v>
      </c>
      <c r="O264" s="1" t="s">
        <v>1</v>
      </c>
      <c r="P264" s="1" t="s">
        <v>1</v>
      </c>
      <c r="Q264" s="1" t="s">
        <v>1</v>
      </c>
      <c r="R264" s="1" t="s">
        <v>1</v>
      </c>
      <c r="S264" s="1" t="s">
        <v>1</v>
      </c>
      <c r="T264" s="1" t="s">
        <v>1</v>
      </c>
      <c r="U264" s="1" t="s">
        <v>1</v>
      </c>
      <c r="V264" s="1" t="s">
        <v>1</v>
      </c>
      <c r="W264" s="1" t="s">
        <v>1</v>
      </c>
      <c r="X264" s="1" t="s">
        <v>1</v>
      </c>
      <c r="Y264" s="1" t="s">
        <v>1</v>
      </c>
      <c r="Z264" s="1" t="s">
        <v>1</v>
      </c>
      <c r="AA264" s="1" t="s">
        <v>2718</v>
      </c>
    </row>
    <row r="265" spans="1:27">
      <c r="A265" s="1">
        <f t="shared" ref="A265:A308" si="4">A264+1</f>
        <v>259</v>
      </c>
      <c r="B265" s="1" t="s">
        <v>2717</v>
      </c>
      <c r="C265" s="26" t="s">
        <v>1729</v>
      </c>
      <c r="D265" s="3">
        <v>30</v>
      </c>
      <c r="E265" s="1" t="s">
        <v>285</v>
      </c>
      <c r="F265" s="3">
        <v>0.5</v>
      </c>
      <c r="G265" s="4">
        <v>45021</v>
      </c>
      <c r="H265" s="1" t="s">
        <v>2716</v>
      </c>
      <c r="I265" s="1" t="s">
        <v>2715</v>
      </c>
      <c r="J265" s="1" t="s">
        <v>2091</v>
      </c>
      <c r="K265" s="1" t="s">
        <v>2108</v>
      </c>
      <c r="L265" s="1">
        <v>2021</v>
      </c>
      <c r="M265" s="1" t="s">
        <v>1744</v>
      </c>
      <c r="N265" s="1" t="s">
        <v>1091</v>
      </c>
      <c r="O265" s="25" t="s">
        <v>1</v>
      </c>
      <c r="P265" s="25" t="s">
        <v>1</v>
      </c>
      <c r="Q265" s="25" t="s">
        <v>1</v>
      </c>
      <c r="R265" s="25" t="s">
        <v>1</v>
      </c>
      <c r="S265" s="25" t="s">
        <v>1</v>
      </c>
      <c r="T265" s="25" t="s">
        <v>1</v>
      </c>
      <c r="U265" s="25" t="s">
        <v>1</v>
      </c>
      <c r="V265" s="25" t="s">
        <v>1</v>
      </c>
      <c r="W265" s="25" t="s">
        <v>1</v>
      </c>
      <c r="X265" s="25" t="s">
        <v>1</v>
      </c>
      <c r="Y265" s="25" t="s">
        <v>1</v>
      </c>
      <c r="Z265" s="25" t="s">
        <v>1</v>
      </c>
      <c r="AA265" s="1" t="s">
        <v>2094</v>
      </c>
    </row>
    <row r="266" spans="1:27">
      <c r="A266" s="1">
        <f t="shared" si="4"/>
        <v>260</v>
      </c>
      <c r="B266" s="1" t="s">
        <v>819</v>
      </c>
      <c r="C266" s="26" t="s">
        <v>1729</v>
      </c>
      <c r="D266" s="3">
        <v>30</v>
      </c>
      <c r="E266" s="1" t="s">
        <v>4</v>
      </c>
      <c r="F266" s="3">
        <v>5</v>
      </c>
      <c r="G266" s="4">
        <v>45062</v>
      </c>
      <c r="H266" s="1" t="s">
        <v>2714</v>
      </c>
      <c r="J266" s="1" t="s">
        <v>2091</v>
      </c>
      <c r="K266" s="1" t="s">
        <v>2290</v>
      </c>
      <c r="L266" s="1">
        <v>2023</v>
      </c>
      <c r="N266" s="1" t="s">
        <v>2713</v>
      </c>
      <c r="O266" s="25" t="s">
        <v>1</v>
      </c>
      <c r="P266" s="25" t="s">
        <v>1</v>
      </c>
      <c r="Q266" s="25" t="s">
        <v>1</v>
      </c>
      <c r="R266" s="25" t="s">
        <v>1</v>
      </c>
      <c r="S266" s="25" t="s">
        <v>1</v>
      </c>
      <c r="T266" s="25" t="s">
        <v>1</v>
      </c>
      <c r="U266" s="25" t="s">
        <v>1</v>
      </c>
      <c r="V266" s="25" t="s">
        <v>1</v>
      </c>
      <c r="W266" s="25" t="s">
        <v>1</v>
      </c>
      <c r="X266" s="25" t="s">
        <v>1</v>
      </c>
      <c r="Y266" s="25" t="s">
        <v>1</v>
      </c>
      <c r="Z266" s="25" t="s">
        <v>1</v>
      </c>
      <c r="AA266" s="1" t="s">
        <v>2089</v>
      </c>
    </row>
    <row r="267" spans="1:27" s="12" customFormat="1">
      <c r="A267" s="1">
        <f t="shared" si="4"/>
        <v>261</v>
      </c>
      <c r="B267" s="12" t="s">
        <v>777</v>
      </c>
      <c r="C267" s="35" t="s">
        <v>1729</v>
      </c>
      <c r="D267" s="15">
        <v>30</v>
      </c>
      <c r="E267" s="12" t="s">
        <v>4</v>
      </c>
      <c r="F267" s="15">
        <v>4</v>
      </c>
      <c r="G267" s="14">
        <v>45026</v>
      </c>
      <c r="H267" s="12" t="s">
        <v>2108</v>
      </c>
      <c r="I267" s="12" t="s">
        <v>2712</v>
      </c>
      <c r="J267" s="12" t="s">
        <v>2091</v>
      </c>
      <c r="K267" s="12" t="s">
        <v>2108</v>
      </c>
      <c r="L267" s="12">
        <v>2021</v>
      </c>
      <c r="N267" s="12" t="s">
        <v>2711</v>
      </c>
      <c r="O267" s="24" t="s">
        <v>1</v>
      </c>
      <c r="P267" s="24" t="s">
        <v>1</v>
      </c>
      <c r="Q267" s="24" t="s">
        <v>1</v>
      </c>
      <c r="R267" s="24" t="s">
        <v>1</v>
      </c>
      <c r="S267" s="24" t="s">
        <v>1</v>
      </c>
      <c r="T267" s="24" t="s">
        <v>1</v>
      </c>
      <c r="U267" s="24" t="s">
        <v>1</v>
      </c>
      <c r="V267" s="24" t="s">
        <v>1</v>
      </c>
      <c r="W267" s="24" t="s">
        <v>1</v>
      </c>
      <c r="X267" s="24" t="s">
        <v>1</v>
      </c>
      <c r="Y267" s="24" t="s">
        <v>1</v>
      </c>
      <c r="Z267" s="24" t="s">
        <v>1</v>
      </c>
      <c r="AA267" s="12" t="s">
        <v>2710</v>
      </c>
    </row>
    <row r="268" spans="1:27">
      <c r="A268" s="1">
        <f t="shared" si="4"/>
        <v>262</v>
      </c>
      <c r="B268" s="1" t="s">
        <v>343</v>
      </c>
      <c r="C268" s="26" t="s">
        <v>1729</v>
      </c>
      <c r="D268" s="3">
        <v>30</v>
      </c>
      <c r="E268" s="1" t="s">
        <v>4</v>
      </c>
      <c r="F268" s="3">
        <v>3</v>
      </c>
      <c r="G268" s="4">
        <v>44327</v>
      </c>
      <c r="H268" s="1" t="s">
        <v>2709</v>
      </c>
      <c r="I268" s="1" t="s">
        <v>2708</v>
      </c>
      <c r="J268" s="1" t="s">
        <v>2091</v>
      </c>
      <c r="K268" s="1" t="s">
        <v>2707</v>
      </c>
      <c r="L268" s="1">
        <v>2021</v>
      </c>
      <c r="N268" s="1" t="s">
        <v>2706</v>
      </c>
      <c r="O268" s="25" t="s">
        <v>285</v>
      </c>
      <c r="P268" s="25">
        <v>1.2</v>
      </c>
      <c r="Q268" s="25" t="s">
        <v>2705</v>
      </c>
      <c r="R268" s="25" t="s">
        <v>1</v>
      </c>
      <c r="S268" s="25" t="s">
        <v>1</v>
      </c>
      <c r="T268" s="25" t="s">
        <v>1</v>
      </c>
      <c r="U268" s="25" t="s">
        <v>1</v>
      </c>
      <c r="V268" s="25" t="s">
        <v>1</v>
      </c>
      <c r="W268" s="25" t="s">
        <v>1</v>
      </c>
      <c r="X268" s="25" t="s">
        <v>1</v>
      </c>
      <c r="Y268" s="25" t="s">
        <v>1</v>
      </c>
      <c r="Z268" s="25" t="s">
        <v>1</v>
      </c>
      <c r="AA268" s="1" t="s">
        <v>2101</v>
      </c>
    </row>
    <row r="269" spans="1:27">
      <c r="A269" s="1">
        <f t="shared" si="4"/>
        <v>263</v>
      </c>
      <c r="B269" s="1" t="s">
        <v>2704</v>
      </c>
      <c r="C269" s="26" t="s">
        <v>1729</v>
      </c>
      <c r="D269" s="3">
        <v>30</v>
      </c>
      <c r="E269" s="1" t="s">
        <v>285</v>
      </c>
      <c r="F269" s="3">
        <v>3</v>
      </c>
      <c r="G269" s="4">
        <v>45044</v>
      </c>
      <c r="H269" s="1" t="s">
        <v>2703</v>
      </c>
      <c r="I269" s="1" t="s">
        <v>2702</v>
      </c>
      <c r="J269" s="1" t="s">
        <v>2091</v>
      </c>
      <c r="K269" s="1" t="s">
        <v>2701</v>
      </c>
      <c r="L269" s="34">
        <v>44986</v>
      </c>
      <c r="N269" s="1" t="s">
        <v>1</v>
      </c>
      <c r="O269" s="1" t="s">
        <v>1</v>
      </c>
      <c r="P269" s="1" t="s">
        <v>1</v>
      </c>
      <c r="Q269" s="1" t="s">
        <v>1</v>
      </c>
      <c r="R269" s="1" t="s">
        <v>1</v>
      </c>
      <c r="S269" s="1" t="s">
        <v>1</v>
      </c>
      <c r="T269" s="1" t="s">
        <v>1</v>
      </c>
      <c r="U269" s="1" t="s">
        <v>1</v>
      </c>
      <c r="V269" s="1" t="s">
        <v>1</v>
      </c>
      <c r="W269" s="1" t="s">
        <v>1</v>
      </c>
      <c r="X269" s="1" t="s">
        <v>1</v>
      </c>
      <c r="Y269" s="1" t="s">
        <v>1</v>
      </c>
      <c r="Z269" s="1" t="s">
        <v>1</v>
      </c>
      <c r="AA269" s="1" t="s">
        <v>2415</v>
      </c>
    </row>
    <row r="270" spans="1:27">
      <c r="A270" s="1">
        <f t="shared" si="4"/>
        <v>264</v>
      </c>
      <c r="B270" s="1" t="s">
        <v>757</v>
      </c>
      <c r="C270" s="26" t="s">
        <v>1729</v>
      </c>
      <c r="D270" s="3">
        <v>25</v>
      </c>
      <c r="E270" s="1" t="s">
        <v>4</v>
      </c>
      <c r="F270" s="3">
        <v>2.6</v>
      </c>
      <c r="G270" s="4">
        <v>44994</v>
      </c>
      <c r="H270" s="1" t="s">
        <v>2700</v>
      </c>
      <c r="I270" s="1" t="s">
        <v>2699</v>
      </c>
      <c r="J270" s="1" t="s">
        <v>2361</v>
      </c>
      <c r="K270" s="1" t="s">
        <v>2698</v>
      </c>
      <c r="L270" s="32">
        <v>44013</v>
      </c>
      <c r="N270" s="1" t="s">
        <v>2697</v>
      </c>
      <c r="O270" s="25" t="s">
        <v>4</v>
      </c>
      <c r="P270" s="25" t="s">
        <v>2696</v>
      </c>
      <c r="R270" s="25" t="s">
        <v>285</v>
      </c>
      <c r="S270" s="25" t="s">
        <v>1</v>
      </c>
      <c r="T270" s="25" t="s">
        <v>760</v>
      </c>
      <c r="U270" s="1" t="s">
        <v>1</v>
      </c>
      <c r="V270" s="1" t="s">
        <v>1</v>
      </c>
      <c r="W270" s="1" t="s">
        <v>1</v>
      </c>
      <c r="X270" s="1" t="s">
        <v>1</v>
      </c>
      <c r="Y270" s="1" t="s">
        <v>1</v>
      </c>
      <c r="Z270" s="1" t="s">
        <v>1</v>
      </c>
      <c r="AA270" s="1" t="s">
        <v>2101</v>
      </c>
    </row>
    <row r="271" spans="1:27">
      <c r="A271" s="1">
        <f t="shared" si="4"/>
        <v>265</v>
      </c>
      <c r="B271" s="1" t="s">
        <v>2695</v>
      </c>
      <c r="C271" s="26" t="s">
        <v>1729</v>
      </c>
      <c r="D271" s="3">
        <v>25</v>
      </c>
      <c r="E271" s="1" t="s">
        <v>1</v>
      </c>
      <c r="F271" s="3" t="s">
        <v>1</v>
      </c>
      <c r="G271" s="2" t="s">
        <v>1</v>
      </c>
      <c r="H271" s="1" t="s">
        <v>2694</v>
      </c>
      <c r="J271" s="1" t="s">
        <v>2091</v>
      </c>
      <c r="K271" s="1" t="s">
        <v>2693</v>
      </c>
      <c r="L271" s="1">
        <v>2020</v>
      </c>
      <c r="N271" s="1" t="s">
        <v>1</v>
      </c>
      <c r="O271" s="1" t="s">
        <v>1</v>
      </c>
      <c r="P271" s="1" t="s">
        <v>1</v>
      </c>
      <c r="Q271" s="1" t="s">
        <v>1</v>
      </c>
      <c r="R271" s="1" t="s">
        <v>1</v>
      </c>
      <c r="S271" s="1" t="s">
        <v>1</v>
      </c>
      <c r="T271" s="1" t="s">
        <v>1</v>
      </c>
      <c r="U271" s="1" t="s">
        <v>1</v>
      </c>
      <c r="V271" s="1" t="s">
        <v>1</v>
      </c>
      <c r="W271" s="1" t="s">
        <v>1</v>
      </c>
      <c r="X271" s="1" t="s">
        <v>1</v>
      </c>
      <c r="Y271" s="1" t="s">
        <v>1</v>
      </c>
      <c r="Z271" s="1" t="s">
        <v>1</v>
      </c>
      <c r="AA271" s="1" t="s">
        <v>2692</v>
      </c>
    </row>
    <row r="272" spans="1:27">
      <c r="A272" s="1">
        <f t="shared" si="4"/>
        <v>266</v>
      </c>
      <c r="B272" s="1" t="s">
        <v>348</v>
      </c>
      <c r="C272" s="26" t="s">
        <v>1729</v>
      </c>
      <c r="D272" s="3">
        <v>20</v>
      </c>
      <c r="E272" s="1" t="s">
        <v>4</v>
      </c>
      <c r="F272" s="3">
        <v>3.5</v>
      </c>
      <c r="G272" s="4">
        <v>44636</v>
      </c>
      <c r="H272" s="1" t="s">
        <v>2691</v>
      </c>
      <c r="I272" s="1" t="s">
        <v>2690</v>
      </c>
      <c r="J272" s="1" t="s">
        <v>2091</v>
      </c>
      <c r="K272" s="1" t="s">
        <v>2689</v>
      </c>
      <c r="L272" s="1">
        <v>2019</v>
      </c>
      <c r="N272" s="1" t="s">
        <v>2688</v>
      </c>
      <c r="O272" s="25" t="s">
        <v>285</v>
      </c>
      <c r="P272" s="25">
        <v>0.75</v>
      </c>
      <c r="Q272" s="25" t="s">
        <v>2687</v>
      </c>
      <c r="R272" s="25" t="s">
        <v>285</v>
      </c>
      <c r="S272" s="25">
        <v>0.12</v>
      </c>
      <c r="T272" s="25" t="s">
        <v>650</v>
      </c>
      <c r="U272" s="25" t="s">
        <v>1</v>
      </c>
      <c r="V272" s="25" t="s">
        <v>1</v>
      </c>
      <c r="W272" s="25" t="s">
        <v>1</v>
      </c>
      <c r="X272" s="25" t="s">
        <v>1</v>
      </c>
      <c r="Y272" s="25" t="s">
        <v>1</v>
      </c>
      <c r="Z272" s="25" t="s">
        <v>1</v>
      </c>
      <c r="AA272" s="1" t="s">
        <v>2172</v>
      </c>
    </row>
    <row r="273" spans="1:28">
      <c r="A273" s="1">
        <f t="shared" si="4"/>
        <v>267</v>
      </c>
      <c r="B273" s="1" t="s">
        <v>2686</v>
      </c>
      <c r="C273" s="26" t="s">
        <v>1729</v>
      </c>
      <c r="D273" s="3">
        <v>20</v>
      </c>
      <c r="E273" s="1" t="s">
        <v>4</v>
      </c>
      <c r="F273" s="3">
        <v>4</v>
      </c>
      <c r="G273" s="4">
        <v>44332</v>
      </c>
      <c r="I273" s="1" t="s">
        <v>2685</v>
      </c>
      <c r="J273" s="12" t="s">
        <v>2091</v>
      </c>
      <c r="K273" s="12" t="s">
        <v>2578</v>
      </c>
      <c r="L273" s="1">
        <v>2018</v>
      </c>
      <c r="N273" s="1" t="s">
        <v>496</v>
      </c>
      <c r="O273" s="25" t="s">
        <v>4</v>
      </c>
      <c r="P273" s="25">
        <v>2</v>
      </c>
      <c r="Q273" s="25" t="s">
        <v>2684</v>
      </c>
      <c r="R273" s="25" t="s">
        <v>285</v>
      </c>
      <c r="S273" s="25" t="s">
        <v>1</v>
      </c>
      <c r="T273" s="25" t="s">
        <v>2683</v>
      </c>
      <c r="U273" s="25" t="s">
        <v>1</v>
      </c>
      <c r="V273" s="25" t="s">
        <v>1</v>
      </c>
      <c r="W273" s="25" t="s">
        <v>1</v>
      </c>
      <c r="X273" s="25" t="s">
        <v>1</v>
      </c>
      <c r="Y273" s="25" t="s">
        <v>1</v>
      </c>
      <c r="Z273" s="25" t="s">
        <v>1</v>
      </c>
      <c r="AA273" s="1" t="s">
        <v>2682</v>
      </c>
    </row>
    <row r="274" spans="1:28">
      <c r="A274" s="1">
        <f t="shared" si="4"/>
        <v>268</v>
      </c>
      <c r="B274" s="1" t="s">
        <v>518</v>
      </c>
      <c r="C274" s="26" t="s">
        <v>1729</v>
      </c>
      <c r="D274" s="3">
        <v>20</v>
      </c>
      <c r="E274" s="1" t="s">
        <v>4</v>
      </c>
      <c r="F274" s="3">
        <v>3</v>
      </c>
      <c r="G274" s="4">
        <v>45037</v>
      </c>
      <c r="H274" s="1" t="s">
        <v>2681</v>
      </c>
      <c r="I274" s="1" t="s">
        <v>2680</v>
      </c>
      <c r="J274" s="1" t="s">
        <v>2091</v>
      </c>
      <c r="K274" s="1" t="s">
        <v>2679</v>
      </c>
      <c r="L274" s="1">
        <v>2021</v>
      </c>
      <c r="N274" s="1" t="s">
        <v>2678</v>
      </c>
      <c r="O274" s="25" t="s">
        <v>285</v>
      </c>
      <c r="P274" s="25">
        <v>1.2</v>
      </c>
      <c r="Q274" s="25" t="s">
        <v>2677</v>
      </c>
      <c r="R274" s="25" t="s">
        <v>1</v>
      </c>
      <c r="S274" s="25" t="s">
        <v>1</v>
      </c>
      <c r="T274" s="25" t="s">
        <v>1</v>
      </c>
      <c r="U274" s="25" t="s">
        <v>1</v>
      </c>
      <c r="V274" s="25" t="s">
        <v>1</v>
      </c>
      <c r="W274" s="25" t="s">
        <v>1</v>
      </c>
      <c r="X274" s="25" t="s">
        <v>1</v>
      </c>
      <c r="Y274" s="25" t="s">
        <v>1</v>
      </c>
      <c r="Z274" s="25" t="s">
        <v>1</v>
      </c>
      <c r="AA274" s="1" t="s">
        <v>2211</v>
      </c>
    </row>
    <row r="275" spans="1:28">
      <c r="A275" s="1">
        <f t="shared" si="4"/>
        <v>269</v>
      </c>
      <c r="B275" s="1" t="s">
        <v>290</v>
      </c>
      <c r="C275" s="26" t="s">
        <v>1729</v>
      </c>
      <c r="D275" s="3">
        <v>20</v>
      </c>
      <c r="E275" s="1" t="s">
        <v>4</v>
      </c>
      <c r="F275" s="3">
        <v>2.6</v>
      </c>
      <c r="G275" s="4">
        <v>45008</v>
      </c>
      <c r="I275" s="1" t="s">
        <v>2676</v>
      </c>
      <c r="J275" s="1" t="s">
        <v>2091</v>
      </c>
      <c r="K275" s="1" t="s">
        <v>2355</v>
      </c>
      <c r="L275" s="1">
        <v>2019</v>
      </c>
      <c r="N275" s="1" t="s">
        <v>2675</v>
      </c>
      <c r="O275" s="25" t="s">
        <v>1</v>
      </c>
      <c r="P275" s="25" t="s">
        <v>1</v>
      </c>
      <c r="Q275" s="25" t="s">
        <v>1</v>
      </c>
      <c r="R275" s="25" t="s">
        <v>1</v>
      </c>
      <c r="S275" s="25" t="s">
        <v>1</v>
      </c>
      <c r="T275" s="25" t="s">
        <v>1</v>
      </c>
      <c r="U275" s="25" t="s">
        <v>1</v>
      </c>
      <c r="V275" s="25" t="s">
        <v>1</v>
      </c>
      <c r="W275" s="25" t="s">
        <v>1</v>
      </c>
      <c r="X275" s="25" t="s">
        <v>1</v>
      </c>
      <c r="Y275" s="25" t="s">
        <v>1</v>
      </c>
      <c r="Z275" s="25" t="s">
        <v>1</v>
      </c>
      <c r="AA275" s="1" t="s">
        <v>2674</v>
      </c>
    </row>
    <row r="276" spans="1:28">
      <c r="A276" s="1">
        <f t="shared" si="4"/>
        <v>270</v>
      </c>
      <c r="B276" s="1" t="s">
        <v>284</v>
      </c>
      <c r="C276" s="26" t="s">
        <v>1729</v>
      </c>
      <c r="D276" s="3">
        <v>20</v>
      </c>
      <c r="E276" s="1" t="s">
        <v>4</v>
      </c>
      <c r="F276" s="3">
        <v>0.125</v>
      </c>
      <c r="G276" s="4">
        <v>44265</v>
      </c>
      <c r="H276" s="1" t="s">
        <v>2673</v>
      </c>
      <c r="I276" s="1" t="s">
        <v>2672</v>
      </c>
      <c r="J276" s="1" t="s">
        <v>2091</v>
      </c>
      <c r="K276" s="1" t="s">
        <v>2117</v>
      </c>
      <c r="L276" s="1">
        <v>2020</v>
      </c>
      <c r="N276" s="1" t="s">
        <v>2671</v>
      </c>
      <c r="O276" s="25" t="s">
        <v>285</v>
      </c>
      <c r="P276" s="25">
        <v>0.2</v>
      </c>
      <c r="Q276" s="25" t="s">
        <v>2670</v>
      </c>
      <c r="R276" s="25" t="s">
        <v>1</v>
      </c>
      <c r="S276" s="25" t="s">
        <v>1</v>
      </c>
      <c r="T276" s="25" t="s">
        <v>1</v>
      </c>
      <c r="U276" s="25" t="s">
        <v>1</v>
      </c>
      <c r="V276" s="25" t="s">
        <v>1</v>
      </c>
      <c r="W276" s="25" t="s">
        <v>1</v>
      </c>
      <c r="X276" s="25" t="s">
        <v>1</v>
      </c>
      <c r="Y276" s="25" t="s">
        <v>1</v>
      </c>
      <c r="Z276" s="25" t="s">
        <v>1</v>
      </c>
      <c r="AA276" s="1" t="s">
        <v>2669</v>
      </c>
      <c r="AB276" s="28" t="s">
        <v>2668</v>
      </c>
    </row>
    <row r="277" spans="1:28" ht="14">
      <c r="A277" s="1">
        <f t="shared" si="4"/>
        <v>271</v>
      </c>
      <c r="B277" s="1" t="s">
        <v>2667</v>
      </c>
      <c r="C277" s="26" t="s">
        <v>1729</v>
      </c>
      <c r="D277" s="3">
        <v>20</v>
      </c>
      <c r="E277" s="3" t="s">
        <v>1</v>
      </c>
      <c r="F277" s="3" t="s">
        <v>1</v>
      </c>
      <c r="G277" s="3" t="s">
        <v>1</v>
      </c>
      <c r="H277" s="1" t="s">
        <v>2666</v>
      </c>
      <c r="I277" s="1" t="s">
        <v>2665</v>
      </c>
      <c r="J277" s="1" t="s">
        <v>2091</v>
      </c>
      <c r="K277" s="1" t="s">
        <v>2402</v>
      </c>
      <c r="L277" s="1">
        <v>2021</v>
      </c>
      <c r="M277" s="1" t="s">
        <v>2664</v>
      </c>
      <c r="N277" s="1" t="s">
        <v>1</v>
      </c>
      <c r="O277" s="1" t="s">
        <v>1</v>
      </c>
      <c r="P277" s="1" t="s">
        <v>1</v>
      </c>
      <c r="Q277" s="1" t="s">
        <v>1</v>
      </c>
      <c r="R277" s="1" t="s">
        <v>1</v>
      </c>
      <c r="S277" s="1" t="s">
        <v>1</v>
      </c>
      <c r="T277" s="1" t="s">
        <v>1</v>
      </c>
      <c r="U277" s="1" t="s">
        <v>1</v>
      </c>
      <c r="V277" s="1" t="s">
        <v>1</v>
      </c>
      <c r="W277" s="1" t="s">
        <v>1</v>
      </c>
      <c r="X277" s="1" t="s">
        <v>1</v>
      </c>
      <c r="Y277" s="1" t="s">
        <v>1</v>
      </c>
      <c r="Z277" s="1" t="s">
        <v>1</v>
      </c>
      <c r="AA277" s="1" t="s">
        <v>2089</v>
      </c>
      <c r="AB277" s="33" t="s">
        <v>2663</v>
      </c>
    </row>
    <row r="278" spans="1:28">
      <c r="A278" s="1">
        <f t="shared" si="4"/>
        <v>272</v>
      </c>
      <c r="B278" s="1" t="s">
        <v>2662</v>
      </c>
      <c r="C278" s="26" t="s">
        <v>1729</v>
      </c>
      <c r="D278" s="3">
        <v>20</v>
      </c>
      <c r="E278" s="3" t="s">
        <v>1</v>
      </c>
      <c r="F278" s="3" t="s">
        <v>1</v>
      </c>
      <c r="G278" s="3" t="s">
        <v>1</v>
      </c>
      <c r="H278" s="1" t="s">
        <v>2661</v>
      </c>
      <c r="J278" s="1" t="s">
        <v>2091</v>
      </c>
      <c r="K278" s="1" t="s">
        <v>2660</v>
      </c>
      <c r="L278" s="2" t="s">
        <v>1</v>
      </c>
      <c r="N278" s="1" t="s">
        <v>1</v>
      </c>
      <c r="O278" s="1" t="s">
        <v>1</v>
      </c>
      <c r="P278" s="1" t="s">
        <v>1</v>
      </c>
      <c r="Q278" s="1" t="s">
        <v>1</v>
      </c>
      <c r="R278" s="1" t="s">
        <v>1</v>
      </c>
      <c r="S278" s="1" t="s">
        <v>1</v>
      </c>
      <c r="T278" s="1" t="s">
        <v>1</v>
      </c>
      <c r="U278" s="1" t="s">
        <v>1</v>
      </c>
      <c r="V278" s="1" t="s">
        <v>1</v>
      </c>
      <c r="W278" s="1" t="s">
        <v>1</v>
      </c>
      <c r="X278" s="1" t="s">
        <v>1</v>
      </c>
      <c r="Y278" s="1" t="s">
        <v>1</v>
      </c>
      <c r="Z278" s="1" t="s">
        <v>1</v>
      </c>
      <c r="AA278" s="1" t="s">
        <v>2659</v>
      </c>
      <c r="AB278" s="28" t="s">
        <v>2658</v>
      </c>
    </row>
    <row r="279" spans="1:28">
      <c r="A279" s="1">
        <f t="shared" si="4"/>
        <v>273</v>
      </c>
      <c r="B279" s="1" t="s">
        <v>4414</v>
      </c>
      <c r="C279" s="26" t="s">
        <v>1729</v>
      </c>
      <c r="D279" s="3">
        <v>20</v>
      </c>
      <c r="E279" s="30" t="s">
        <v>285</v>
      </c>
      <c r="F279" s="3">
        <v>1</v>
      </c>
      <c r="G279" s="4">
        <v>44752</v>
      </c>
      <c r="H279" s="1" t="s">
        <v>4416</v>
      </c>
      <c r="I279" s="1" t="s">
        <v>4415</v>
      </c>
      <c r="J279" s="1" t="s">
        <v>1</v>
      </c>
      <c r="K279" s="1" t="s">
        <v>1</v>
      </c>
      <c r="L279" s="1">
        <v>2022</v>
      </c>
      <c r="N279" s="1" t="s">
        <v>1</v>
      </c>
      <c r="O279" s="1" t="s">
        <v>1</v>
      </c>
      <c r="P279" s="1" t="s">
        <v>1</v>
      </c>
      <c r="Q279" s="1" t="s">
        <v>1</v>
      </c>
      <c r="R279" s="1" t="s">
        <v>1</v>
      </c>
      <c r="S279" s="1" t="s">
        <v>1</v>
      </c>
      <c r="T279" s="1" t="s">
        <v>1</v>
      </c>
      <c r="U279" s="1" t="s">
        <v>1</v>
      </c>
      <c r="V279" s="1" t="s">
        <v>1</v>
      </c>
      <c r="W279" s="1" t="s">
        <v>1</v>
      </c>
      <c r="X279" s="1" t="s">
        <v>1</v>
      </c>
      <c r="Y279" s="1" t="s">
        <v>1</v>
      </c>
      <c r="Z279" s="1" t="s">
        <v>1</v>
      </c>
      <c r="AA279" s="1" t="s">
        <v>2101</v>
      </c>
      <c r="AB279" s="28"/>
    </row>
    <row r="280" spans="1:28">
      <c r="A280" s="1">
        <f t="shared" si="4"/>
        <v>274</v>
      </c>
      <c r="B280" s="1" t="s">
        <v>2657</v>
      </c>
      <c r="C280" s="26" t="s">
        <v>1729</v>
      </c>
      <c r="D280" s="3">
        <v>20</v>
      </c>
      <c r="E280" s="1" t="s">
        <v>285</v>
      </c>
      <c r="F280" s="3">
        <v>1.7</v>
      </c>
      <c r="G280" s="4">
        <v>44852</v>
      </c>
      <c r="H280" s="1" t="s">
        <v>2656</v>
      </c>
      <c r="J280" s="1" t="s">
        <v>2091</v>
      </c>
      <c r="K280" s="1" t="s">
        <v>2626</v>
      </c>
      <c r="L280" s="1">
        <v>2021</v>
      </c>
      <c r="N280" s="1" t="s">
        <v>2655</v>
      </c>
      <c r="O280" s="25" t="s">
        <v>1</v>
      </c>
      <c r="P280" s="25" t="s">
        <v>1</v>
      </c>
      <c r="Q280" s="25" t="s">
        <v>1</v>
      </c>
      <c r="R280" s="25" t="s">
        <v>1</v>
      </c>
      <c r="S280" s="25" t="s">
        <v>1</v>
      </c>
      <c r="T280" s="25" t="s">
        <v>1</v>
      </c>
      <c r="U280" s="25" t="s">
        <v>1</v>
      </c>
      <c r="V280" s="25" t="s">
        <v>1</v>
      </c>
      <c r="W280" s="25" t="s">
        <v>1</v>
      </c>
      <c r="X280" s="25" t="s">
        <v>1</v>
      </c>
      <c r="Y280" s="25" t="s">
        <v>1</v>
      </c>
      <c r="Z280" s="25" t="s">
        <v>1</v>
      </c>
      <c r="AA280" s="1" t="s">
        <v>2654</v>
      </c>
    </row>
    <row r="281" spans="1:28">
      <c r="A281" s="1">
        <f t="shared" si="4"/>
        <v>275</v>
      </c>
      <c r="B281" s="1" t="s">
        <v>127</v>
      </c>
      <c r="C281" s="26" t="s">
        <v>1729</v>
      </c>
      <c r="D281" s="3">
        <v>10</v>
      </c>
      <c r="E281" s="1" t="s">
        <v>4</v>
      </c>
      <c r="F281" s="3">
        <v>2</v>
      </c>
      <c r="G281" s="4">
        <v>44658</v>
      </c>
      <c r="H281" s="1" t="s">
        <v>2653</v>
      </c>
      <c r="I281" s="1" t="s">
        <v>2652</v>
      </c>
      <c r="J281" s="1" t="s">
        <v>2091</v>
      </c>
      <c r="K281" s="1" t="s">
        <v>2578</v>
      </c>
      <c r="L281" s="1">
        <v>2019</v>
      </c>
      <c r="N281" s="1" t="s">
        <v>2651</v>
      </c>
      <c r="O281" s="25" t="s">
        <v>4</v>
      </c>
      <c r="P281" s="25">
        <v>4.5</v>
      </c>
      <c r="Q281" s="25" t="s">
        <v>2650</v>
      </c>
      <c r="R281" s="25" t="s">
        <v>4</v>
      </c>
      <c r="S281" s="25">
        <v>0.35</v>
      </c>
      <c r="T281" s="25" t="s">
        <v>128</v>
      </c>
      <c r="U281" s="25" t="s">
        <v>1</v>
      </c>
      <c r="V281" s="25" t="s">
        <v>1</v>
      </c>
      <c r="W281" s="25" t="s">
        <v>1</v>
      </c>
      <c r="X281" s="25" t="s">
        <v>1</v>
      </c>
      <c r="Y281" s="25" t="s">
        <v>1</v>
      </c>
      <c r="Z281" s="25" t="s">
        <v>1</v>
      </c>
      <c r="AA281" s="1" t="s">
        <v>2132</v>
      </c>
      <c r="AB281" s="1" t="s">
        <v>2649</v>
      </c>
    </row>
    <row r="282" spans="1:28">
      <c r="A282" s="1">
        <f t="shared" si="4"/>
        <v>276</v>
      </c>
      <c r="B282" s="1" t="s">
        <v>2648</v>
      </c>
      <c r="C282" s="26" t="s">
        <v>1729</v>
      </c>
      <c r="D282" s="3">
        <v>10</v>
      </c>
      <c r="E282" s="1" t="s">
        <v>4</v>
      </c>
      <c r="F282" s="3">
        <v>3</v>
      </c>
      <c r="G282" s="31">
        <v>44348</v>
      </c>
      <c r="H282" s="1" t="s">
        <v>2647</v>
      </c>
      <c r="J282" s="1" t="s">
        <v>2361</v>
      </c>
      <c r="K282" s="1" t="s">
        <v>2108</v>
      </c>
      <c r="L282" s="34">
        <v>44166</v>
      </c>
      <c r="N282" s="1" t="s">
        <v>2646</v>
      </c>
      <c r="O282" s="25" t="s">
        <v>285</v>
      </c>
      <c r="P282" s="25">
        <v>0.5</v>
      </c>
      <c r="Q282" s="25" t="s">
        <v>1</v>
      </c>
      <c r="R282" s="25" t="s">
        <v>1</v>
      </c>
      <c r="S282" s="25" t="s">
        <v>1</v>
      </c>
      <c r="T282" s="25" t="s">
        <v>1</v>
      </c>
      <c r="U282" s="25" t="s">
        <v>1</v>
      </c>
      <c r="V282" s="25" t="s">
        <v>1</v>
      </c>
      <c r="W282" s="25" t="s">
        <v>1</v>
      </c>
      <c r="X282" s="25" t="s">
        <v>1</v>
      </c>
      <c r="Y282" s="25" t="s">
        <v>1</v>
      </c>
      <c r="Z282" s="25" t="s">
        <v>1</v>
      </c>
      <c r="AA282" s="1" t="s">
        <v>2645</v>
      </c>
    </row>
    <row r="283" spans="1:28">
      <c r="A283" s="1">
        <f t="shared" si="4"/>
        <v>277</v>
      </c>
      <c r="B283" s="1" t="s">
        <v>2644</v>
      </c>
      <c r="C283" s="26" t="s">
        <v>1729</v>
      </c>
      <c r="D283" s="3">
        <v>4</v>
      </c>
      <c r="E283" s="1" t="s">
        <v>4</v>
      </c>
      <c r="F283" s="3">
        <v>0.21</v>
      </c>
      <c r="G283" s="4">
        <v>44682</v>
      </c>
      <c r="H283" s="1" t="s">
        <v>2643</v>
      </c>
      <c r="I283" s="1" t="s">
        <v>2642</v>
      </c>
      <c r="J283" s="1" t="s">
        <v>2361</v>
      </c>
      <c r="K283" s="1" t="s">
        <v>2636</v>
      </c>
      <c r="L283" s="1">
        <v>2021</v>
      </c>
      <c r="N283" s="1" t="s">
        <v>2641</v>
      </c>
      <c r="O283" s="25" t="s">
        <v>1</v>
      </c>
      <c r="P283" s="25" t="s">
        <v>1</v>
      </c>
      <c r="Q283" s="25" t="s">
        <v>1</v>
      </c>
      <c r="R283" s="25" t="s">
        <v>1</v>
      </c>
      <c r="S283" s="25" t="s">
        <v>1</v>
      </c>
      <c r="T283" s="25" t="s">
        <v>1</v>
      </c>
      <c r="U283" s="25" t="s">
        <v>1</v>
      </c>
      <c r="V283" s="25" t="s">
        <v>1</v>
      </c>
      <c r="W283" s="25" t="s">
        <v>1</v>
      </c>
      <c r="X283" s="25" t="s">
        <v>1</v>
      </c>
      <c r="Y283" s="25" t="s">
        <v>1</v>
      </c>
      <c r="Z283" s="25" t="s">
        <v>1</v>
      </c>
      <c r="AA283" s="1" t="s">
        <v>2188</v>
      </c>
    </row>
    <row r="284" spans="1:28">
      <c r="A284" s="1">
        <f t="shared" si="4"/>
        <v>278</v>
      </c>
      <c r="B284" s="1" t="s">
        <v>2640</v>
      </c>
      <c r="C284" s="26" t="s">
        <v>1729</v>
      </c>
      <c r="D284" s="3">
        <v>0.5</v>
      </c>
      <c r="E284" s="1" t="s">
        <v>285</v>
      </c>
      <c r="F284" s="3">
        <v>0.5</v>
      </c>
      <c r="G284" s="4">
        <v>43173</v>
      </c>
      <c r="H284" s="1" t="s">
        <v>2198</v>
      </c>
      <c r="I284" s="1" t="s">
        <v>1</v>
      </c>
      <c r="J284" s="1" t="s">
        <v>1</v>
      </c>
      <c r="K284" s="1" t="s">
        <v>1</v>
      </c>
      <c r="L284" s="2" t="s">
        <v>1</v>
      </c>
      <c r="N284" s="1" t="s">
        <v>2639</v>
      </c>
      <c r="O284" s="25" t="s">
        <v>1</v>
      </c>
      <c r="P284" s="25" t="s">
        <v>1</v>
      </c>
      <c r="Q284" s="25" t="s">
        <v>1</v>
      </c>
      <c r="R284" s="25" t="s">
        <v>1</v>
      </c>
      <c r="S284" s="25" t="s">
        <v>1</v>
      </c>
      <c r="T284" s="25" t="s">
        <v>1</v>
      </c>
      <c r="U284" s="25" t="s">
        <v>1</v>
      </c>
      <c r="V284" s="25" t="s">
        <v>1</v>
      </c>
      <c r="W284" s="25" t="s">
        <v>1</v>
      </c>
      <c r="X284" s="25" t="s">
        <v>1</v>
      </c>
      <c r="Y284" s="25" t="s">
        <v>1</v>
      </c>
      <c r="Z284" s="25" t="s">
        <v>1</v>
      </c>
      <c r="AA284" s="1" t="s">
        <v>2638</v>
      </c>
    </row>
    <row r="285" spans="1:28">
      <c r="A285" s="1">
        <f t="shared" si="4"/>
        <v>279</v>
      </c>
      <c r="B285" s="1" t="s">
        <v>2637</v>
      </c>
      <c r="C285" s="26" t="s">
        <v>1729</v>
      </c>
      <c r="D285" s="3" t="s">
        <v>1</v>
      </c>
      <c r="E285" s="3" t="s">
        <v>1</v>
      </c>
      <c r="F285" s="3" t="s">
        <v>1</v>
      </c>
      <c r="G285" s="3" t="s">
        <v>1</v>
      </c>
      <c r="H285" s="30" t="s">
        <v>2636</v>
      </c>
      <c r="I285" s="30" t="s">
        <v>2635</v>
      </c>
      <c r="J285" s="30" t="s">
        <v>2361</v>
      </c>
      <c r="K285" s="30" t="s">
        <v>2624</v>
      </c>
      <c r="L285" s="1">
        <v>2023</v>
      </c>
      <c r="M285" s="1" t="s">
        <v>2634</v>
      </c>
      <c r="N285" s="1" t="s">
        <v>1</v>
      </c>
      <c r="O285" s="1" t="s">
        <v>1</v>
      </c>
      <c r="P285" s="1" t="s">
        <v>1</v>
      </c>
      <c r="Q285" s="1" t="s">
        <v>1</v>
      </c>
      <c r="R285" s="1" t="s">
        <v>1</v>
      </c>
      <c r="S285" s="1" t="s">
        <v>1</v>
      </c>
      <c r="T285" s="1" t="s">
        <v>1</v>
      </c>
      <c r="U285" s="1" t="s">
        <v>1</v>
      </c>
      <c r="V285" s="1" t="s">
        <v>1</v>
      </c>
      <c r="W285" s="1" t="s">
        <v>1</v>
      </c>
      <c r="X285" s="1" t="s">
        <v>1</v>
      </c>
      <c r="Y285" s="1" t="s">
        <v>1</v>
      </c>
      <c r="Z285" s="1" t="s">
        <v>1</v>
      </c>
      <c r="AA285" s="1" t="s">
        <v>1</v>
      </c>
    </row>
    <row r="286" spans="1:28">
      <c r="A286" s="1">
        <f t="shared" si="4"/>
        <v>280</v>
      </c>
      <c r="B286" s="1" t="s">
        <v>2633</v>
      </c>
      <c r="C286" s="26" t="s">
        <v>1729</v>
      </c>
      <c r="D286" s="3" t="s">
        <v>1</v>
      </c>
      <c r="E286" s="3" t="s">
        <v>1</v>
      </c>
      <c r="F286" s="3" t="s">
        <v>1</v>
      </c>
      <c r="G286" s="3" t="s">
        <v>1</v>
      </c>
      <c r="H286" s="1" t="s">
        <v>2632</v>
      </c>
      <c r="J286" s="1" t="s">
        <v>2361</v>
      </c>
      <c r="K286" s="1" t="s">
        <v>2618</v>
      </c>
      <c r="L286" s="1">
        <v>2023</v>
      </c>
      <c r="N286" s="1" t="s">
        <v>1</v>
      </c>
      <c r="O286" s="1" t="s">
        <v>1</v>
      </c>
      <c r="P286" s="1" t="s">
        <v>1</v>
      </c>
      <c r="Q286" s="1" t="s">
        <v>1</v>
      </c>
      <c r="R286" s="1" t="s">
        <v>1</v>
      </c>
      <c r="S286" s="1" t="s">
        <v>1</v>
      </c>
      <c r="T286" s="1" t="s">
        <v>1</v>
      </c>
      <c r="U286" s="1" t="s">
        <v>1</v>
      </c>
      <c r="V286" s="1" t="s">
        <v>1</v>
      </c>
      <c r="W286" s="1" t="s">
        <v>1</v>
      </c>
      <c r="X286" s="1" t="s">
        <v>1</v>
      </c>
      <c r="Y286" s="1" t="s">
        <v>1</v>
      </c>
      <c r="Z286" s="1" t="s">
        <v>1</v>
      </c>
      <c r="AA286" s="1" t="s">
        <v>1</v>
      </c>
    </row>
    <row r="287" spans="1:28">
      <c r="A287" s="1">
        <f t="shared" si="4"/>
        <v>281</v>
      </c>
      <c r="B287" s="1" t="s">
        <v>2631</v>
      </c>
      <c r="C287" s="26" t="s">
        <v>1729</v>
      </c>
      <c r="D287" s="3" t="s">
        <v>1</v>
      </c>
      <c r="E287" s="3" t="s">
        <v>1</v>
      </c>
      <c r="F287" s="3" t="s">
        <v>1</v>
      </c>
      <c r="G287" s="3" t="s">
        <v>1</v>
      </c>
      <c r="J287" s="1" t="s">
        <v>2361</v>
      </c>
      <c r="K287" s="1" t="s">
        <v>2618</v>
      </c>
      <c r="L287" s="1">
        <v>2023</v>
      </c>
      <c r="N287" s="1" t="s">
        <v>1</v>
      </c>
      <c r="O287" s="1" t="s">
        <v>1</v>
      </c>
      <c r="P287" s="1" t="s">
        <v>1</v>
      </c>
      <c r="Q287" s="1" t="s">
        <v>1</v>
      </c>
      <c r="R287" s="1" t="s">
        <v>1</v>
      </c>
      <c r="S287" s="1" t="s">
        <v>1</v>
      </c>
      <c r="T287" s="1" t="s">
        <v>1</v>
      </c>
      <c r="U287" s="1" t="s">
        <v>1</v>
      </c>
      <c r="V287" s="1" t="s">
        <v>1</v>
      </c>
      <c r="W287" s="1" t="s">
        <v>1</v>
      </c>
      <c r="X287" s="1" t="s">
        <v>1</v>
      </c>
      <c r="Y287" s="1" t="s">
        <v>1</v>
      </c>
      <c r="Z287" s="1" t="s">
        <v>1</v>
      </c>
    </row>
    <row r="288" spans="1:28">
      <c r="A288" s="1">
        <f t="shared" si="4"/>
        <v>282</v>
      </c>
      <c r="B288" s="1" t="s">
        <v>2630</v>
      </c>
      <c r="C288" s="26" t="s">
        <v>1729</v>
      </c>
      <c r="D288" s="3" t="s">
        <v>1</v>
      </c>
      <c r="E288" s="3" t="s">
        <v>1</v>
      </c>
      <c r="F288" s="3" t="s">
        <v>1</v>
      </c>
      <c r="G288" s="3" t="s">
        <v>1</v>
      </c>
      <c r="H288" s="1" t="s">
        <v>2613</v>
      </c>
      <c r="J288" s="1" t="s">
        <v>2361</v>
      </c>
      <c r="K288" s="1" t="s">
        <v>2613</v>
      </c>
      <c r="L288" s="1">
        <v>2021</v>
      </c>
      <c r="M288" s="1" t="s">
        <v>2629</v>
      </c>
      <c r="N288" s="1" t="s">
        <v>1</v>
      </c>
      <c r="O288" s="1" t="s">
        <v>1</v>
      </c>
      <c r="P288" s="1" t="s">
        <v>1</v>
      </c>
      <c r="Q288" s="1" t="s">
        <v>1</v>
      </c>
      <c r="R288" s="1" t="s">
        <v>1</v>
      </c>
      <c r="S288" s="1" t="s">
        <v>1</v>
      </c>
      <c r="T288" s="1" t="s">
        <v>1</v>
      </c>
      <c r="U288" s="1" t="s">
        <v>1</v>
      </c>
      <c r="V288" s="1" t="s">
        <v>1</v>
      </c>
      <c r="W288" s="1" t="s">
        <v>1</v>
      </c>
      <c r="X288" s="1" t="s">
        <v>1</v>
      </c>
      <c r="Y288" s="1" t="s">
        <v>1</v>
      </c>
      <c r="Z288" s="1" t="s">
        <v>1</v>
      </c>
      <c r="AA288" s="1" t="s">
        <v>1</v>
      </c>
    </row>
    <row r="289" spans="1:28">
      <c r="A289" s="1">
        <f t="shared" si="4"/>
        <v>283</v>
      </c>
      <c r="B289" s="1" t="s">
        <v>2628</v>
      </c>
      <c r="C289" s="26" t="s">
        <v>1729</v>
      </c>
      <c r="D289" s="3" t="s">
        <v>1</v>
      </c>
      <c r="E289" s="3" t="s">
        <v>1</v>
      </c>
      <c r="F289" s="3" t="s">
        <v>1</v>
      </c>
      <c r="G289" s="3" t="s">
        <v>1</v>
      </c>
      <c r="H289" s="1" t="s">
        <v>2627</v>
      </c>
      <c r="J289" s="1" t="s">
        <v>2361</v>
      </c>
      <c r="K289" s="1" t="s">
        <v>2626</v>
      </c>
      <c r="L289" s="1">
        <v>2023</v>
      </c>
      <c r="N289" s="1" t="s">
        <v>1</v>
      </c>
      <c r="O289" s="1" t="s">
        <v>1</v>
      </c>
      <c r="P289" s="1" t="s">
        <v>1</v>
      </c>
      <c r="Q289" s="1" t="s">
        <v>1</v>
      </c>
      <c r="R289" s="1" t="s">
        <v>1</v>
      </c>
      <c r="S289" s="1" t="s">
        <v>1</v>
      </c>
      <c r="T289" s="1" t="s">
        <v>1</v>
      </c>
      <c r="U289" s="1" t="s">
        <v>1</v>
      </c>
      <c r="V289" s="1" t="s">
        <v>1</v>
      </c>
      <c r="W289" s="1" t="s">
        <v>1</v>
      </c>
      <c r="X289" s="1" t="s">
        <v>1</v>
      </c>
      <c r="Y289" s="1" t="s">
        <v>1</v>
      </c>
      <c r="Z289" s="1" t="s">
        <v>1</v>
      </c>
      <c r="AA289" s="1" t="s">
        <v>1</v>
      </c>
    </row>
    <row r="290" spans="1:28">
      <c r="A290" s="1">
        <f t="shared" si="4"/>
        <v>284</v>
      </c>
      <c r="B290" s="1" t="s">
        <v>2625</v>
      </c>
      <c r="C290" s="26" t="s">
        <v>1729</v>
      </c>
      <c r="D290" s="3" t="s">
        <v>1</v>
      </c>
      <c r="E290" s="3" t="s">
        <v>1</v>
      </c>
      <c r="F290" s="3" t="s">
        <v>1</v>
      </c>
      <c r="G290" s="3" t="s">
        <v>1</v>
      </c>
      <c r="J290" s="1" t="s">
        <v>2361</v>
      </c>
      <c r="K290" s="1" t="s">
        <v>2624</v>
      </c>
      <c r="L290" s="1">
        <v>2023</v>
      </c>
      <c r="M290" s="1" t="s">
        <v>2623</v>
      </c>
      <c r="N290" s="30" t="s">
        <v>1</v>
      </c>
      <c r="O290" s="30" t="s">
        <v>1</v>
      </c>
      <c r="P290" s="30" t="s">
        <v>1</v>
      </c>
      <c r="Q290" s="30" t="s">
        <v>1</v>
      </c>
      <c r="R290" s="30" t="s">
        <v>1</v>
      </c>
      <c r="S290" s="30" t="s">
        <v>1</v>
      </c>
      <c r="T290" s="30" t="s">
        <v>1</v>
      </c>
      <c r="U290" s="30" t="s">
        <v>1</v>
      </c>
      <c r="V290" s="30" t="s">
        <v>1</v>
      </c>
      <c r="W290" s="30" t="s">
        <v>1</v>
      </c>
      <c r="X290" s="30" t="s">
        <v>1</v>
      </c>
      <c r="Y290" s="30" t="s">
        <v>1</v>
      </c>
      <c r="Z290" s="30" t="s">
        <v>1</v>
      </c>
      <c r="AA290" s="30" t="s">
        <v>1</v>
      </c>
    </row>
    <row r="291" spans="1:28">
      <c r="A291" s="1">
        <f t="shared" si="4"/>
        <v>285</v>
      </c>
      <c r="B291" s="1" t="s">
        <v>2622</v>
      </c>
      <c r="C291" s="26" t="s">
        <v>1729</v>
      </c>
      <c r="D291" s="3" t="s">
        <v>1</v>
      </c>
      <c r="E291" s="3" t="s">
        <v>1</v>
      </c>
      <c r="F291" s="3" t="s">
        <v>1</v>
      </c>
      <c r="G291" s="3" t="s">
        <v>1</v>
      </c>
      <c r="H291" s="1" t="s">
        <v>2621</v>
      </c>
      <c r="J291" s="1" t="s">
        <v>2091</v>
      </c>
      <c r="K291" s="1" t="s">
        <v>2603</v>
      </c>
      <c r="L291" s="2" t="s">
        <v>1</v>
      </c>
      <c r="N291" s="25" t="s">
        <v>1</v>
      </c>
      <c r="O291" s="25" t="s">
        <v>1</v>
      </c>
      <c r="P291" s="25" t="s">
        <v>1</v>
      </c>
      <c r="Q291" s="25" t="s">
        <v>1</v>
      </c>
      <c r="R291" s="25" t="s">
        <v>1</v>
      </c>
      <c r="S291" s="25" t="s">
        <v>1</v>
      </c>
      <c r="T291" s="25" t="s">
        <v>1</v>
      </c>
      <c r="U291" s="25" t="s">
        <v>1</v>
      </c>
      <c r="V291" s="25" t="s">
        <v>1</v>
      </c>
      <c r="W291" s="25" t="s">
        <v>1</v>
      </c>
      <c r="X291" s="25" t="s">
        <v>1</v>
      </c>
      <c r="Y291" s="25" t="s">
        <v>1</v>
      </c>
      <c r="Z291" s="25" t="s">
        <v>1</v>
      </c>
      <c r="AA291" s="25" t="s">
        <v>1</v>
      </c>
    </row>
    <row r="292" spans="1:28">
      <c r="A292" s="1">
        <f t="shared" si="4"/>
        <v>286</v>
      </c>
      <c r="B292" s="1" t="s">
        <v>2620</v>
      </c>
      <c r="C292" s="26" t="s">
        <v>1729</v>
      </c>
      <c r="D292" s="3" t="s">
        <v>1</v>
      </c>
      <c r="E292" s="3" t="s">
        <v>1</v>
      </c>
      <c r="F292" s="3" t="s">
        <v>1</v>
      </c>
      <c r="G292" s="3" t="s">
        <v>1</v>
      </c>
      <c r="H292" s="1" t="s">
        <v>2619</v>
      </c>
      <c r="J292" s="1" t="s">
        <v>2361</v>
      </c>
      <c r="K292" s="1" t="s">
        <v>2618</v>
      </c>
      <c r="L292" s="1">
        <v>2020</v>
      </c>
      <c r="N292" s="1" t="s">
        <v>1</v>
      </c>
      <c r="O292" s="1" t="s">
        <v>1</v>
      </c>
      <c r="P292" s="1" t="s">
        <v>1</v>
      </c>
      <c r="Q292" s="1" t="s">
        <v>1</v>
      </c>
      <c r="R292" s="1" t="s">
        <v>1</v>
      </c>
      <c r="S292" s="1" t="s">
        <v>1</v>
      </c>
      <c r="T292" s="1" t="s">
        <v>1</v>
      </c>
      <c r="U292" s="1" t="s">
        <v>1</v>
      </c>
      <c r="V292" s="1" t="s">
        <v>1</v>
      </c>
      <c r="W292" s="1" t="s">
        <v>1</v>
      </c>
      <c r="X292" s="1" t="s">
        <v>1</v>
      </c>
      <c r="Y292" s="1" t="s">
        <v>1</v>
      </c>
      <c r="Z292" s="1" t="s">
        <v>1</v>
      </c>
      <c r="AA292" s="1" t="s">
        <v>2216</v>
      </c>
    </row>
    <row r="293" spans="1:28">
      <c r="A293" s="1">
        <f t="shared" si="4"/>
        <v>287</v>
      </c>
      <c r="B293" s="1" t="s">
        <v>2617</v>
      </c>
      <c r="C293" s="26" t="s">
        <v>1729</v>
      </c>
      <c r="D293" s="3" t="s">
        <v>1</v>
      </c>
      <c r="E293" s="3" t="s">
        <v>1</v>
      </c>
      <c r="F293" s="3" t="s">
        <v>1</v>
      </c>
      <c r="G293" s="3" t="s">
        <v>1</v>
      </c>
      <c r="J293" s="1" t="s">
        <v>2616</v>
      </c>
      <c r="K293" s="1" t="s">
        <v>2616</v>
      </c>
      <c r="L293" s="3" t="s">
        <v>1</v>
      </c>
      <c r="N293" s="30" t="s">
        <v>1</v>
      </c>
      <c r="O293" s="30" t="s">
        <v>1</v>
      </c>
      <c r="P293" s="30" t="s">
        <v>1</v>
      </c>
      <c r="Q293" s="30" t="s">
        <v>1</v>
      </c>
      <c r="R293" s="30" t="s">
        <v>1</v>
      </c>
      <c r="S293" s="30" t="s">
        <v>1</v>
      </c>
      <c r="T293" s="30" t="s">
        <v>1</v>
      </c>
      <c r="U293" s="30" t="s">
        <v>1</v>
      </c>
      <c r="V293" s="30" t="s">
        <v>1</v>
      </c>
      <c r="W293" s="30" t="s">
        <v>1</v>
      </c>
      <c r="X293" s="30" t="s">
        <v>1</v>
      </c>
      <c r="Y293" s="30" t="s">
        <v>1</v>
      </c>
      <c r="Z293" s="30" t="s">
        <v>1</v>
      </c>
      <c r="AA293" s="30" t="s">
        <v>1</v>
      </c>
      <c r="AB293" s="3"/>
    </row>
    <row r="294" spans="1:28">
      <c r="A294" s="1">
        <f t="shared" si="4"/>
        <v>288</v>
      </c>
      <c r="B294" s="1" t="s">
        <v>2615</v>
      </c>
      <c r="C294" s="26" t="s">
        <v>1729</v>
      </c>
      <c r="D294" s="3" t="s">
        <v>1</v>
      </c>
      <c r="E294" s="3" t="s">
        <v>1</v>
      </c>
      <c r="F294" s="3" t="s">
        <v>1</v>
      </c>
      <c r="G294" s="3" t="s">
        <v>1</v>
      </c>
      <c r="H294" s="1" t="s">
        <v>2614</v>
      </c>
      <c r="J294" s="1" t="s">
        <v>2361</v>
      </c>
      <c r="K294" s="1" t="s">
        <v>2613</v>
      </c>
      <c r="L294" s="2" t="s">
        <v>1</v>
      </c>
      <c r="N294" s="30" t="s">
        <v>1</v>
      </c>
      <c r="O294" s="30" t="s">
        <v>1</v>
      </c>
      <c r="P294" s="30" t="s">
        <v>1</v>
      </c>
      <c r="Q294" s="30" t="s">
        <v>1</v>
      </c>
      <c r="R294" s="30" t="s">
        <v>1</v>
      </c>
      <c r="S294" s="30" t="s">
        <v>1</v>
      </c>
      <c r="T294" s="30" t="s">
        <v>1</v>
      </c>
      <c r="U294" s="30" t="s">
        <v>1</v>
      </c>
      <c r="V294" s="30" t="s">
        <v>1</v>
      </c>
      <c r="W294" s="30" t="s">
        <v>1</v>
      </c>
      <c r="X294" s="30" t="s">
        <v>1</v>
      </c>
      <c r="Y294" s="30" t="s">
        <v>1</v>
      </c>
      <c r="Z294" s="30" t="s">
        <v>1</v>
      </c>
      <c r="AA294" s="30" t="s">
        <v>1</v>
      </c>
    </row>
    <row r="295" spans="1:28">
      <c r="A295" s="1">
        <f t="shared" si="4"/>
        <v>289</v>
      </c>
      <c r="B295" s="1" t="s">
        <v>2612</v>
      </c>
      <c r="C295" s="26" t="s">
        <v>1729</v>
      </c>
      <c r="D295" s="3" t="s">
        <v>1</v>
      </c>
      <c r="E295" s="3" t="s">
        <v>1</v>
      </c>
      <c r="F295" s="3" t="s">
        <v>1</v>
      </c>
      <c r="G295" s="3" t="s">
        <v>1</v>
      </c>
      <c r="H295" s="1" t="s">
        <v>2611</v>
      </c>
      <c r="J295" s="1" t="s">
        <v>2361</v>
      </c>
      <c r="K295" s="1" t="s">
        <v>2520</v>
      </c>
      <c r="L295" s="2" t="s">
        <v>1</v>
      </c>
      <c r="N295" s="1" t="s">
        <v>1</v>
      </c>
      <c r="O295" s="1" t="s">
        <v>1</v>
      </c>
      <c r="P295" s="1" t="s">
        <v>1</v>
      </c>
      <c r="Q295" s="1" t="s">
        <v>1</v>
      </c>
      <c r="R295" s="1" t="s">
        <v>1</v>
      </c>
      <c r="S295" s="1" t="s">
        <v>1</v>
      </c>
      <c r="T295" s="1" t="s">
        <v>1</v>
      </c>
      <c r="U295" s="1" t="s">
        <v>1</v>
      </c>
      <c r="V295" s="1" t="s">
        <v>1</v>
      </c>
      <c r="W295" s="1" t="s">
        <v>1</v>
      </c>
      <c r="X295" s="1" t="s">
        <v>1</v>
      </c>
      <c r="Y295" s="1" t="s">
        <v>1</v>
      </c>
      <c r="Z295" s="1" t="s">
        <v>1</v>
      </c>
      <c r="AA295" s="1" t="s">
        <v>1</v>
      </c>
    </row>
    <row r="296" spans="1:28">
      <c r="A296" s="1">
        <f t="shared" si="4"/>
        <v>290</v>
      </c>
      <c r="B296" s="1" t="s">
        <v>2610</v>
      </c>
      <c r="C296" s="26" t="s">
        <v>1729</v>
      </c>
      <c r="D296" s="3" t="s">
        <v>1</v>
      </c>
      <c r="E296" s="3" t="s">
        <v>1</v>
      </c>
      <c r="F296" s="3" t="s">
        <v>1</v>
      </c>
      <c r="G296" s="3" t="s">
        <v>1</v>
      </c>
      <c r="H296" s="1" t="s">
        <v>2520</v>
      </c>
      <c r="J296" s="1" t="s">
        <v>2361</v>
      </c>
      <c r="K296" s="1" t="s">
        <v>2520</v>
      </c>
      <c r="L296" s="1">
        <v>2021</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2204</v>
      </c>
    </row>
    <row r="297" spans="1:28">
      <c r="A297" s="1">
        <f t="shared" si="4"/>
        <v>291</v>
      </c>
      <c r="B297" s="1" t="s">
        <v>2609</v>
      </c>
      <c r="C297" s="26" t="s">
        <v>1729</v>
      </c>
      <c r="D297" s="3" t="s">
        <v>1</v>
      </c>
      <c r="E297" s="3" t="s">
        <v>1</v>
      </c>
      <c r="F297" s="3" t="s">
        <v>1</v>
      </c>
      <c r="G297" s="3" t="s">
        <v>1</v>
      </c>
      <c r="H297" s="1" t="s">
        <v>2608</v>
      </c>
      <c r="J297" s="1" t="s">
        <v>2361</v>
      </c>
      <c r="K297" s="1" t="s">
        <v>2520</v>
      </c>
      <c r="L297" s="1">
        <v>2022</v>
      </c>
      <c r="N297" s="30" t="s">
        <v>1</v>
      </c>
      <c r="O297" s="30" t="s">
        <v>1</v>
      </c>
      <c r="P297" s="30" t="s">
        <v>1</v>
      </c>
      <c r="Q297" s="30" t="s">
        <v>1</v>
      </c>
      <c r="R297" s="30" t="s">
        <v>1</v>
      </c>
      <c r="S297" s="30" t="s">
        <v>1</v>
      </c>
      <c r="T297" s="30" t="s">
        <v>1</v>
      </c>
      <c r="U297" s="30" t="s">
        <v>1</v>
      </c>
      <c r="V297" s="30" t="s">
        <v>1</v>
      </c>
      <c r="W297" s="30" t="s">
        <v>1</v>
      </c>
      <c r="X297" s="30" t="s">
        <v>1</v>
      </c>
      <c r="Y297" s="30" t="s">
        <v>1</v>
      </c>
      <c r="Z297" s="30" t="s">
        <v>1</v>
      </c>
      <c r="AA297" s="30" t="s">
        <v>1</v>
      </c>
    </row>
    <row r="298" spans="1:28">
      <c r="A298" s="1">
        <f t="shared" si="4"/>
        <v>292</v>
      </c>
      <c r="B298" s="1" t="s">
        <v>2607</v>
      </c>
      <c r="C298" s="26" t="s">
        <v>1729</v>
      </c>
      <c r="D298" s="3" t="s">
        <v>1</v>
      </c>
      <c r="E298" s="3" t="s">
        <v>1</v>
      </c>
      <c r="F298" s="3" t="s">
        <v>1</v>
      </c>
      <c r="G298" s="3" t="s">
        <v>1</v>
      </c>
      <c r="H298" s="1" t="s">
        <v>2606</v>
      </c>
      <c r="J298" s="1" t="s">
        <v>2361</v>
      </c>
      <c r="K298" s="1" t="s">
        <v>2520</v>
      </c>
      <c r="L298" s="2" t="s">
        <v>1</v>
      </c>
      <c r="N298" s="1" t="s">
        <v>1</v>
      </c>
      <c r="O298" s="1" t="s">
        <v>1</v>
      </c>
      <c r="P298" s="1" t="s">
        <v>1</v>
      </c>
      <c r="Q298" s="1" t="s">
        <v>1</v>
      </c>
      <c r="R298" s="1" t="s">
        <v>1</v>
      </c>
      <c r="S298" s="1" t="s">
        <v>1</v>
      </c>
      <c r="T298" s="1" t="s">
        <v>1</v>
      </c>
      <c r="U298" s="1" t="s">
        <v>1</v>
      </c>
      <c r="V298" s="1" t="s">
        <v>1</v>
      </c>
      <c r="W298" s="1" t="s">
        <v>1</v>
      </c>
      <c r="X298" s="1" t="s">
        <v>1</v>
      </c>
      <c r="Y298" s="1" t="s">
        <v>1</v>
      </c>
      <c r="Z298" s="1" t="s">
        <v>1</v>
      </c>
      <c r="AA298" s="1" t="s">
        <v>1</v>
      </c>
    </row>
    <row r="299" spans="1:28">
      <c r="A299" s="1">
        <f t="shared" si="4"/>
        <v>293</v>
      </c>
      <c r="B299" s="1" t="s">
        <v>2605</v>
      </c>
      <c r="C299" s="26" t="s">
        <v>1729</v>
      </c>
      <c r="D299" s="3" t="s">
        <v>1</v>
      </c>
      <c r="E299" s="3" t="s">
        <v>1</v>
      </c>
      <c r="F299" s="3" t="s">
        <v>1</v>
      </c>
      <c r="G299" s="3" t="s">
        <v>1</v>
      </c>
      <c r="H299" s="1" t="s">
        <v>2604</v>
      </c>
      <c r="J299" s="1" t="s">
        <v>2361</v>
      </c>
      <c r="K299" s="1" t="s">
        <v>2603</v>
      </c>
      <c r="L299" s="2" t="s">
        <v>1</v>
      </c>
      <c r="N299" s="1" t="s">
        <v>1</v>
      </c>
      <c r="O299" s="1" t="s">
        <v>1</v>
      </c>
      <c r="P299" s="1" t="s">
        <v>1</v>
      </c>
      <c r="Q299" s="1" t="s">
        <v>1</v>
      </c>
      <c r="R299" s="1" t="s">
        <v>1</v>
      </c>
      <c r="S299" s="1" t="s">
        <v>1</v>
      </c>
      <c r="T299" s="1" t="s">
        <v>1</v>
      </c>
      <c r="U299" s="1" t="s">
        <v>1</v>
      </c>
      <c r="V299" s="1" t="s">
        <v>1</v>
      </c>
      <c r="W299" s="1" t="s">
        <v>1</v>
      </c>
      <c r="X299" s="1" t="s">
        <v>1</v>
      </c>
      <c r="Y299" s="1" t="s">
        <v>1</v>
      </c>
      <c r="Z299" s="1" t="s">
        <v>1</v>
      </c>
      <c r="AA299" s="1" t="s">
        <v>1</v>
      </c>
    </row>
    <row r="300" spans="1:28">
      <c r="A300" s="1">
        <f t="shared" si="4"/>
        <v>294</v>
      </c>
      <c r="B300" s="1" t="s">
        <v>2602</v>
      </c>
      <c r="C300" s="26" t="s">
        <v>1729</v>
      </c>
      <c r="D300" s="3" t="s">
        <v>1</v>
      </c>
      <c r="E300" s="3" t="s">
        <v>1</v>
      </c>
      <c r="F300" s="3" t="s">
        <v>1</v>
      </c>
      <c r="G300" s="3" t="s">
        <v>1</v>
      </c>
      <c r="H300" s="1" t="s">
        <v>2601</v>
      </c>
      <c r="J300" s="1" t="s">
        <v>2361</v>
      </c>
      <c r="K300" s="1" t="s">
        <v>2600</v>
      </c>
      <c r="L300" s="1">
        <v>2021</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2599</v>
      </c>
    </row>
    <row r="301" spans="1:28">
      <c r="A301" s="1">
        <f t="shared" si="4"/>
        <v>295</v>
      </c>
      <c r="B301" s="1" t="s">
        <v>2598</v>
      </c>
      <c r="C301" s="26" t="s">
        <v>1729</v>
      </c>
      <c r="D301" s="3" t="s">
        <v>1</v>
      </c>
      <c r="E301" s="3" t="s">
        <v>1</v>
      </c>
      <c r="F301" s="3" t="s">
        <v>1</v>
      </c>
      <c r="G301" s="3" t="s">
        <v>1</v>
      </c>
      <c r="H301" s="1" t="s">
        <v>2597</v>
      </c>
      <c r="J301" s="1" t="s">
        <v>2361</v>
      </c>
      <c r="K301" s="1" t="s">
        <v>2596</v>
      </c>
      <c r="L301" s="1">
        <v>2023</v>
      </c>
      <c r="N301" s="1" t="s">
        <v>1</v>
      </c>
      <c r="O301" s="1" t="s">
        <v>1</v>
      </c>
      <c r="P301" s="1" t="s">
        <v>1</v>
      </c>
      <c r="Q301" s="1" t="s">
        <v>1</v>
      </c>
      <c r="R301" s="1" t="s">
        <v>1</v>
      </c>
      <c r="S301" s="1" t="s">
        <v>1</v>
      </c>
      <c r="T301" s="1" t="s">
        <v>1</v>
      </c>
      <c r="U301" s="1" t="s">
        <v>1</v>
      </c>
      <c r="V301" s="1" t="s">
        <v>1</v>
      </c>
      <c r="W301" s="1" t="s">
        <v>1</v>
      </c>
      <c r="X301" s="1" t="s">
        <v>1</v>
      </c>
      <c r="Y301" s="1" t="s">
        <v>1</v>
      </c>
      <c r="Z301" s="1" t="s">
        <v>1</v>
      </c>
      <c r="AA301" s="1" t="s">
        <v>1</v>
      </c>
    </row>
    <row r="302" spans="1:28">
      <c r="A302" s="1">
        <f t="shared" si="4"/>
        <v>296</v>
      </c>
      <c r="B302" s="1" t="s">
        <v>2595</v>
      </c>
      <c r="C302" s="26" t="s">
        <v>1729</v>
      </c>
      <c r="D302" s="3" t="s">
        <v>1</v>
      </c>
      <c r="E302" s="3" t="s">
        <v>1</v>
      </c>
      <c r="F302" s="3" t="s">
        <v>1</v>
      </c>
      <c r="G302" s="3" t="s">
        <v>1</v>
      </c>
      <c r="H302" s="1" t="s">
        <v>2594</v>
      </c>
      <c r="I302" s="1" t="s">
        <v>2593</v>
      </c>
      <c r="J302" s="1" t="s">
        <v>2091</v>
      </c>
      <c r="K302" s="1" t="s">
        <v>2592</v>
      </c>
      <c r="L302" s="1">
        <v>2018</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2591</v>
      </c>
      <c r="AB302" s="28" t="s">
        <v>2590</v>
      </c>
    </row>
    <row r="303" spans="1:28">
      <c r="A303" s="1">
        <f t="shared" si="4"/>
        <v>297</v>
      </c>
      <c r="B303" s="1" t="s">
        <v>2589</v>
      </c>
      <c r="C303" s="26" t="s">
        <v>1729</v>
      </c>
      <c r="D303" s="3" t="s">
        <v>1</v>
      </c>
      <c r="E303" s="3" t="s">
        <v>1</v>
      </c>
      <c r="F303" s="3" t="s">
        <v>1</v>
      </c>
      <c r="G303" s="3" t="s">
        <v>1</v>
      </c>
      <c r="H303" s="1" t="s">
        <v>2588</v>
      </c>
      <c r="J303" s="1" t="s">
        <v>2361</v>
      </c>
      <c r="K303" s="1" t="s">
        <v>2442</v>
      </c>
      <c r="L303" s="1">
        <v>2023</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1</v>
      </c>
    </row>
    <row r="304" spans="1:28">
      <c r="A304" s="1">
        <f t="shared" si="4"/>
        <v>298</v>
      </c>
      <c r="B304" s="1" t="s">
        <v>2587</v>
      </c>
      <c r="C304" s="26" t="s">
        <v>1729</v>
      </c>
      <c r="D304" s="3" t="s">
        <v>1</v>
      </c>
      <c r="E304" s="3" t="s">
        <v>1</v>
      </c>
      <c r="F304" s="3" t="s">
        <v>1</v>
      </c>
      <c r="G304" s="3" t="s">
        <v>1</v>
      </c>
      <c r="H304" s="1" t="s">
        <v>2520</v>
      </c>
      <c r="J304" s="1" t="s">
        <v>2361</v>
      </c>
      <c r="K304" s="1" t="s">
        <v>2586</v>
      </c>
      <c r="L304" s="3" t="s">
        <v>1</v>
      </c>
      <c r="N304" s="30" t="s">
        <v>1</v>
      </c>
      <c r="O304" s="30" t="s">
        <v>1</v>
      </c>
      <c r="P304" s="30" t="s">
        <v>1</v>
      </c>
      <c r="Q304" s="30" t="s">
        <v>1</v>
      </c>
      <c r="R304" s="30" t="s">
        <v>1</v>
      </c>
      <c r="S304" s="30" t="s">
        <v>1</v>
      </c>
      <c r="T304" s="30" t="s">
        <v>1</v>
      </c>
      <c r="U304" s="30" t="s">
        <v>1</v>
      </c>
      <c r="V304" s="30" t="s">
        <v>1</v>
      </c>
      <c r="W304" s="30" t="s">
        <v>1</v>
      </c>
      <c r="X304" s="30" t="s">
        <v>1</v>
      </c>
      <c r="Y304" s="30" t="s">
        <v>1</v>
      </c>
      <c r="Z304" s="30" t="s">
        <v>1</v>
      </c>
      <c r="AA304" s="30" t="s">
        <v>1</v>
      </c>
    </row>
    <row r="305" spans="1:28">
      <c r="A305" s="1">
        <f t="shared" si="4"/>
        <v>299</v>
      </c>
      <c r="B305" s="1" t="s">
        <v>2585</v>
      </c>
      <c r="C305" s="26" t="s">
        <v>1729</v>
      </c>
      <c r="D305" s="3" t="s">
        <v>1</v>
      </c>
      <c r="E305" s="3" t="s">
        <v>1</v>
      </c>
      <c r="F305" s="3" t="s">
        <v>1</v>
      </c>
      <c r="G305" s="3" t="s">
        <v>1</v>
      </c>
      <c r="H305" s="1" t="s">
        <v>2584</v>
      </c>
      <c r="I305" s="1" t="s">
        <v>2583</v>
      </c>
      <c r="J305" s="1" t="s">
        <v>2091</v>
      </c>
      <c r="K305" s="1" t="s">
        <v>2582</v>
      </c>
      <c r="L305" s="1">
        <v>2022</v>
      </c>
      <c r="N305" s="1" t="s">
        <v>1</v>
      </c>
      <c r="O305" s="1" t="s">
        <v>1</v>
      </c>
      <c r="P305" s="1" t="s">
        <v>1</v>
      </c>
      <c r="Q305" s="1" t="s">
        <v>1</v>
      </c>
      <c r="R305" s="1" t="s">
        <v>1</v>
      </c>
      <c r="S305" s="1" t="s">
        <v>1</v>
      </c>
      <c r="T305" s="1" t="s">
        <v>1</v>
      </c>
      <c r="U305" s="1" t="s">
        <v>1</v>
      </c>
      <c r="V305" s="1" t="s">
        <v>1</v>
      </c>
      <c r="W305" s="1" t="s">
        <v>1</v>
      </c>
      <c r="X305" s="1" t="s">
        <v>1</v>
      </c>
      <c r="Y305" s="1" t="s">
        <v>1</v>
      </c>
      <c r="Z305" s="1" t="s">
        <v>1</v>
      </c>
      <c r="AA305" s="1" t="s">
        <v>2581</v>
      </c>
    </row>
    <row r="306" spans="1:28" ht="14">
      <c r="A306" s="1">
        <f t="shared" si="4"/>
        <v>300</v>
      </c>
      <c r="B306" s="1" t="s">
        <v>2580</v>
      </c>
      <c r="C306" s="26" t="s">
        <v>1729</v>
      </c>
      <c r="D306" s="3" t="s">
        <v>1</v>
      </c>
      <c r="E306" s="3" t="s">
        <v>1</v>
      </c>
      <c r="F306" s="3" t="s">
        <v>1</v>
      </c>
      <c r="G306" s="3" t="s">
        <v>1</v>
      </c>
      <c r="H306" s="1" t="s">
        <v>2579</v>
      </c>
      <c r="J306" s="1" t="s">
        <v>2361</v>
      </c>
      <c r="K306" s="1" t="s">
        <v>2578</v>
      </c>
      <c r="L306" s="1">
        <v>2021</v>
      </c>
      <c r="N306" s="1" t="s">
        <v>1</v>
      </c>
      <c r="O306" s="1" t="s">
        <v>1</v>
      </c>
      <c r="P306" s="1" t="s">
        <v>1</v>
      </c>
      <c r="Q306" s="1" t="s">
        <v>1</v>
      </c>
      <c r="R306" s="1" t="s">
        <v>1</v>
      </c>
      <c r="S306" s="1" t="s">
        <v>1</v>
      </c>
      <c r="T306" s="1" t="s">
        <v>1</v>
      </c>
      <c r="U306" s="1" t="s">
        <v>1</v>
      </c>
      <c r="V306" s="1" t="s">
        <v>1</v>
      </c>
      <c r="W306" s="1" t="s">
        <v>1</v>
      </c>
      <c r="X306" s="1" t="s">
        <v>1</v>
      </c>
      <c r="Y306" s="1" t="s">
        <v>1</v>
      </c>
      <c r="Z306" s="1" t="s">
        <v>1</v>
      </c>
      <c r="AA306" s="1" t="s">
        <v>2577</v>
      </c>
      <c r="AB306" s="33" t="s">
        <v>2576</v>
      </c>
    </row>
    <row r="307" spans="1:28">
      <c r="A307" s="1">
        <f t="shared" si="4"/>
        <v>301</v>
      </c>
      <c r="B307" s="1" t="s">
        <v>2575</v>
      </c>
      <c r="C307" s="26" t="s">
        <v>1729</v>
      </c>
      <c r="D307" s="3" t="s">
        <v>1</v>
      </c>
      <c r="E307" s="3" t="s">
        <v>1</v>
      </c>
      <c r="F307" s="3" t="s">
        <v>1</v>
      </c>
      <c r="G307" s="3" t="s">
        <v>1</v>
      </c>
      <c r="H307" s="1" t="s">
        <v>2574</v>
      </c>
      <c r="I307" s="1" t="s">
        <v>1</v>
      </c>
      <c r="J307" s="1" t="s">
        <v>2091</v>
      </c>
      <c r="K307" s="1" t="s">
        <v>2574</v>
      </c>
      <c r="L307" s="2" t="s">
        <v>1</v>
      </c>
      <c r="N307" s="1" t="s">
        <v>1</v>
      </c>
      <c r="O307" s="1" t="s">
        <v>1</v>
      </c>
      <c r="P307" s="1" t="s">
        <v>1</v>
      </c>
      <c r="Q307" s="1" t="s">
        <v>1</v>
      </c>
      <c r="R307" s="1" t="s">
        <v>1</v>
      </c>
      <c r="S307" s="1" t="s">
        <v>1</v>
      </c>
      <c r="T307" s="1" t="s">
        <v>1</v>
      </c>
      <c r="U307" s="1" t="s">
        <v>1</v>
      </c>
      <c r="V307" s="1" t="s">
        <v>1</v>
      </c>
      <c r="W307" s="1" t="s">
        <v>1</v>
      </c>
      <c r="X307" s="1" t="s">
        <v>1</v>
      </c>
      <c r="Y307" s="1" t="s">
        <v>1</v>
      </c>
      <c r="Z307" s="1" t="s">
        <v>1</v>
      </c>
      <c r="AA307" s="1" t="s">
        <v>1</v>
      </c>
      <c r="AB307" s="28" t="s">
        <v>2573</v>
      </c>
    </row>
    <row r="308" spans="1:28">
      <c r="A308" s="1">
        <f t="shared" si="4"/>
        <v>302</v>
      </c>
      <c r="B308" s="1" t="s">
        <v>2572</v>
      </c>
      <c r="C308" s="26" t="s">
        <v>1729</v>
      </c>
      <c r="D308" s="3" t="s">
        <v>1</v>
      </c>
      <c r="E308" s="3" t="s">
        <v>1</v>
      </c>
      <c r="F308" s="3" t="s">
        <v>1</v>
      </c>
      <c r="G308" s="3" t="s">
        <v>1</v>
      </c>
      <c r="H308" s="1" t="s">
        <v>2356</v>
      </c>
      <c r="J308" s="1" t="s">
        <v>2091</v>
      </c>
      <c r="K308" s="1" t="s">
        <v>2356</v>
      </c>
      <c r="L308" s="1">
        <v>2020</v>
      </c>
      <c r="M308" s="1" t="s">
        <v>2571</v>
      </c>
      <c r="N308" s="1" t="s">
        <v>1</v>
      </c>
      <c r="O308" s="1" t="s">
        <v>1</v>
      </c>
      <c r="P308" s="1" t="s">
        <v>1</v>
      </c>
      <c r="Q308" s="1" t="s">
        <v>1</v>
      </c>
      <c r="R308" s="1" t="s">
        <v>1</v>
      </c>
      <c r="S308" s="1" t="s">
        <v>1</v>
      </c>
      <c r="T308" s="1" t="s">
        <v>1</v>
      </c>
      <c r="U308" s="1" t="s">
        <v>1</v>
      </c>
      <c r="V308" s="1" t="s">
        <v>1</v>
      </c>
      <c r="W308" s="1" t="s">
        <v>1</v>
      </c>
      <c r="X308" s="1" t="s">
        <v>1</v>
      </c>
      <c r="Y308" s="1" t="s">
        <v>1</v>
      </c>
      <c r="Z308" s="1" t="s">
        <v>1</v>
      </c>
      <c r="AA308" s="1" t="s">
        <v>2570</v>
      </c>
    </row>
    <row r="309" spans="1:28">
      <c r="B309" s="1" t="s">
        <v>2320</v>
      </c>
      <c r="C309" s="26" t="s">
        <v>1729</v>
      </c>
      <c r="D309" s="3" t="s">
        <v>1</v>
      </c>
      <c r="E309" s="30" t="s">
        <v>4</v>
      </c>
      <c r="F309" s="3" t="s">
        <v>1</v>
      </c>
      <c r="G309" s="4">
        <v>44454</v>
      </c>
      <c r="I309" s="1" t="s">
        <v>2319</v>
      </c>
      <c r="J309" s="1" t="s">
        <v>2091</v>
      </c>
      <c r="K309" s="1" t="s">
        <v>2318</v>
      </c>
      <c r="L309" s="2" t="s">
        <v>1</v>
      </c>
      <c r="N309" s="1" t="s">
        <v>632</v>
      </c>
      <c r="O309" s="25" t="s">
        <v>1</v>
      </c>
      <c r="P309" s="25" t="s">
        <v>1</v>
      </c>
      <c r="Q309" s="25" t="s">
        <v>1</v>
      </c>
      <c r="R309" s="25" t="s">
        <v>1</v>
      </c>
      <c r="S309" s="25" t="s">
        <v>1</v>
      </c>
      <c r="T309" s="25" t="s">
        <v>1</v>
      </c>
      <c r="U309" s="25" t="s">
        <v>1</v>
      </c>
      <c r="V309" s="25" t="s">
        <v>1</v>
      </c>
      <c r="W309" s="25" t="s">
        <v>1</v>
      </c>
      <c r="X309" s="25" t="s">
        <v>1</v>
      </c>
      <c r="Y309" s="25" t="s">
        <v>1</v>
      </c>
      <c r="Z309" s="25" t="s">
        <v>1</v>
      </c>
      <c r="AA309" s="1" t="s">
        <v>2094</v>
      </c>
    </row>
    <row r="310" spans="1:28">
      <c r="B310" s="1" t="s">
        <v>2293</v>
      </c>
      <c r="C310" s="26" t="s">
        <v>1729</v>
      </c>
      <c r="D310" s="3" t="s">
        <v>1</v>
      </c>
      <c r="E310" s="30" t="s">
        <v>1</v>
      </c>
      <c r="F310" s="3" t="s">
        <v>1</v>
      </c>
      <c r="G310" s="3" t="s">
        <v>1</v>
      </c>
      <c r="H310" s="1" t="s">
        <v>2292</v>
      </c>
      <c r="I310" s="1" t="s">
        <v>2291</v>
      </c>
      <c r="J310" s="1" t="s">
        <v>2091</v>
      </c>
      <c r="K310" s="1" t="s">
        <v>2290</v>
      </c>
      <c r="L310" s="1">
        <v>2022</v>
      </c>
      <c r="N310" s="1" t="s">
        <v>1</v>
      </c>
      <c r="O310" s="1" t="s">
        <v>1</v>
      </c>
      <c r="P310" s="1" t="s">
        <v>1</v>
      </c>
      <c r="Q310" s="1" t="s">
        <v>1</v>
      </c>
      <c r="R310" s="1" t="s">
        <v>1</v>
      </c>
      <c r="S310" s="1" t="s">
        <v>1</v>
      </c>
      <c r="T310" s="1" t="s">
        <v>1</v>
      </c>
      <c r="U310" s="1" t="s">
        <v>1</v>
      </c>
      <c r="V310" s="1" t="s">
        <v>1</v>
      </c>
      <c r="W310" s="1" t="s">
        <v>1</v>
      </c>
      <c r="X310" s="1" t="s">
        <v>1</v>
      </c>
      <c r="Y310" s="1" t="s">
        <v>1</v>
      </c>
      <c r="Z310" s="1" t="s">
        <v>1</v>
      </c>
      <c r="AA310" s="1" t="s">
        <v>2101</v>
      </c>
    </row>
    <row r="311" spans="1:28">
      <c r="E311" s="30"/>
      <c r="G311" s="3"/>
      <c r="O311" s="1"/>
      <c r="P311" s="1"/>
      <c r="Q311" s="1"/>
      <c r="R311" s="1"/>
      <c r="S311" s="1"/>
      <c r="T311" s="1"/>
      <c r="U311" s="1"/>
      <c r="V311" s="1"/>
      <c r="W311" s="1"/>
      <c r="X311" s="1"/>
      <c r="Y311" s="1"/>
      <c r="Z311" s="1"/>
    </row>
    <row r="312" spans="1:28">
      <c r="B312" s="29" t="s">
        <v>2569</v>
      </c>
      <c r="E312" s="30"/>
      <c r="G312" s="3"/>
      <c r="O312" s="1"/>
      <c r="P312" s="1"/>
      <c r="Q312" s="1"/>
      <c r="R312" s="1"/>
      <c r="S312" s="1"/>
      <c r="T312" s="1"/>
      <c r="U312" s="1"/>
      <c r="V312" s="1"/>
      <c r="W312" s="1"/>
      <c r="X312" s="1"/>
      <c r="Y312" s="1"/>
      <c r="Z312" s="1"/>
    </row>
    <row r="313" spans="1:28">
      <c r="B313" s="1" t="s">
        <v>1117</v>
      </c>
      <c r="E313" s="30"/>
      <c r="G313" s="3"/>
      <c r="O313" s="1"/>
      <c r="P313" s="1"/>
      <c r="Q313" s="1"/>
      <c r="R313" s="1"/>
      <c r="S313" s="1"/>
      <c r="T313" s="1"/>
      <c r="U313" s="1"/>
      <c r="V313" s="1"/>
      <c r="W313" s="1"/>
      <c r="X313" s="1"/>
      <c r="Y313" s="1"/>
      <c r="Z313" s="1"/>
    </row>
    <row r="314" spans="1:28">
      <c r="B314" s="1" t="s">
        <v>2568</v>
      </c>
    </row>
    <row r="315" spans="1:28">
      <c r="B315" s="1" t="s">
        <v>2567</v>
      </c>
      <c r="C315" s="26" t="s">
        <v>1729</v>
      </c>
      <c r="E315" s="1" t="s">
        <v>18</v>
      </c>
      <c r="J315" s="1" t="s">
        <v>2108</v>
      </c>
      <c r="M315" s="1" t="s">
        <v>2106</v>
      </c>
      <c r="AA315" s="1" t="s">
        <v>2566</v>
      </c>
      <c r="AB315" s="28" t="s">
        <v>2565</v>
      </c>
    </row>
    <row r="316" spans="1:28">
      <c r="B316" s="1" t="s">
        <v>2564</v>
      </c>
      <c r="C316" s="26" t="s">
        <v>1729</v>
      </c>
      <c r="J316" s="1" t="s">
        <v>2361</v>
      </c>
      <c r="K316" s="1" t="s">
        <v>2563</v>
      </c>
      <c r="M316" s="1" t="s">
        <v>2106</v>
      </c>
    </row>
    <row r="317" spans="1:28">
      <c r="B317" s="1" t="s">
        <v>2562</v>
      </c>
      <c r="C317" s="26" t="s">
        <v>2190</v>
      </c>
      <c r="M317" s="1" t="s">
        <v>2561</v>
      </c>
    </row>
    <row r="318" spans="1:28">
      <c r="B318" s="1" t="s">
        <v>2560</v>
      </c>
      <c r="C318" s="26" t="s">
        <v>2190</v>
      </c>
      <c r="M318" s="1" t="s">
        <v>2559</v>
      </c>
    </row>
    <row r="319" spans="1:28">
      <c r="B319" s="1" t="s">
        <v>2558</v>
      </c>
      <c r="C319" s="26" t="s">
        <v>2190</v>
      </c>
      <c r="M319" s="1" t="s">
        <v>2557</v>
      </c>
    </row>
    <row r="320" spans="1:28">
      <c r="B320" s="1" t="s">
        <v>2556</v>
      </c>
      <c r="C320" s="26" t="s">
        <v>2190</v>
      </c>
      <c r="M320" s="1" t="s">
        <v>1117</v>
      </c>
    </row>
    <row r="321" spans="2:28">
      <c r="B321" s="1" t="s">
        <v>2555</v>
      </c>
      <c r="C321" s="26" t="s">
        <v>1729</v>
      </c>
      <c r="D321" s="3">
        <v>7900</v>
      </c>
      <c r="E321" s="1" t="s">
        <v>513</v>
      </c>
      <c r="F321" s="3">
        <v>200</v>
      </c>
      <c r="G321" s="4">
        <v>44175</v>
      </c>
      <c r="H321" s="1" t="s">
        <v>2554</v>
      </c>
      <c r="I321" s="1" t="s">
        <v>2553</v>
      </c>
      <c r="J321" s="1" t="s">
        <v>2552</v>
      </c>
      <c r="K321" s="1" t="s">
        <v>2108</v>
      </c>
      <c r="L321" s="1">
        <v>2015</v>
      </c>
      <c r="M321" s="1" t="s">
        <v>2322</v>
      </c>
      <c r="N321" s="1" t="s">
        <v>2551</v>
      </c>
      <c r="O321" s="25" t="s">
        <v>55</v>
      </c>
      <c r="P321" s="25">
        <v>200</v>
      </c>
      <c r="Q321" s="25" t="s">
        <v>2550</v>
      </c>
      <c r="R321" s="25" t="s">
        <v>9</v>
      </c>
      <c r="S321" s="25">
        <v>110</v>
      </c>
      <c r="T321" s="25" t="s">
        <v>2549</v>
      </c>
      <c r="U321" s="25" t="s">
        <v>8</v>
      </c>
      <c r="V321" s="25">
        <v>80</v>
      </c>
      <c r="W321" s="25" t="s">
        <v>2548</v>
      </c>
      <c r="X321" s="25" t="s">
        <v>18</v>
      </c>
      <c r="Y321" s="25">
        <v>70</v>
      </c>
      <c r="Z321" s="25" t="s">
        <v>2547</v>
      </c>
      <c r="AA321" s="1" t="s">
        <v>2546</v>
      </c>
    </row>
    <row r="322" spans="2:28">
      <c r="B322" s="1" t="s">
        <v>2545</v>
      </c>
      <c r="C322" s="26" t="s">
        <v>1729</v>
      </c>
      <c r="D322" s="3">
        <v>5200</v>
      </c>
      <c r="E322" s="1" t="s">
        <v>55</v>
      </c>
      <c r="F322" s="3">
        <v>400</v>
      </c>
      <c r="G322" s="4">
        <v>28327</v>
      </c>
      <c r="H322" s="1" t="s">
        <v>2544</v>
      </c>
      <c r="I322" s="1" t="s">
        <v>2543</v>
      </c>
      <c r="J322" s="1" t="s">
        <v>2091</v>
      </c>
      <c r="K322" s="1" t="s">
        <v>2117</v>
      </c>
      <c r="L322" s="1">
        <v>2012</v>
      </c>
      <c r="N322" s="1" t="s">
        <v>2542</v>
      </c>
      <c r="O322" s="25" t="s">
        <v>1</v>
      </c>
      <c r="P322" s="25" t="s">
        <v>1</v>
      </c>
      <c r="Q322" s="25" t="s">
        <v>1</v>
      </c>
      <c r="R322" s="25" t="s">
        <v>1</v>
      </c>
      <c r="S322" s="25" t="s">
        <v>1</v>
      </c>
      <c r="T322" s="25" t="s">
        <v>1</v>
      </c>
      <c r="U322" s="25" t="s">
        <v>1</v>
      </c>
      <c r="V322" s="25" t="s">
        <v>1</v>
      </c>
      <c r="W322" s="25" t="s">
        <v>1</v>
      </c>
      <c r="X322" s="25" t="s">
        <v>1</v>
      </c>
      <c r="Y322" s="25" t="s">
        <v>1</v>
      </c>
      <c r="Z322" s="25" t="s">
        <v>1</v>
      </c>
      <c r="AA322" s="1" t="s">
        <v>2541</v>
      </c>
    </row>
    <row r="323" spans="2:28">
      <c r="B323" s="1" t="s">
        <v>2174</v>
      </c>
      <c r="C323" s="26" t="s">
        <v>1729</v>
      </c>
      <c r="D323" s="3">
        <v>4200</v>
      </c>
      <c r="E323" s="1" t="s">
        <v>513</v>
      </c>
      <c r="F323" s="3">
        <v>200</v>
      </c>
      <c r="G323" s="4">
        <v>44349</v>
      </c>
      <c r="H323" s="1" t="s">
        <v>4668</v>
      </c>
      <c r="I323" s="1" t="s">
        <v>4667</v>
      </c>
      <c r="J323" s="1" t="s">
        <v>2091</v>
      </c>
      <c r="K323" s="1" t="s">
        <v>2173</v>
      </c>
      <c r="L323" s="1">
        <v>2014</v>
      </c>
      <c r="AA323" s="1" t="s">
        <v>2172</v>
      </c>
      <c r="AB323" s="28" t="s">
        <v>2171</v>
      </c>
    </row>
    <row r="324" spans="2:28">
      <c r="B324" s="1" t="s">
        <v>2540</v>
      </c>
      <c r="C324" s="26" t="s">
        <v>1729</v>
      </c>
      <c r="D324" s="3">
        <v>4000</v>
      </c>
      <c r="E324" s="1" t="s">
        <v>2539</v>
      </c>
      <c r="F324" s="3">
        <v>400</v>
      </c>
      <c r="G324" s="4">
        <v>44378</v>
      </c>
      <c r="H324" s="1" t="s">
        <v>2538</v>
      </c>
      <c r="I324" s="1" t="s">
        <v>2537</v>
      </c>
      <c r="J324" s="1" t="s">
        <v>2091</v>
      </c>
      <c r="K324" s="1" t="s">
        <v>2108</v>
      </c>
      <c r="L324" s="1">
        <v>2012</v>
      </c>
      <c r="N324" s="1" t="s">
        <v>2536</v>
      </c>
      <c r="O324" s="25" t="s">
        <v>513</v>
      </c>
      <c r="P324" s="25" t="s">
        <v>2535</v>
      </c>
      <c r="Q324" s="25" t="s">
        <v>2534</v>
      </c>
      <c r="R324" s="25" t="s">
        <v>55</v>
      </c>
      <c r="S324" s="25">
        <v>106</v>
      </c>
      <c r="T324" s="25" t="s">
        <v>2533</v>
      </c>
      <c r="U324" s="25" t="s">
        <v>9</v>
      </c>
      <c r="V324" s="25">
        <v>52</v>
      </c>
      <c r="W324" s="25" t="s">
        <v>2532</v>
      </c>
      <c r="X324" s="25" t="s">
        <v>8</v>
      </c>
      <c r="Y324" s="25">
        <v>32.799999999999997</v>
      </c>
      <c r="Z324" s="25" t="s">
        <v>2531</v>
      </c>
      <c r="AA324" s="1" t="s">
        <v>2145</v>
      </c>
    </row>
    <row r="325" spans="2:28">
      <c r="B325" s="1" t="s">
        <v>2530</v>
      </c>
      <c r="C325" s="26" t="s">
        <v>1729</v>
      </c>
      <c r="D325" s="3">
        <v>3100</v>
      </c>
      <c r="E325" s="1" t="s">
        <v>9</v>
      </c>
      <c r="F325" s="3">
        <v>150</v>
      </c>
      <c r="G325" s="4">
        <v>44545</v>
      </c>
      <c r="H325" s="1" t="s">
        <v>2529</v>
      </c>
      <c r="I325" s="1" t="s">
        <v>1</v>
      </c>
      <c r="J325" s="1" t="s">
        <v>2091</v>
      </c>
      <c r="K325" s="1" t="s">
        <v>2108</v>
      </c>
      <c r="L325" s="1">
        <v>2014</v>
      </c>
      <c r="N325" s="1" t="s">
        <v>2528</v>
      </c>
      <c r="O325" s="25" t="s">
        <v>1</v>
      </c>
      <c r="P325" s="25" t="s">
        <v>1</v>
      </c>
      <c r="Q325" s="25" t="s">
        <v>1</v>
      </c>
      <c r="R325" s="25" t="s">
        <v>1</v>
      </c>
      <c r="S325" s="25" t="s">
        <v>1</v>
      </c>
      <c r="T325" s="25" t="s">
        <v>1</v>
      </c>
      <c r="U325" s="25" t="s">
        <v>1</v>
      </c>
      <c r="V325" s="25" t="s">
        <v>1</v>
      </c>
      <c r="W325" s="25" t="s">
        <v>1</v>
      </c>
      <c r="X325" s="25" t="s">
        <v>1</v>
      </c>
      <c r="Y325" s="25" t="s">
        <v>1</v>
      </c>
      <c r="Z325" s="25" t="s">
        <v>1</v>
      </c>
      <c r="AA325" s="1" t="s">
        <v>2415</v>
      </c>
    </row>
    <row r="326" spans="2:28">
      <c r="B326" s="1" t="s">
        <v>2527</v>
      </c>
      <c r="C326" s="26" t="s">
        <v>1729</v>
      </c>
      <c r="D326" s="3">
        <v>2800</v>
      </c>
      <c r="E326" s="1" t="s">
        <v>18</v>
      </c>
      <c r="H326" s="1" t="s">
        <v>2526</v>
      </c>
      <c r="J326" s="1" t="s">
        <v>2091</v>
      </c>
      <c r="K326" s="1" t="s">
        <v>2504</v>
      </c>
      <c r="L326" s="1">
        <v>2006</v>
      </c>
      <c r="M326" s="1" t="s">
        <v>2525</v>
      </c>
      <c r="AA326" s="1" t="s">
        <v>2358</v>
      </c>
      <c r="AB326" s="28" t="s">
        <v>2524</v>
      </c>
    </row>
    <row r="327" spans="2:28">
      <c r="B327" s="1" t="s">
        <v>2523</v>
      </c>
      <c r="C327" s="26" t="s">
        <v>1729</v>
      </c>
      <c r="D327" s="3">
        <v>2500</v>
      </c>
      <c r="E327" s="1" t="s">
        <v>1</v>
      </c>
      <c r="F327" s="1" t="s">
        <v>1</v>
      </c>
      <c r="G327" s="1" t="s">
        <v>1</v>
      </c>
      <c r="H327" s="1" t="s">
        <v>2522</v>
      </c>
      <c r="I327" s="1" t="s">
        <v>2521</v>
      </c>
      <c r="J327" s="1" t="s">
        <v>2091</v>
      </c>
      <c r="K327" s="1" t="s">
        <v>2520</v>
      </c>
      <c r="L327" s="1" t="s">
        <v>2519</v>
      </c>
      <c r="N327" s="1" t="s">
        <v>1</v>
      </c>
      <c r="O327" s="1" t="s">
        <v>1</v>
      </c>
      <c r="P327" s="1" t="s">
        <v>1</v>
      </c>
      <c r="Q327" s="1" t="s">
        <v>1</v>
      </c>
      <c r="R327" s="1" t="s">
        <v>1</v>
      </c>
      <c r="S327" s="1" t="s">
        <v>1</v>
      </c>
      <c r="T327" s="1" t="s">
        <v>1</v>
      </c>
      <c r="U327" s="1" t="s">
        <v>1</v>
      </c>
      <c r="V327" s="1" t="s">
        <v>1</v>
      </c>
      <c r="W327" s="1" t="s">
        <v>1</v>
      </c>
      <c r="X327" s="1" t="s">
        <v>1</v>
      </c>
      <c r="Y327" s="1" t="s">
        <v>1</v>
      </c>
      <c r="Z327" s="1" t="s">
        <v>1</v>
      </c>
      <c r="AA327" s="1" t="s">
        <v>2518</v>
      </c>
    </row>
    <row r="328" spans="2:28">
      <c r="B328" s="1" t="s">
        <v>2517</v>
      </c>
      <c r="C328" s="26" t="s">
        <v>1729</v>
      </c>
      <c r="D328" s="3">
        <v>1900</v>
      </c>
      <c r="E328" s="1" t="s">
        <v>18</v>
      </c>
      <c r="F328" s="3">
        <v>150</v>
      </c>
      <c r="G328" s="4">
        <v>44649</v>
      </c>
      <c r="H328" s="1" t="s">
        <v>2516</v>
      </c>
      <c r="I328" s="1" t="s">
        <v>1</v>
      </c>
      <c r="J328" s="1" t="s">
        <v>2091</v>
      </c>
      <c r="K328" s="1" t="s">
        <v>2108</v>
      </c>
      <c r="L328" s="1">
        <v>2018</v>
      </c>
      <c r="M328" s="1" t="s">
        <v>2515</v>
      </c>
      <c r="N328" s="1" t="s">
        <v>2514</v>
      </c>
      <c r="O328" s="25" t="s">
        <v>7</v>
      </c>
      <c r="P328" s="25" t="s">
        <v>2513</v>
      </c>
      <c r="Q328" s="25" t="s">
        <v>1</v>
      </c>
      <c r="R328" s="25" t="s">
        <v>1</v>
      </c>
      <c r="S328" s="25" t="s">
        <v>1</v>
      </c>
      <c r="T328" s="25" t="s">
        <v>1</v>
      </c>
      <c r="U328" s="25" t="s">
        <v>1</v>
      </c>
      <c r="V328" s="25" t="s">
        <v>1</v>
      </c>
      <c r="W328" s="25" t="s">
        <v>1</v>
      </c>
      <c r="X328" s="25" t="s">
        <v>1</v>
      </c>
      <c r="Y328" s="25" t="s">
        <v>1</v>
      </c>
      <c r="Z328" s="25" t="s">
        <v>1</v>
      </c>
      <c r="AA328" s="1" t="s">
        <v>2512</v>
      </c>
    </row>
    <row r="329" spans="2:28">
      <c r="B329" s="1" t="s">
        <v>2511</v>
      </c>
      <c r="C329" s="26" t="s">
        <v>1729</v>
      </c>
      <c r="D329" s="3">
        <v>1900</v>
      </c>
      <c r="E329" s="1" t="s">
        <v>9</v>
      </c>
      <c r="F329" s="3">
        <v>150</v>
      </c>
      <c r="G329" s="4">
        <v>44523</v>
      </c>
      <c r="H329" s="1" t="s">
        <v>2510</v>
      </c>
      <c r="I329" s="1" t="s">
        <v>1</v>
      </c>
      <c r="J329" s="1" t="s">
        <v>2091</v>
      </c>
      <c r="K329" s="1" t="s">
        <v>2509</v>
      </c>
      <c r="L329" s="1">
        <v>2017</v>
      </c>
      <c r="N329" s="1" t="s">
        <v>2508</v>
      </c>
      <c r="O329" s="25" t="s">
        <v>1</v>
      </c>
      <c r="P329" s="25" t="s">
        <v>1</v>
      </c>
      <c r="Q329" s="25" t="s">
        <v>1</v>
      </c>
      <c r="R329" s="25" t="s">
        <v>1</v>
      </c>
      <c r="S329" s="25" t="s">
        <v>1</v>
      </c>
      <c r="T329" s="25" t="s">
        <v>1</v>
      </c>
      <c r="U329" s="25" t="s">
        <v>1</v>
      </c>
      <c r="V329" s="25" t="s">
        <v>1</v>
      </c>
      <c r="W329" s="25" t="s">
        <v>1</v>
      </c>
      <c r="X329" s="25" t="s">
        <v>1</v>
      </c>
      <c r="Y329" s="25" t="s">
        <v>1</v>
      </c>
      <c r="Z329" s="25" t="s">
        <v>1</v>
      </c>
      <c r="AA329" s="1" t="s">
        <v>2101</v>
      </c>
    </row>
    <row r="330" spans="2:28">
      <c r="B330" s="1" t="s">
        <v>2507</v>
      </c>
      <c r="C330" s="26" t="s">
        <v>1729</v>
      </c>
      <c r="D330" s="3">
        <v>1700</v>
      </c>
      <c r="E330" s="1" t="s">
        <v>8</v>
      </c>
      <c r="F330" s="3">
        <v>100</v>
      </c>
      <c r="G330" s="4">
        <v>45027</v>
      </c>
      <c r="H330" s="1" t="s">
        <v>2506</v>
      </c>
      <c r="I330" s="1" t="s">
        <v>2505</v>
      </c>
      <c r="J330" s="1" t="s">
        <v>2091</v>
      </c>
      <c r="K330" s="1" t="s">
        <v>2504</v>
      </c>
      <c r="L330" s="1">
        <v>2008</v>
      </c>
      <c r="M330" s="1" t="s">
        <v>2503</v>
      </c>
      <c r="N330" s="1" t="s">
        <v>2502</v>
      </c>
      <c r="O330" s="25" t="s">
        <v>1</v>
      </c>
      <c r="P330" s="25" t="s">
        <v>1</v>
      </c>
      <c r="Q330" s="25" t="s">
        <v>1</v>
      </c>
      <c r="R330" s="25" t="s">
        <v>1</v>
      </c>
      <c r="S330" s="25" t="s">
        <v>1</v>
      </c>
      <c r="T330" s="25" t="s">
        <v>1</v>
      </c>
      <c r="U330" s="25" t="s">
        <v>1</v>
      </c>
      <c r="V330" s="25" t="s">
        <v>1</v>
      </c>
      <c r="W330" s="25" t="s">
        <v>1</v>
      </c>
      <c r="X330" s="25" t="s">
        <v>1</v>
      </c>
      <c r="Y330" s="25" t="s">
        <v>1</v>
      </c>
      <c r="Z330" s="25" t="s">
        <v>1</v>
      </c>
      <c r="AA330" s="1" t="s">
        <v>2101</v>
      </c>
      <c r="AB330" s="28" t="s">
        <v>2501</v>
      </c>
    </row>
    <row r="331" spans="2:28">
      <c r="B331" s="1" t="s">
        <v>2500</v>
      </c>
      <c r="C331" s="26" t="s">
        <v>1729</v>
      </c>
      <c r="D331" s="3">
        <v>1700</v>
      </c>
      <c r="E331" s="1" t="s">
        <v>8</v>
      </c>
      <c r="F331" s="3">
        <v>85</v>
      </c>
      <c r="G331" s="4">
        <v>42846</v>
      </c>
      <c r="I331" s="1" t="s">
        <v>2499</v>
      </c>
      <c r="J331" s="1" t="s">
        <v>2361</v>
      </c>
      <c r="K331" s="1" t="s">
        <v>2498</v>
      </c>
      <c r="L331" s="1">
        <v>2009</v>
      </c>
      <c r="N331" s="1" t="s">
        <v>1</v>
      </c>
      <c r="O331" s="1" t="s">
        <v>1</v>
      </c>
      <c r="P331" s="1" t="s">
        <v>1</v>
      </c>
      <c r="Q331" s="1" t="s">
        <v>1</v>
      </c>
      <c r="R331" s="1" t="s">
        <v>1</v>
      </c>
      <c r="S331" s="1" t="s">
        <v>1</v>
      </c>
      <c r="T331" s="1" t="s">
        <v>1</v>
      </c>
      <c r="U331" s="1" t="s">
        <v>1</v>
      </c>
      <c r="V331" s="1" t="s">
        <v>1</v>
      </c>
      <c r="W331" s="1" t="s">
        <v>1</v>
      </c>
      <c r="X331" s="1" t="s">
        <v>1</v>
      </c>
      <c r="Y331" s="1" t="s">
        <v>1</v>
      </c>
      <c r="Z331" s="1" t="s">
        <v>1</v>
      </c>
      <c r="AA331" s="1" t="s">
        <v>2089</v>
      </c>
    </row>
    <row r="332" spans="2:28">
      <c r="B332" s="1" t="s">
        <v>153</v>
      </c>
      <c r="C332" s="26" t="s">
        <v>1729</v>
      </c>
      <c r="D332" s="3">
        <v>1500</v>
      </c>
      <c r="E332" s="1" t="s">
        <v>9</v>
      </c>
      <c r="F332" s="3">
        <v>300</v>
      </c>
      <c r="G332" s="4">
        <v>44271</v>
      </c>
      <c r="I332" s="1" t="s">
        <v>2497</v>
      </c>
      <c r="J332" s="1" t="s">
        <v>2091</v>
      </c>
      <c r="K332" s="1" t="s">
        <v>2496</v>
      </c>
      <c r="L332" s="1">
        <v>2007</v>
      </c>
      <c r="M332" s="1" t="s">
        <v>2495</v>
      </c>
      <c r="N332" s="1" t="s">
        <v>2494</v>
      </c>
      <c r="O332" s="25" t="s">
        <v>8</v>
      </c>
      <c r="P332" s="25">
        <v>38</v>
      </c>
      <c r="Q332" s="25" t="s">
        <v>2493</v>
      </c>
      <c r="R332" s="25" t="s">
        <v>18</v>
      </c>
      <c r="S332" s="25" t="s">
        <v>1</v>
      </c>
      <c r="T332" s="25" t="s">
        <v>2492</v>
      </c>
      <c r="U332" s="25" t="s">
        <v>7</v>
      </c>
      <c r="V332" s="25">
        <v>10</v>
      </c>
      <c r="W332" s="25" t="s">
        <v>2491</v>
      </c>
      <c r="X332" s="25" t="s">
        <v>5</v>
      </c>
      <c r="Y332" s="25" t="s">
        <v>2490</v>
      </c>
      <c r="Z332" s="25" t="s">
        <v>2489</v>
      </c>
      <c r="AA332" s="1" t="s">
        <v>2488</v>
      </c>
      <c r="AB332" s="28" t="s">
        <v>2487</v>
      </c>
    </row>
    <row r="333" spans="2:28">
      <c r="B333" s="1" t="s">
        <v>2486</v>
      </c>
      <c r="C333" s="26" t="s">
        <v>1729</v>
      </c>
      <c r="D333" s="3">
        <v>1400</v>
      </c>
      <c r="E333" s="1" t="s">
        <v>8</v>
      </c>
      <c r="F333" s="3">
        <v>70</v>
      </c>
      <c r="G333" s="4">
        <v>44907</v>
      </c>
      <c r="H333" s="1" t="s">
        <v>2485</v>
      </c>
      <c r="I333" s="1" t="s">
        <v>2484</v>
      </c>
      <c r="J333" s="1" t="s">
        <v>2091</v>
      </c>
      <c r="K333" s="1" t="s">
        <v>2483</v>
      </c>
      <c r="L333" s="1">
        <v>2015</v>
      </c>
      <c r="M333" s="1" t="s">
        <v>2482</v>
      </c>
      <c r="N333" s="1" t="s">
        <v>1</v>
      </c>
      <c r="O333" s="1" t="s">
        <v>1</v>
      </c>
      <c r="P333" s="1" t="s">
        <v>1</v>
      </c>
      <c r="Q333" s="1" t="s">
        <v>1</v>
      </c>
      <c r="R333" s="1" t="s">
        <v>1</v>
      </c>
      <c r="S333" s="1" t="s">
        <v>1</v>
      </c>
      <c r="T333" s="1" t="s">
        <v>1</v>
      </c>
      <c r="U333" s="1" t="s">
        <v>1</v>
      </c>
      <c r="V333" s="1" t="s">
        <v>1</v>
      </c>
      <c r="W333" s="1" t="s">
        <v>1</v>
      </c>
      <c r="X333" s="1" t="s">
        <v>1</v>
      </c>
      <c r="Y333" s="1" t="s">
        <v>1</v>
      </c>
      <c r="Z333" s="1" t="s">
        <v>1</v>
      </c>
      <c r="AA333" s="1" t="s">
        <v>2481</v>
      </c>
      <c r="AB333" s="28" t="s">
        <v>2480</v>
      </c>
    </row>
    <row r="334" spans="2:28">
      <c r="B334" s="1" t="s">
        <v>2479</v>
      </c>
      <c r="C334" s="26" t="s">
        <v>1729</v>
      </c>
      <c r="D334" s="3">
        <v>1300</v>
      </c>
      <c r="E334" s="1" t="s">
        <v>8</v>
      </c>
      <c r="F334" s="3">
        <v>150</v>
      </c>
      <c r="G334" s="4">
        <v>44656</v>
      </c>
      <c r="I334" s="1" t="s">
        <v>2478</v>
      </c>
      <c r="J334" s="1" t="s">
        <v>2091</v>
      </c>
      <c r="K334" s="1" t="s">
        <v>2108</v>
      </c>
      <c r="L334" s="32">
        <v>42323</v>
      </c>
      <c r="N334" s="1" t="s">
        <v>2477</v>
      </c>
      <c r="O334" s="25" t="s">
        <v>1</v>
      </c>
      <c r="P334" s="25" t="s">
        <v>1</v>
      </c>
      <c r="Q334" s="25" t="s">
        <v>1</v>
      </c>
      <c r="R334" s="25" t="s">
        <v>1</v>
      </c>
      <c r="S334" s="25" t="s">
        <v>1</v>
      </c>
      <c r="T334" s="25" t="s">
        <v>1</v>
      </c>
      <c r="U334" s="25" t="s">
        <v>1</v>
      </c>
      <c r="V334" s="25" t="s">
        <v>1</v>
      </c>
      <c r="W334" s="25" t="s">
        <v>1</v>
      </c>
      <c r="X334" s="25" t="s">
        <v>1</v>
      </c>
      <c r="Y334" s="25" t="s">
        <v>1</v>
      </c>
      <c r="Z334" s="25" t="s">
        <v>1</v>
      </c>
      <c r="AA334" s="1" t="s">
        <v>2415</v>
      </c>
    </row>
    <row r="335" spans="2:28">
      <c r="B335" s="1" t="s">
        <v>2476</v>
      </c>
      <c r="C335" s="26" t="s">
        <v>1729</v>
      </c>
      <c r="D335" s="3">
        <v>1300</v>
      </c>
      <c r="E335" s="1" t="s">
        <v>8</v>
      </c>
      <c r="F335" s="3">
        <v>140</v>
      </c>
      <c r="G335" s="4">
        <v>44602</v>
      </c>
      <c r="J335" s="1" t="s">
        <v>2091</v>
      </c>
      <c r="K335" s="1" t="s">
        <v>2129</v>
      </c>
      <c r="L335" s="1">
        <v>2018</v>
      </c>
      <c r="M335" s="1" t="s">
        <v>2475</v>
      </c>
      <c r="AA335" s="1" t="s">
        <v>2204</v>
      </c>
      <c r="AB335" s="28" t="s">
        <v>2474</v>
      </c>
    </row>
    <row r="336" spans="2:28">
      <c r="B336" s="1" t="s">
        <v>921</v>
      </c>
      <c r="C336" s="26" t="s">
        <v>1729</v>
      </c>
      <c r="D336" s="3">
        <v>1100</v>
      </c>
      <c r="E336" s="1" t="s">
        <v>7</v>
      </c>
      <c r="F336" s="3">
        <v>97.4</v>
      </c>
      <c r="G336" s="4">
        <v>45041</v>
      </c>
      <c r="H336" s="1" t="s">
        <v>2473</v>
      </c>
      <c r="I336" s="1" t="s">
        <v>2472</v>
      </c>
      <c r="J336" s="1" t="s">
        <v>2091</v>
      </c>
      <c r="K336" s="1" t="s">
        <v>2290</v>
      </c>
      <c r="L336" s="1">
        <v>2016</v>
      </c>
      <c r="N336" s="1" t="s">
        <v>2471</v>
      </c>
      <c r="O336" s="25" t="s">
        <v>2470</v>
      </c>
      <c r="P336" s="25">
        <v>80</v>
      </c>
      <c r="Q336" s="25" t="s">
        <v>2469</v>
      </c>
      <c r="R336" s="25" t="s">
        <v>5</v>
      </c>
      <c r="S336" s="25">
        <v>20</v>
      </c>
      <c r="T336" s="25" t="s">
        <v>2468</v>
      </c>
      <c r="U336" s="25" t="s">
        <v>4</v>
      </c>
      <c r="V336" s="25">
        <v>4.5</v>
      </c>
      <c r="W336" s="25" t="s">
        <v>2467</v>
      </c>
      <c r="X336" s="25" t="s">
        <v>285</v>
      </c>
      <c r="Y336" s="25">
        <v>0.12</v>
      </c>
      <c r="Z336" s="25" t="s">
        <v>2466</v>
      </c>
      <c r="AA336" s="1" t="s">
        <v>2415</v>
      </c>
    </row>
    <row r="337" spans="2:28">
      <c r="B337" s="1" t="s">
        <v>2465</v>
      </c>
      <c r="C337" s="26" t="s">
        <v>1729</v>
      </c>
      <c r="D337" s="3">
        <v>1000</v>
      </c>
      <c r="E337" s="1" t="s">
        <v>7</v>
      </c>
      <c r="F337" s="3">
        <v>500</v>
      </c>
      <c r="G337" s="4">
        <v>44971</v>
      </c>
      <c r="H337" s="1" t="s">
        <v>2464</v>
      </c>
      <c r="I337" s="1" t="s">
        <v>1</v>
      </c>
      <c r="J337" s="1" t="s">
        <v>2091</v>
      </c>
      <c r="K337" s="1" t="s">
        <v>2129</v>
      </c>
      <c r="L337" s="1">
        <v>2016</v>
      </c>
      <c r="M337" s="1" t="s">
        <v>2463</v>
      </c>
      <c r="N337" s="1" t="s">
        <v>2462</v>
      </c>
      <c r="AA337" s="1" t="s">
        <v>2204</v>
      </c>
    </row>
    <row r="338" spans="2:28">
      <c r="B338" s="1" t="s">
        <v>2461</v>
      </c>
      <c r="C338" s="26" t="s">
        <v>1729</v>
      </c>
      <c r="D338" s="3">
        <v>1000</v>
      </c>
      <c r="E338" s="1" t="s">
        <v>9</v>
      </c>
      <c r="F338" s="3">
        <v>300</v>
      </c>
      <c r="G338" s="4">
        <v>43917</v>
      </c>
      <c r="H338" s="1" t="s">
        <v>2460</v>
      </c>
      <c r="I338" s="1" t="s">
        <v>2459</v>
      </c>
      <c r="J338" s="1" t="s">
        <v>2091</v>
      </c>
      <c r="K338" s="1" t="s">
        <v>2173</v>
      </c>
      <c r="L338" s="1">
        <v>2014</v>
      </c>
      <c r="M338" s="1" t="s">
        <v>2458</v>
      </c>
      <c r="AA338" s="1" t="s">
        <v>2423</v>
      </c>
      <c r="AB338" s="28" t="s">
        <v>2457</v>
      </c>
    </row>
    <row r="339" spans="2:28">
      <c r="B339" s="1" t="s">
        <v>2456</v>
      </c>
      <c r="C339" s="26" t="s">
        <v>1729</v>
      </c>
      <c r="D339" s="3">
        <v>1000</v>
      </c>
      <c r="E339" s="1" t="s">
        <v>7</v>
      </c>
      <c r="F339" s="3">
        <v>283</v>
      </c>
      <c r="G339" s="4">
        <v>43689</v>
      </c>
      <c r="H339" s="1" t="s">
        <v>2455</v>
      </c>
      <c r="I339" s="1" t="s">
        <v>2454</v>
      </c>
      <c r="J339" s="1" t="s">
        <v>2091</v>
      </c>
      <c r="K339" s="1" t="s">
        <v>2453</v>
      </c>
      <c r="L339" s="1">
        <v>2015</v>
      </c>
      <c r="M339" s="1" t="s">
        <v>2452</v>
      </c>
      <c r="N339" s="1" t="s">
        <v>2451</v>
      </c>
      <c r="O339" s="25" t="s">
        <v>1</v>
      </c>
      <c r="P339" s="25" t="s">
        <v>1</v>
      </c>
      <c r="Q339" s="25" t="s">
        <v>1</v>
      </c>
      <c r="R339" s="25" t="s">
        <v>1</v>
      </c>
      <c r="S339" s="25" t="s">
        <v>1</v>
      </c>
      <c r="T339" s="25" t="s">
        <v>1</v>
      </c>
      <c r="U339" s="25" t="s">
        <v>1</v>
      </c>
      <c r="V339" s="25" t="s">
        <v>1</v>
      </c>
      <c r="W339" s="25" t="s">
        <v>1</v>
      </c>
      <c r="X339" s="25" t="s">
        <v>1</v>
      </c>
      <c r="Y339" s="25" t="s">
        <v>1</v>
      </c>
      <c r="Z339" s="25" t="s">
        <v>1</v>
      </c>
      <c r="AA339" s="1" t="s">
        <v>2423</v>
      </c>
      <c r="AB339" s="28" t="s">
        <v>2450</v>
      </c>
    </row>
    <row r="340" spans="2:28">
      <c r="B340" s="1" t="s">
        <v>2449</v>
      </c>
      <c r="C340" s="26" t="s">
        <v>1729</v>
      </c>
      <c r="D340" s="3">
        <v>1000</v>
      </c>
      <c r="E340" s="1" t="s">
        <v>7</v>
      </c>
      <c r="F340" s="3">
        <v>140</v>
      </c>
      <c r="G340" s="31">
        <v>43322</v>
      </c>
      <c r="H340" s="1" t="s">
        <v>2448</v>
      </c>
      <c r="I340" s="1" t="s">
        <v>2447</v>
      </c>
      <c r="J340" s="1" t="s">
        <v>2091</v>
      </c>
      <c r="K340" s="1" t="s">
        <v>2446</v>
      </c>
      <c r="L340" s="1">
        <v>2014</v>
      </c>
      <c r="M340" s="1" t="s">
        <v>2445</v>
      </c>
      <c r="N340" s="1" t="s">
        <v>2444</v>
      </c>
      <c r="O340" s="25" t="s">
        <v>1</v>
      </c>
      <c r="P340" s="25" t="s">
        <v>1</v>
      </c>
      <c r="Q340" s="25" t="s">
        <v>1</v>
      </c>
      <c r="R340" s="25" t="s">
        <v>1</v>
      </c>
      <c r="S340" s="25" t="s">
        <v>1</v>
      </c>
      <c r="T340" s="25" t="s">
        <v>1</v>
      </c>
      <c r="U340" s="25" t="s">
        <v>1</v>
      </c>
      <c r="V340" s="25" t="s">
        <v>1</v>
      </c>
      <c r="W340" s="25" t="s">
        <v>1</v>
      </c>
      <c r="X340" s="25" t="s">
        <v>1</v>
      </c>
      <c r="Y340" s="25" t="s">
        <v>1</v>
      </c>
      <c r="Z340" s="25" t="s">
        <v>1</v>
      </c>
      <c r="AA340" s="1" t="s">
        <v>2423</v>
      </c>
    </row>
    <row r="341" spans="2:28">
      <c r="B341" s="1" t="s">
        <v>31</v>
      </c>
      <c r="C341" s="26" t="s">
        <v>2190</v>
      </c>
      <c r="D341" s="3">
        <v>1000</v>
      </c>
      <c r="E341" s="1" t="s">
        <v>5</v>
      </c>
      <c r="F341" s="3">
        <v>228.57142857142858</v>
      </c>
      <c r="G341" s="4">
        <v>45078</v>
      </c>
      <c r="H341" s="1" t="s">
        <v>2443</v>
      </c>
      <c r="I341" s="1" t="s">
        <v>2439</v>
      </c>
      <c r="J341" s="1" t="s">
        <v>2091</v>
      </c>
      <c r="K341" s="1" t="s">
        <v>2442</v>
      </c>
      <c r="L341" s="1">
        <v>2023</v>
      </c>
      <c r="M341" s="1" t="s">
        <v>2441</v>
      </c>
      <c r="N341" s="1" t="s">
        <v>2440</v>
      </c>
      <c r="O341" s="25" t="s">
        <v>5</v>
      </c>
      <c r="P341" s="25">
        <v>50</v>
      </c>
      <c r="Q341" s="25" t="s">
        <v>2439</v>
      </c>
      <c r="R341" s="25" t="s">
        <v>1</v>
      </c>
      <c r="S341" s="25" t="s">
        <v>1</v>
      </c>
      <c r="T341" s="25" t="s">
        <v>1</v>
      </c>
      <c r="U341" s="25" t="s">
        <v>1</v>
      </c>
      <c r="V341" s="25" t="s">
        <v>1</v>
      </c>
      <c r="W341" s="25" t="s">
        <v>1</v>
      </c>
      <c r="X341" s="25" t="s">
        <v>1</v>
      </c>
      <c r="Y341" s="25" t="s">
        <v>1</v>
      </c>
      <c r="Z341" s="25" t="s">
        <v>1</v>
      </c>
      <c r="AA341" s="1" t="s">
        <v>2423</v>
      </c>
    </row>
    <row r="342" spans="2:28">
      <c r="B342" s="1" t="s">
        <v>2438</v>
      </c>
      <c r="C342" s="26" t="s">
        <v>2190</v>
      </c>
      <c r="D342" s="3">
        <v>1000</v>
      </c>
      <c r="M342" s="1" t="s">
        <v>2437</v>
      </c>
      <c r="AA342" s="1" t="s">
        <v>2094</v>
      </c>
      <c r="AB342" s="28" t="s">
        <v>2436</v>
      </c>
    </row>
    <row r="343" spans="2:28">
      <c r="B343" s="1" t="s">
        <v>2435</v>
      </c>
      <c r="C343" s="26" t="s">
        <v>1729</v>
      </c>
      <c r="D343" s="3">
        <v>785</v>
      </c>
      <c r="E343" s="1" t="s">
        <v>7</v>
      </c>
      <c r="F343" s="3">
        <v>215</v>
      </c>
      <c r="G343" s="4">
        <v>44496</v>
      </c>
      <c r="H343" s="1" t="s">
        <v>2434</v>
      </c>
      <c r="I343" s="1" t="s">
        <v>2433</v>
      </c>
      <c r="J343" s="1" t="s">
        <v>2108</v>
      </c>
      <c r="K343" s="1" t="s">
        <v>2432</v>
      </c>
      <c r="L343" s="1">
        <v>2018</v>
      </c>
      <c r="M343" s="1" t="s">
        <v>2431</v>
      </c>
      <c r="N343" s="1" t="s">
        <v>2430</v>
      </c>
      <c r="AA343" s="1" t="s">
        <v>2101</v>
      </c>
      <c r="AB343" s="28" t="s">
        <v>2429</v>
      </c>
    </row>
    <row r="344" spans="2:28">
      <c r="B344" s="1" t="s">
        <v>2428</v>
      </c>
      <c r="C344" s="26" t="s">
        <v>1729</v>
      </c>
      <c r="D344" s="3">
        <v>700</v>
      </c>
      <c r="E344" s="1" t="s">
        <v>18</v>
      </c>
      <c r="J344" s="1" t="s">
        <v>2091</v>
      </c>
      <c r="K344" s="1" t="s">
        <v>2402</v>
      </c>
      <c r="M344" s="1" t="s">
        <v>2427</v>
      </c>
      <c r="AB344" s="28"/>
    </row>
    <row r="345" spans="2:28">
      <c r="B345" s="1" t="s">
        <v>2426</v>
      </c>
      <c r="C345" s="26" t="s">
        <v>1729</v>
      </c>
      <c r="D345" s="3">
        <v>700</v>
      </c>
      <c r="E345" s="1" t="s">
        <v>7</v>
      </c>
      <c r="F345" s="3">
        <f>1500/7</f>
        <v>214.28571428571428</v>
      </c>
      <c r="G345" s="4">
        <v>44922</v>
      </c>
      <c r="H345" s="1" t="s">
        <v>2425</v>
      </c>
      <c r="I345" s="1" t="s">
        <v>2424</v>
      </c>
      <c r="J345" s="1" t="s">
        <v>2091</v>
      </c>
      <c r="K345" s="1" t="s">
        <v>2125</v>
      </c>
      <c r="L345" s="1">
        <v>2020</v>
      </c>
      <c r="N345" s="1" t="s">
        <v>1</v>
      </c>
      <c r="O345" s="1" t="s">
        <v>1</v>
      </c>
      <c r="P345" s="1" t="s">
        <v>1</v>
      </c>
      <c r="Q345" s="1" t="s">
        <v>1</v>
      </c>
      <c r="R345" s="1" t="s">
        <v>1</v>
      </c>
      <c r="S345" s="1" t="s">
        <v>1</v>
      </c>
      <c r="T345" s="1" t="s">
        <v>1</v>
      </c>
      <c r="U345" s="1" t="s">
        <v>1</v>
      </c>
      <c r="V345" s="1" t="s">
        <v>1</v>
      </c>
      <c r="W345" s="1" t="s">
        <v>1</v>
      </c>
      <c r="X345" s="1" t="s">
        <v>1</v>
      </c>
      <c r="Y345" s="1" t="s">
        <v>1</v>
      </c>
      <c r="Z345" s="1" t="s">
        <v>1</v>
      </c>
      <c r="AA345" s="1" t="s">
        <v>2423</v>
      </c>
      <c r="AB345" s="28" t="s">
        <v>2422</v>
      </c>
    </row>
    <row r="346" spans="2:28">
      <c r="B346" s="1" t="s">
        <v>2421</v>
      </c>
      <c r="C346" s="26" t="s">
        <v>1729</v>
      </c>
      <c r="D346" s="3">
        <v>400</v>
      </c>
      <c r="E346" s="1" t="s">
        <v>7</v>
      </c>
      <c r="F346" s="3">
        <v>44</v>
      </c>
      <c r="G346" s="4">
        <v>45006</v>
      </c>
      <c r="H346" s="1" t="s">
        <v>2420</v>
      </c>
      <c r="I346" s="1" t="s">
        <v>2419</v>
      </c>
      <c r="J346" s="1" t="s">
        <v>2091</v>
      </c>
      <c r="K346" s="1" t="s">
        <v>2147</v>
      </c>
      <c r="L346" s="1">
        <v>2012</v>
      </c>
      <c r="N346" s="1" t="s">
        <v>2418</v>
      </c>
      <c r="O346" s="25" t="s">
        <v>1</v>
      </c>
      <c r="P346" s="25">
        <v>39.700000000000003</v>
      </c>
      <c r="Q346" s="25" t="s">
        <v>1</v>
      </c>
      <c r="R346" s="25" t="s">
        <v>5</v>
      </c>
      <c r="S346" s="25">
        <v>15</v>
      </c>
      <c r="T346" s="25" t="s">
        <v>2417</v>
      </c>
      <c r="U346" s="25" t="s">
        <v>4</v>
      </c>
      <c r="V346" s="25">
        <v>4</v>
      </c>
      <c r="W346" s="25" t="s">
        <v>2416</v>
      </c>
      <c r="X346" s="25" t="s">
        <v>285</v>
      </c>
      <c r="Y346" s="25" t="s">
        <v>1</v>
      </c>
      <c r="Z346" s="25" t="s">
        <v>1</v>
      </c>
      <c r="AA346" s="1" t="s">
        <v>2415</v>
      </c>
    </row>
    <row r="347" spans="2:28">
      <c r="B347" s="1" t="s">
        <v>2414</v>
      </c>
      <c r="C347" s="26" t="s">
        <v>1729</v>
      </c>
      <c r="D347" s="3">
        <v>500</v>
      </c>
      <c r="E347" s="1" t="s">
        <v>7</v>
      </c>
      <c r="F347" s="3">
        <v>159</v>
      </c>
      <c r="G347" s="4">
        <v>45092</v>
      </c>
      <c r="H347" s="1" t="s">
        <v>2413</v>
      </c>
      <c r="I347" s="1" t="s">
        <v>1</v>
      </c>
      <c r="J347" s="1" t="s">
        <v>2256</v>
      </c>
      <c r="K347" s="1" t="s">
        <v>2256</v>
      </c>
      <c r="L347" s="1">
        <v>2015</v>
      </c>
      <c r="N347" s="1" t="s">
        <v>2412</v>
      </c>
      <c r="O347" s="25" t="s">
        <v>7</v>
      </c>
      <c r="P347" s="25">
        <v>159</v>
      </c>
      <c r="Q347" s="25" t="s">
        <v>2411</v>
      </c>
      <c r="R347" s="25" t="s">
        <v>5</v>
      </c>
      <c r="S347" s="25">
        <v>12</v>
      </c>
      <c r="T347" s="25" t="s">
        <v>2410</v>
      </c>
      <c r="U347" s="25" t="s">
        <v>1</v>
      </c>
      <c r="V347" s="25" t="s">
        <v>1</v>
      </c>
      <c r="W347" s="25" t="s">
        <v>1</v>
      </c>
      <c r="X347" s="25" t="s">
        <v>1</v>
      </c>
      <c r="Y347" s="25" t="s">
        <v>1</v>
      </c>
      <c r="Z347" s="25" t="s">
        <v>1</v>
      </c>
      <c r="AA347" s="1" t="s">
        <v>2204</v>
      </c>
    </row>
    <row r="348" spans="2:28">
      <c r="B348" s="1" t="s">
        <v>633</v>
      </c>
      <c r="C348" s="26" t="s">
        <v>1729</v>
      </c>
      <c r="D348" s="3">
        <v>500</v>
      </c>
      <c r="E348" s="1" t="s">
        <v>18</v>
      </c>
      <c r="F348" s="3">
        <v>169</v>
      </c>
      <c r="G348" s="4">
        <v>44727</v>
      </c>
      <c r="H348" s="1" t="s">
        <v>2408</v>
      </c>
      <c r="I348" s="1" t="s">
        <v>2409</v>
      </c>
      <c r="J348" s="1" t="s">
        <v>2408</v>
      </c>
      <c r="K348" s="1" t="s">
        <v>2408</v>
      </c>
      <c r="L348" s="1">
        <v>2010</v>
      </c>
      <c r="N348" s="1" t="s">
        <v>634</v>
      </c>
      <c r="O348" s="25" t="s">
        <v>7</v>
      </c>
      <c r="P348" s="25">
        <v>14</v>
      </c>
      <c r="Q348" s="25" t="s">
        <v>2407</v>
      </c>
      <c r="R348" s="25" t="s">
        <v>5</v>
      </c>
      <c r="S348" s="25">
        <v>6</v>
      </c>
      <c r="T348" s="25" t="s">
        <v>2406</v>
      </c>
      <c r="U348" s="25" t="s">
        <v>1</v>
      </c>
      <c r="V348" s="25" t="s">
        <v>1</v>
      </c>
      <c r="W348" s="25" t="s">
        <v>1</v>
      </c>
      <c r="X348" s="25" t="s">
        <v>1</v>
      </c>
      <c r="Y348" s="25" t="s">
        <v>1</v>
      </c>
      <c r="Z348" s="25" t="s">
        <v>1</v>
      </c>
      <c r="AA348" s="1" t="s">
        <v>2405</v>
      </c>
    </row>
    <row r="349" spans="2:28">
      <c r="B349" s="1" t="s">
        <v>915</v>
      </c>
      <c r="C349" s="26" t="s">
        <v>1729</v>
      </c>
      <c r="D349" s="3">
        <v>400</v>
      </c>
      <c r="E349" s="1" t="s">
        <v>5</v>
      </c>
      <c r="F349" s="3">
        <v>70</v>
      </c>
      <c r="G349" s="4">
        <v>45035</v>
      </c>
      <c r="H349" s="1" t="s">
        <v>2404</v>
      </c>
      <c r="I349" s="1" t="s">
        <v>2403</v>
      </c>
      <c r="J349" s="1" t="s">
        <v>2091</v>
      </c>
      <c r="K349" s="1" t="s">
        <v>2402</v>
      </c>
      <c r="L349" s="1">
        <v>2022</v>
      </c>
      <c r="N349" s="1" t="s">
        <v>2401</v>
      </c>
      <c r="O349" s="25" t="s">
        <v>1</v>
      </c>
      <c r="P349" s="25" t="s">
        <v>1</v>
      </c>
      <c r="Q349" s="25" t="s">
        <v>1</v>
      </c>
      <c r="R349" s="25" t="s">
        <v>1</v>
      </c>
      <c r="S349" s="25" t="s">
        <v>1</v>
      </c>
      <c r="T349" s="25" t="s">
        <v>1</v>
      </c>
      <c r="U349" s="25" t="s">
        <v>1</v>
      </c>
      <c r="V349" s="25" t="s">
        <v>1</v>
      </c>
      <c r="W349" s="25" t="s">
        <v>1</v>
      </c>
      <c r="X349" s="25" t="s">
        <v>1</v>
      </c>
      <c r="Y349" s="25" t="s">
        <v>1</v>
      </c>
      <c r="Z349" s="25" t="s">
        <v>1</v>
      </c>
      <c r="AA349" s="1" t="s">
        <v>2244</v>
      </c>
    </row>
    <row r="350" spans="2:28">
      <c r="B350" s="1" t="s">
        <v>2400</v>
      </c>
      <c r="C350" s="26" t="s">
        <v>1729</v>
      </c>
      <c r="D350" s="3">
        <v>300</v>
      </c>
      <c r="E350" s="1" t="s">
        <v>18</v>
      </c>
      <c r="F350" s="3">
        <v>40</v>
      </c>
      <c r="G350" s="4">
        <v>44909</v>
      </c>
      <c r="H350" s="1" t="s">
        <v>2399</v>
      </c>
      <c r="I350" s="1" t="s">
        <v>2398</v>
      </c>
      <c r="J350" s="1" t="s">
        <v>2091</v>
      </c>
      <c r="K350" s="1" t="s">
        <v>2397</v>
      </c>
      <c r="L350" s="1">
        <v>2013</v>
      </c>
      <c r="M350" s="1" t="s">
        <v>2396</v>
      </c>
      <c r="N350" s="1" t="s">
        <v>2395</v>
      </c>
      <c r="O350" s="25" t="s">
        <v>18</v>
      </c>
      <c r="P350" s="25">
        <v>40</v>
      </c>
      <c r="Q350" s="25" t="s">
        <v>2394</v>
      </c>
      <c r="R350" s="25" t="s">
        <v>7</v>
      </c>
      <c r="S350" s="25" t="s">
        <v>1</v>
      </c>
      <c r="T350" s="25" t="s">
        <v>2393</v>
      </c>
      <c r="U350" s="25" t="s">
        <v>5</v>
      </c>
      <c r="V350" s="25">
        <v>15</v>
      </c>
      <c r="W350" s="25" t="s">
        <v>2392</v>
      </c>
      <c r="X350" s="25" t="s">
        <v>1</v>
      </c>
      <c r="Y350" s="25" t="s">
        <v>1</v>
      </c>
      <c r="Z350" s="25" t="s">
        <v>1</v>
      </c>
      <c r="AA350" s="1" t="s">
        <v>2089</v>
      </c>
    </row>
    <row r="351" spans="2:28">
      <c r="B351" s="1" t="s">
        <v>2391</v>
      </c>
      <c r="C351" s="26" t="s">
        <v>1729</v>
      </c>
      <c r="D351" s="3" t="s">
        <v>1</v>
      </c>
      <c r="E351" s="1" t="s">
        <v>4</v>
      </c>
      <c r="F351" s="3" t="s">
        <v>1</v>
      </c>
      <c r="G351" s="4">
        <v>44750</v>
      </c>
      <c r="H351" s="1" t="s">
        <v>2390</v>
      </c>
      <c r="I351" s="1" t="s">
        <v>2389</v>
      </c>
      <c r="J351" s="1" t="s">
        <v>985</v>
      </c>
      <c r="K351" s="1" t="s">
        <v>2388</v>
      </c>
      <c r="L351" s="1">
        <v>2020</v>
      </c>
      <c r="N351" s="1" t="s">
        <v>130</v>
      </c>
      <c r="O351" s="25" t="s">
        <v>285</v>
      </c>
      <c r="P351" s="25">
        <v>2</v>
      </c>
      <c r="Q351" s="25" t="s">
        <v>2387</v>
      </c>
      <c r="R351" s="25" t="s">
        <v>1</v>
      </c>
      <c r="S351" s="25" t="s">
        <v>1</v>
      </c>
      <c r="T351" s="25" t="s">
        <v>1</v>
      </c>
      <c r="U351" s="25" t="s">
        <v>1</v>
      </c>
      <c r="V351" s="25" t="s">
        <v>1</v>
      </c>
      <c r="W351" s="25" t="s">
        <v>1</v>
      </c>
      <c r="X351" s="25" t="s">
        <v>1</v>
      </c>
      <c r="Y351" s="25" t="s">
        <v>1</v>
      </c>
      <c r="Z351" s="25" t="s">
        <v>1</v>
      </c>
      <c r="AA351" s="1" t="s">
        <v>2216</v>
      </c>
    </row>
    <row r="352" spans="2:28">
      <c r="B352" s="1" t="s">
        <v>2386</v>
      </c>
      <c r="C352" s="26" t="s">
        <v>2190</v>
      </c>
      <c r="D352" s="3">
        <v>230</v>
      </c>
      <c r="E352" s="1" t="s">
        <v>5</v>
      </c>
      <c r="F352" s="3">
        <v>150</v>
      </c>
      <c r="G352" s="4">
        <v>44165</v>
      </c>
      <c r="I352" s="1" t="s">
        <v>1</v>
      </c>
      <c r="J352" s="1" t="s">
        <v>2091</v>
      </c>
      <c r="K352" s="1" t="s">
        <v>2385</v>
      </c>
      <c r="L352" s="1">
        <v>2016</v>
      </c>
      <c r="N352" s="1" t="s">
        <v>2384</v>
      </c>
      <c r="O352" s="25" t="s">
        <v>1</v>
      </c>
      <c r="P352" s="25" t="s">
        <v>1</v>
      </c>
      <c r="Q352" s="25" t="s">
        <v>1</v>
      </c>
      <c r="R352" s="25" t="s">
        <v>1</v>
      </c>
      <c r="S352" s="25" t="s">
        <v>1</v>
      </c>
      <c r="T352" s="25" t="s">
        <v>1</v>
      </c>
      <c r="U352" s="25" t="s">
        <v>1</v>
      </c>
      <c r="V352" s="25" t="s">
        <v>1</v>
      </c>
      <c r="W352" s="25" t="s">
        <v>1</v>
      </c>
      <c r="X352" s="25" t="s">
        <v>1</v>
      </c>
      <c r="Y352" s="25" t="s">
        <v>1</v>
      </c>
      <c r="Z352" s="25" t="s">
        <v>1</v>
      </c>
      <c r="AA352" s="1" t="s">
        <v>2383</v>
      </c>
    </row>
    <row r="353" spans="2:27">
      <c r="B353" s="1" t="s">
        <v>2382</v>
      </c>
      <c r="C353" s="26" t="s">
        <v>2190</v>
      </c>
      <c r="D353" s="3">
        <v>200</v>
      </c>
      <c r="E353" s="1" t="s">
        <v>8</v>
      </c>
      <c r="F353" s="3">
        <v>30</v>
      </c>
      <c r="G353" s="4">
        <v>43178</v>
      </c>
      <c r="H353" s="1" t="s">
        <v>2381</v>
      </c>
      <c r="I353" s="1" t="s">
        <v>2380</v>
      </c>
      <c r="J353" s="1" t="s">
        <v>2091</v>
      </c>
      <c r="K353" s="1" t="s">
        <v>2129</v>
      </c>
      <c r="L353" s="1">
        <v>2000</v>
      </c>
      <c r="M353" s="1" t="s">
        <v>2379</v>
      </c>
      <c r="N353" s="1" t="s">
        <v>2378</v>
      </c>
      <c r="O353" s="25" t="s">
        <v>8</v>
      </c>
      <c r="P353" s="25">
        <v>40</v>
      </c>
      <c r="Q353" s="25" t="s">
        <v>2377</v>
      </c>
      <c r="R353" s="25" t="s">
        <v>1</v>
      </c>
      <c r="S353" s="25" t="s">
        <v>1</v>
      </c>
      <c r="T353" s="25" t="s">
        <v>1</v>
      </c>
      <c r="U353" s="25" t="s">
        <v>1</v>
      </c>
      <c r="V353" s="25" t="s">
        <v>1</v>
      </c>
      <c r="W353" s="25" t="s">
        <v>1</v>
      </c>
      <c r="X353" s="25" t="s">
        <v>1</v>
      </c>
      <c r="Y353" s="25" t="s">
        <v>1</v>
      </c>
      <c r="Z353" s="25" t="s">
        <v>1</v>
      </c>
      <c r="AA353" s="1" t="s">
        <v>2376</v>
      </c>
    </row>
    <row r="354" spans="2:27">
      <c r="B354" s="1" t="s">
        <v>2375</v>
      </c>
      <c r="C354" s="26" t="s">
        <v>1729</v>
      </c>
      <c r="D354" s="3">
        <v>150</v>
      </c>
      <c r="E354" s="1" t="s">
        <v>18</v>
      </c>
      <c r="F354" s="3">
        <v>30</v>
      </c>
      <c r="G354" s="4">
        <v>44251</v>
      </c>
      <c r="H354" s="1" t="s">
        <v>2374</v>
      </c>
      <c r="I354" s="1" t="s">
        <v>2373</v>
      </c>
      <c r="J354" s="1" t="s">
        <v>2091</v>
      </c>
      <c r="K354" s="1" t="s">
        <v>2372</v>
      </c>
      <c r="L354" s="1">
        <v>2014</v>
      </c>
      <c r="N354" s="1" t="s">
        <v>2371</v>
      </c>
      <c r="O354" s="25" t="s">
        <v>1</v>
      </c>
      <c r="P354" s="25" t="s">
        <v>1</v>
      </c>
      <c r="Q354" s="25" t="s">
        <v>1</v>
      </c>
      <c r="R354" s="25" t="s">
        <v>1</v>
      </c>
      <c r="S354" s="25" t="s">
        <v>1</v>
      </c>
      <c r="T354" s="25" t="s">
        <v>1</v>
      </c>
      <c r="U354" s="25" t="s">
        <v>1</v>
      </c>
      <c r="V354" s="25" t="s">
        <v>1</v>
      </c>
      <c r="W354" s="25" t="s">
        <v>1</v>
      </c>
      <c r="X354" s="25" t="s">
        <v>1</v>
      </c>
      <c r="Y354" s="25" t="s">
        <v>1</v>
      </c>
      <c r="Z354" s="25" t="s">
        <v>1</v>
      </c>
      <c r="AA354" s="1" t="s">
        <v>2094</v>
      </c>
    </row>
    <row r="355" spans="2:27">
      <c r="B355" s="1" t="s">
        <v>2370</v>
      </c>
      <c r="C355" s="26" t="s">
        <v>1729</v>
      </c>
      <c r="D355" s="3" t="s">
        <v>1</v>
      </c>
      <c r="E355" s="1" t="s">
        <v>285</v>
      </c>
      <c r="F355" s="3" t="s">
        <v>1</v>
      </c>
      <c r="G355" s="3" t="s">
        <v>1</v>
      </c>
      <c r="I355" s="1" t="s">
        <v>2369</v>
      </c>
      <c r="J355" s="1" t="s">
        <v>2368</v>
      </c>
      <c r="K355" s="1" t="s">
        <v>2108</v>
      </c>
      <c r="L355" s="1">
        <v>2022</v>
      </c>
      <c r="N355" s="30" t="s">
        <v>1</v>
      </c>
      <c r="O355" s="30" t="s">
        <v>1</v>
      </c>
      <c r="P355" s="30" t="s">
        <v>1</v>
      </c>
      <c r="Q355" s="30" t="s">
        <v>1</v>
      </c>
      <c r="R355" s="30" t="s">
        <v>1</v>
      </c>
      <c r="S355" s="30" t="s">
        <v>1</v>
      </c>
      <c r="T355" s="30" t="s">
        <v>1</v>
      </c>
      <c r="U355" s="30" t="s">
        <v>1</v>
      </c>
      <c r="V355" s="30" t="s">
        <v>1</v>
      </c>
      <c r="W355" s="30" t="s">
        <v>1</v>
      </c>
      <c r="X355" s="30" t="s">
        <v>1</v>
      </c>
      <c r="Y355" s="30" t="s">
        <v>1</v>
      </c>
      <c r="Z355" s="30" t="s">
        <v>1</v>
      </c>
      <c r="AA355" s="1" t="s">
        <v>2367</v>
      </c>
    </row>
    <row r="356" spans="2:27">
      <c r="B356" s="1" t="s">
        <v>2366</v>
      </c>
      <c r="C356" s="26" t="s">
        <v>2190</v>
      </c>
      <c r="D356" s="3" t="s">
        <v>1</v>
      </c>
      <c r="E356" s="30" t="s">
        <v>1</v>
      </c>
      <c r="F356" s="3">
        <v>150</v>
      </c>
      <c r="G356" s="2">
        <v>2016</v>
      </c>
      <c r="H356" s="1" t="s">
        <v>2365</v>
      </c>
      <c r="I356" s="1" t="s">
        <v>1</v>
      </c>
      <c r="J356" s="1" t="s">
        <v>2091</v>
      </c>
      <c r="K356" s="1" t="s">
        <v>2364</v>
      </c>
      <c r="L356" s="1">
        <v>2016</v>
      </c>
      <c r="N356" s="1" t="s">
        <v>1</v>
      </c>
      <c r="O356" s="25" t="s">
        <v>1</v>
      </c>
      <c r="P356" s="25" t="s">
        <v>1</v>
      </c>
      <c r="Q356" s="25" t="s">
        <v>1</v>
      </c>
      <c r="R356" s="25" t="s">
        <v>1</v>
      </c>
      <c r="S356" s="25" t="s">
        <v>1</v>
      </c>
      <c r="T356" s="25" t="s">
        <v>1</v>
      </c>
      <c r="U356" s="25" t="s">
        <v>1</v>
      </c>
      <c r="V356" s="25" t="s">
        <v>1</v>
      </c>
      <c r="W356" s="25" t="s">
        <v>1</v>
      </c>
      <c r="X356" s="25" t="s">
        <v>1</v>
      </c>
      <c r="Y356" s="25" t="s">
        <v>1</v>
      </c>
      <c r="Z356" s="25" t="s">
        <v>1</v>
      </c>
      <c r="AA356" s="1" t="s">
        <v>2204</v>
      </c>
    </row>
    <row r="357" spans="2:27">
      <c r="B357" s="1" t="s">
        <v>2363</v>
      </c>
      <c r="C357" s="26" t="s">
        <v>1729</v>
      </c>
      <c r="D357" s="3" t="s">
        <v>1</v>
      </c>
      <c r="E357" s="1" t="s">
        <v>285</v>
      </c>
      <c r="F357" s="3" t="s">
        <v>1</v>
      </c>
      <c r="G357" s="2" t="s">
        <v>1</v>
      </c>
      <c r="H357" s="1" t="s">
        <v>2362</v>
      </c>
      <c r="I357" s="1" t="s">
        <v>1</v>
      </c>
      <c r="J357" s="1" t="s">
        <v>2361</v>
      </c>
      <c r="K357" s="1" t="s">
        <v>2360</v>
      </c>
      <c r="L357" s="1">
        <v>2022</v>
      </c>
      <c r="N357" s="1" t="s">
        <v>2359</v>
      </c>
      <c r="O357" s="1" t="s">
        <v>1</v>
      </c>
      <c r="P357" s="1" t="s">
        <v>1</v>
      </c>
      <c r="Q357" s="1" t="s">
        <v>1</v>
      </c>
      <c r="R357" s="1" t="s">
        <v>1</v>
      </c>
      <c r="S357" s="1" t="s">
        <v>1</v>
      </c>
      <c r="T357" s="1" t="s">
        <v>1</v>
      </c>
      <c r="U357" s="1" t="s">
        <v>1</v>
      </c>
      <c r="V357" s="1" t="s">
        <v>1</v>
      </c>
      <c r="W357" s="1" t="s">
        <v>1</v>
      </c>
      <c r="X357" s="1" t="s">
        <v>1</v>
      </c>
      <c r="Y357" s="1" t="s">
        <v>1</v>
      </c>
      <c r="Z357" s="1" t="s">
        <v>1</v>
      </c>
      <c r="AA357" s="1" t="s">
        <v>2358</v>
      </c>
    </row>
    <row r="358" spans="2:27">
      <c r="B358" s="1" t="s">
        <v>2357</v>
      </c>
      <c r="C358" s="26" t="s">
        <v>1729</v>
      </c>
      <c r="D358" s="3" t="s">
        <v>1729</v>
      </c>
      <c r="E358" s="3" t="s">
        <v>1729</v>
      </c>
      <c r="F358" s="3" t="s">
        <v>1729</v>
      </c>
      <c r="G358" s="3" t="s">
        <v>1729</v>
      </c>
      <c r="H358" s="1" t="s">
        <v>2356</v>
      </c>
      <c r="I358" s="1" t="s">
        <v>1</v>
      </c>
      <c r="J358" s="1" t="s">
        <v>2091</v>
      </c>
      <c r="K358" s="1" t="s">
        <v>2355</v>
      </c>
      <c r="L358" s="1">
        <v>2014</v>
      </c>
      <c r="N358" s="1" t="s">
        <v>1</v>
      </c>
      <c r="O358" s="1" t="s">
        <v>1</v>
      </c>
      <c r="P358" s="1" t="s">
        <v>1</v>
      </c>
      <c r="Q358" s="1" t="s">
        <v>1</v>
      </c>
      <c r="R358" s="1" t="s">
        <v>1</v>
      </c>
      <c r="S358" s="1" t="s">
        <v>1</v>
      </c>
      <c r="T358" s="1" t="s">
        <v>1</v>
      </c>
      <c r="U358" s="1" t="s">
        <v>1</v>
      </c>
      <c r="V358" s="1" t="s">
        <v>1</v>
      </c>
      <c r="W358" s="1" t="s">
        <v>1</v>
      </c>
      <c r="X358" s="1" t="s">
        <v>1</v>
      </c>
      <c r="Y358" s="1" t="s">
        <v>1</v>
      </c>
      <c r="Z358" s="1" t="s">
        <v>1</v>
      </c>
      <c r="AA358" s="1" t="s">
        <v>2094</v>
      </c>
    </row>
    <row r="359" spans="2:27">
      <c r="B359" s="1" t="s">
        <v>2354</v>
      </c>
      <c r="C359" s="26" t="s">
        <v>1729</v>
      </c>
      <c r="D359" s="3" t="s">
        <v>1</v>
      </c>
      <c r="E359" s="3" t="s">
        <v>1</v>
      </c>
      <c r="F359" s="3" t="s">
        <v>1</v>
      </c>
      <c r="G359" s="3" t="s">
        <v>1</v>
      </c>
      <c r="H359" s="1" t="s">
        <v>2353</v>
      </c>
      <c r="I359" s="1" t="s">
        <v>2352</v>
      </c>
      <c r="J359" s="1" t="s">
        <v>2091</v>
      </c>
      <c r="K359" s="1" t="s">
        <v>2351</v>
      </c>
      <c r="L359" s="1">
        <v>2022</v>
      </c>
      <c r="M359" s="28" t="s">
        <v>2350</v>
      </c>
      <c r="N359" s="1" t="s">
        <v>1</v>
      </c>
      <c r="O359" s="1" t="s">
        <v>1</v>
      </c>
      <c r="P359" s="1" t="s">
        <v>1</v>
      </c>
      <c r="Q359" s="1" t="s">
        <v>1</v>
      </c>
      <c r="R359" s="1" t="s">
        <v>1</v>
      </c>
      <c r="S359" s="1" t="s">
        <v>1</v>
      </c>
      <c r="T359" s="1" t="s">
        <v>1</v>
      </c>
      <c r="U359" s="1" t="s">
        <v>1</v>
      </c>
      <c r="V359" s="1" t="s">
        <v>1</v>
      </c>
      <c r="W359" s="1" t="s">
        <v>1</v>
      </c>
      <c r="X359" s="1" t="s">
        <v>1</v>
      </c>
      <c r="Y359" s="1" t="s">
        <v>1</v>
      </c>
      <c r="Z359" s="1" t="s">
        <v>1</v>
      </c>
      <c r="AA359" s="1" t="s">
        <v>2101</v>
      </c>
    </row>
    <row r="360" spans="2:27">
      <c r="B360" s="1" t="s">
        <v>2349</v>
      </c>
      <c r="C360" s="26" t="s">
        <v>1729</v>
      </c>
      <c r="D360" s="3" t="s">
        <v>1</v>
      </c>
      <c r="E360" s="3" t="s">
        <v>1</v>
      </c>
      <c r="F360" s="3" t="s">
        <v>1</v>
      </c>
      <c r="G360" s="3" t="s">
        <v>1</v>
      </c>
      <c r="H360" s="1" t="s">
        <v>2348</v>
      </c>
      <c r="I360" s="1" t="s">
        <v>2347</v>
      </c>
      <c r="J360" s="1" t="s">
        <v>2091</v>
      </c>
      <c r="K360" s="1" t="s">
        <v>2108</v>
      </c>
      <c r="L360" s="1">
        <v>2019</v>
      </c>
      <c r="N360" s="1" t="s">
        <v>1</v>
      </c>
      <c r="O360" s="1" t="s">
        <v>1</v>
      </c>
      <c r="P360" s="1" t="s">
        <v>1</v>
      </c>
      <c r="Q360" s="1" t="s">
        <v>1</v>
      </c>
      <c r="R360" s="1" t="s">
        <v>1</v>
      </c>
      <c r="S360" s="1" t="s">
        <v>1</v>
      </c>
      <c r="T360" s="1" t="s">
        <v>1</v>
      </c>
      <c r="U360" s="1" t="s">
        <v>1</v>
      </c>
      <c r="V360" s="1" t="s">
        <v>1</v>
      </c>
      <c r="W360" s="1" t="s">
        <v>1</v>
      </c>
      <c r="X360" s="1" t="s">
        <v>1</v>
      </c>
      <c r="Y360" s="1" t="s">
        <v>1</v>
      </c>
      <c r="Z360" s="1" t="s">
        <v>1</v>
      </c>
      <c r="AA360" s="1" t="s">
        <v>2124</v>
      </c>
    </row>
    <row r="361" spans="2:27">
      <c r="B361" s="1" t="s">
        <v>2346</v>
      </c>
      <c r="C361" s="26" t="s">
        <v>1729</v>
      </c>
      <c r="D361" s="3">
        <v>20</v>
      </c>
      <c r="E361" s="1" t="s">
        <v>5</v>
      </c>
      <c r="F361" s="3">
        <v>4</v>
      </c>
      <c r="G361" s="4">
        <v>44531</v>
      </c>
      <c r="H361" s="1" t="s">
        <v>2345</v>
      </c>
      <c r="I361" s="1" t="s">
        <v>2344</v>
      </c>
      <c r="J361" s="1" t="s">
        <v>2091</v>
      </c>
      <c r="K361" s="1" t="s">
        <v>2343</v>
      </c>
      <c r="L361" s="1">
        <v>2018</v>
      </c>
      <c r="N361" s="1" t="s">
        <v>1</v>
      </c>
      <c r="O361" s="1" t="s">
        <v>4</v>
      </c>
      <c r="P361" s="25">
        <v>1.5</v>
      </c>
      <c r="Q361" s="1" t="s">
        <v>1</v>
      </c>
      <c r="R361" s="1" t="s">
        <v>285</v>
      </c>
      <c r="S361" s="25">
        <v>0.3</v>
      </c>
      <c r="T361" s="1" t="s">
        <v>1</v>
      </c>
      <c r="U361" s="1" t="s">
        <v>1</v>
      </c>
      <c r="V361" s="1" t="s">
        <v>1</v>
      </c>
      <c r="W361" s="1" t="s">
        <v>1</v>
      </c>
      <c r="X361" s="1" t="s">
        <v>1</v>
      </c>
      <c r="Y361" s="1" t="s">
        <v>1</v>
      </c>
      <c r="Z361" s="1" t="s">
        <v>1</v>
      </c>
      <c r="AA361" s="1" t="s">
        <v>2342</v>
      </c>
    </row>
    <row r="362" spans="2:27">
      <c r="B362" s="1" t="s">
        <v>2341</v>
      </c>
      <c r="C362" s="26" t="s">
        <v>1729</v>
      </c>
      <c r="D362" s="3" t="s">
        <v>1</v>
      </c>
      <c r="E362" s="3" t="s">
        <v>1</v>
      </c>
      <c r="F362" s="3" t="s">
        <v>1</v>
      </c>
      <c r="G362" s="3" t="s">
        <v>1</v>
      </c>
      <c r="H362" s="1" t="s">
        <v>2340</v>
      </c>
      <c r="J362" s="1" t="s">
        <v>1</v>
      </c>
      <c r="K362" s="1" t="s">
        <v>1</v>
      </c>
      <c r="L362" s="1">
        <v>2018</v>
      </c>
      <c r="N362" s="1" t="s">
        <v>2339</v>
      </c>
      <c r="O362" s="25" t="s">
        <v>1</v>
      </c>
      <c r="P362" s="25" t="s">
        <v>1</v>
      </c>
      <c r="Q362" s="25" t="s">
        <v>1</v>
      </c>
      <c r="R362" s="25" t="s">
        <v>1</v>
      </c>
      <c r="S362" s="25" t="s">
        <v>1</v>
      </c>
      <c r="T362" s="25" t="s">
        <v>1</v>
      </c>
      <c r="U362" s="25" t="s">
        <v>1</v>
      </c>
      <c r="V362" s="25" t="s">
        <v>1</v>
      </c>
      <c r="W362" s="25" t="s">
        <v>1</v>
      </c>
      <c r="X362" s="25" t="s">
        <v>1</v>
      </c>
      <c r="Y362" s="25" t="s">
        <v>1</v>
      </c>
      <c r="Z362" s="25" t="s">
        <v>1</v>
      </c>
      <c r="AA362" s="1" t="s">
        <v>2338</v>
      </c>
    </row>
    <row r="363" spans="2:27">
      <c r="B363" s="1" t="s">
        <v>2337</v>
      </c>
      <c r="C363" s="26" t="s">
        <v>1729</v>
      </c>
      <c r="D363" s="3">
        <v>50</v>
      </c>
      <c r="E363" s="1" t="s">
        <v>5</v>
      </c>
      <c r="F363" s="3">
        <v>22</v>
      </c>
      <c r="G363" s="4">
        <v>45072</v>
      </c>
      <c r="H363" s="1" t="s">
        <v>2336</v>
      </c>
      <c r="I363" s="1" t="s">
        <v>2335</v>
      </c>
      <c r="J363" s="1" t="s">
        <v>2147</v>
      </c>
      <c r="K363" s="1" t="s">
        <v>2334</v>
      </c>
      <c r="L363" s="1">
        <v>2018</v>
      </c>
      <c r="N363" s="1" t="s">
        <v>2333</v>
      </c>
      <c r="O363" s="25" t="s">
        <v>4</v>
      </c>
      <c r="P363" s="25">
        <v>23.6</v>
      </c>
      <c r="Q363" s="25" t="s">
        <v>2332</v>
      </c>
      <c r="R363" s="25" t="s">
        <v>4</v>
      </c>
      <c r="S363" s="25">
        <v>4.5</v>
      </c>
      <c r="T363" s="25" t="s">
        <v>2331</v>
      </c>
      <c r="U363" s="25" t="s">
        <v>1</v>
      </c>
      <c r="V363" s="25" t="s">
        <v>1</v>
      </c>
      <c r="W363" s="25" t="s">
        <v>1</v>
      </c>
      <c r="X363" s="25" t="s">
        <v>1</v>
      </c>
      <c r="Y363" s="25" t="s">
        <v>1</v>
      </c>
      <c r="Z363" s="25" t="s">
        <v>1</v>
      </c>
      <c r="AA363" s="1" t="s">
        <v>2330</v>
      </c>
    </row>
    <row r="364" spans="2:27">
      <c r="B364" s="1" t="s">
        <v>2329</v>
      </c>
      <c r="C364" s="26" t="s">
        <v>1729</v>
      </c>
      <c r="D364" s="3">
        <v>50</v>
      </c>
      <c r="E364" s="1" t="s">
        <v>5</v>
      </c>
      <c r="F364" s="3">
        <v>20</v>
      </c>
      <c r="G364" s="4">
        <v>44396</v>
      </c>
      <c r="H364" s="1" t="s">
        <v>2328</v>
      </c>
      <c r="I364" s="1" t="s">
        <v>2327</v>
      </c>
      <c r="J364" s="1" t="s">
        <v>2091</v>
      </c>
      <c r="K364" s="1" t="s">
        <v>2108</v>
      </c>
      <c r="L364" s="1">
        <v>2013</v>
      </c>
      <c r="N364" s="1" t="s">
        <v>2326</v>
      </c>
      <c r="O364" s="25" t="s">
        <v>4</v>
      </c>
      <c r="P364" s="25" t="s">
        <v>1</v>
      </c>
      <c r="Q364" s="25" t="s">
        <v>2325</v>
      </c>
      <c r="R364" s="25" t="s">
        <v>1</v>
      </c>
      <c r="S364" s="25" t="s">
        <v>1</v>
      </c>
      <c r="T364" s="25" t="s">
        <v>1</v>
      </c>
      <c r="U364" s="25" t="s">
        <v>1</v>
      </c>
      <c r="V364" s="25" t="s">
        <v>1</v>
      </c>
      <c r="W364" s="25" t="s">
        <v>1</v>
      </c>
      <c r="X364" s="25" t="s">
        <v>1</v>
      </c>
      <c r="Y364" s="25" t="s">
        <v>1</v>
      </c>
      <c r="Z364" s="25" t="s">
        <v>1</v>
      </c>
      <c r="AA364" s="1" t="s">
        <v>2124</v>
      </c>
    </row>
    <row r="365" spans="2:27">
      <c r="B365" s="1" t="s">
        <v>2324</v>
      </c>
      <c r="C365" s="26" t="s">
        <v>1729</v>
      </c>
      <c r="D365" s="3">
        <v>50</v>
      </c>
      <c r="E365" s="1" t="s">
        <v>7</v>
      </c>
      <c r="F365" s="3">
        <v>20</v>
      </c>
      <c r="G365" s="4">
        <v>44792</v>
      </c>
      <c r="H365" s="1" t="s">
        <v>2323</v>
      </c>
      <c r="I365" s="1" t="s">
        <v>1</v>
      </c>
      <c r="J365" s="1" t="s">
        <v>2091</v>
      </c>
      <c r="K365" s="1" t="s">
        <v>2108</v>
      </c>
      <c r="L365" s="1">
        <v>2018</v>
      </c>
      <c r="M365" s="1" t="s">
        <v>2322</v>
      </c>
      <c r="AA365" s="1" t="s">
        <v>2321</v>
      </c>
    </row>
    <row r="366" spans="2:27">
      <c r="B366" s="1" t="s">
        <v>2317</v>
      </c>
      <c r="C366" s="26" t="s">
        <v>1729</v>
      </c>
      <c r="D366" s="3">
        <v>20</v>
      </c>
      <c r="E366" s="1" t="s">
        <v>4</v>
      </c>
      <c r="F366" s="3">
        <v>1.5</v>
      </c>
      <c r="G366" s="4">
        <v>45028</v>
      </c>
      <c r="H366" s="1" t="s">
        <v>2316</v>
      </c>
      <c r="I366" s="1" t="s">
        <v>2315</v>
      </c>
      <c r="J366" s="1" t="s">
        <v>2147</v>
      </c>
      <c r="K366" s="1" t="s">
        <v>2314</v>
      </c>
      <c r="L366" s="1">
        <v>2014</v>
      </c>
      <c r="N366" s="1" t="s">
        <v>2313</v>
      </c>
      <c r="O366" s="25" t="s">
        <v>1</v>
      </c>
      <c r="P366" s="25" t="s">
        <v>1</v>
      </c>
      <c r="Q366" s="25" t="s">
        <v>1</v>
      </c>
      <c r="R366" s="25" t="s">
        <v>1</v>
      </c>
      <c r="S366" s="25" t="s">
        <v>1</v>
      </c>
      <c r="T366" s="25" t="s">
        <v>1</v>
      </c>
      <c r="U366" s="25" t="s">
        <v>1</v>
      </c>
      <c r="V366" s="25" t="s">
        <v>1</v>
      </c>
      <c r="W366" s="25" t="s">
        <v>1</v>
      </c>
      <c r="X366" s="25" t="s">
        <v>1</v>
      </c>
      <c r="Y366" s="25" t="s">
        <v>1</v>
      </c>
      <c r="Z366" s="25" t="s">
        <v>1</v>
      </c>
      <c r="AA366" s="1" t="s">
        <v>2312</v>
      </c>
    </row>
    <row r="367" spans="2:27">
      <c r="B367" s="1" t="s">
        <v>2311</v>
      </c>
      <c r="C367" s="26" t="s">
        <v>1729</v>
      </c>
      <c r="D367" s="3">
        <v>60</v>
      </c>
      <c r="E367" s="1" t="s">
        <v>5</v>
      </c>
      <c r="F367" s="3">
        <v>12</v>
      </c>
      <c r="G367" s="4">
        <v>43207</v>
      </c>
      <c r="H367" s="1" t="s">
        <v>2310</v>
      </c>
      <c r="I367" s="1" t="s">
        <v>2309</v>
      </c>
      <c r="J367" s="1" t="s">
        <v>2091</v>
      </c>
      <c r="K367" s="1" t="s">
        <v>2308</v>
      </c>
      <c r="L367" s="1">
        <v>2014</v>
      </c>
      <c r="M367" s="1" t="s">
        <v>2307</v>
      </c>
      <c r="N367" s="1" t="s">
        <v>2306</v>
      </c>
      <c r="AA367" s="1" t="s">
        <v>2097</v>
      </c>
    </row>
    <row r="368" spans="2:27">
      <c r="B368" s="1" t="s">
        <v>2305</v>
      </c>
      <c r="C368" s="26" t="s">
        <v>1729</v>
      </c>
      <c r="D368" s="3">
        <v>50</v>
      </c>
      <c r="E368" s="1" t="s">
        <v>5</v>
      </c>
      <c r="F368" s="3">
        <v>15</v>
      </c>
      <c r="G368" s="4">
        <v>43879</v>
      </c>
      <c r="H368" s="1" t="s">
        <v>2303</v>
      </c>
      <c r="I368" s="1" t="s">
        <v>2304</v>
      </c>
      <c r="J368" s="1" t="s">
        <v>2091</v>
      </c>
      <c r="K368" s="1" t="s">
        <v>2303</v>
      </c>
      <c r="L368" s="1">
        <v>2016</v>
      </c>
      <c r="M368" s="1" t="s">
        <v>2302</v>
      </c>
      <c r="N368" s="1" t="s">
        <v>2301</v>
      </c>
      <c r="O368" s="25" t="s">
        <v>2300</v>
      </c>
      <c r="P368" s="25" t="s">
        <v>2299</v>
      </c>
      <c r="Q368" s="25" t="s">
        <v>1</v>
      </c>
      <c r="R368" s="25" t="s">
        <v>1</v>
      </c>
      <c r="S368" s="25" t="s">
        <v>1</v>
      </c>
      <c r="T368" s="25" t="s">
        <v>1</v>
      </c>
      <c r="U368" s="25" t="s">
        <v>1</v>
      </c>
      <c r="V368" s="25" t="s">
        <v>1</v>
      </c>
      <c r="W368" s="25" t="s">
        <v>1</v>
      </c>
      <c r="X368" s="25" t="s">
        <v>1</v>
      </c>
      <c r="Y368" s="25" t="s">
        <v>1</v>
      </c>
      <c r="Z368" s="25" t="s">
        <v>1</v>
      </c>
      <c r="AA368" s="1" t="s">
        <v>2298</v>
      </c>
    </row>
    <row r="369" spans="2:28">
      <c r="B369" s="1" t="s">
        <v>2297</v>
      </c>
      <c r="C369" s="26" t="s">
        <v>1729</v>
      </c>
      <c r="D369" s="3" t="s">
        <v>1</v>
      </c>
      <c r="E369" s="30" t="s">
        <v>1</v>
      </c>
      <c r="F369" s="3" t="s">
        <v>1</v>
      </c>
      <c r="G369" s="3" t="s">
        <v>1</v>
      </c>
      <c r="H369" s="1" t="s">
        <v>2296</v>
      </c>
      <c r="I369" s="1" t="s">
        <v>1</v>
      </c>
      <c r="J369" s="1" t="s">
        <v>2091</v>
      </c>
      <c r="K369" s="1" t="s">
        <v>2295</v>
      </c>
      <c r="L369" s="1">
        <v>2022</v>
      </c>
      <c r="N369" s="30" t="s">
        <v>1</v>
      </c>
      <c r="O369" s="30" t="s">
        <v>1</v>
      </c>
      <c r="P369" s="30" t="s">
        <v>1</v>
      </c>
      <c r="Q369" s="30" t="s">
        <v>1</v>
      </c>
      <c r="R369" s="30" t="s">
        <v>1</v>
      </c>
      <c r="S369" s="30" t="s">
        <v>1</v>
      </c>
      <c r="T369" s="30" t="s">
        <v>1</v>
      </c>
      <c r="U369" s="30" t="s">
        <v>1</v>
      </c>
      <c r="V369" s="30" t="s">
        <v>1</v>
      </c>
      <c r="W369" s="30" t="s">
        <v>1</v>
      </c>
      <c r="X369" s="30" t="s">
        <v>1</v>
      </c>
      <c r="Y369" s="30" t="s">
        <v>1</v>
      </c>
      <c r="Z369" s="30" t="s">
        <v>1</v>
      </c>
      <c r="AA369" s="1" t="s">
        <v>2294</v>
      </c>
    </row>
    <row r="370" spans="2:28">
      <c r="B370" s="1" t="s">
        <v>2289</v>
      </c>
      <c r="C370" s="26" t="s">
        <v>1729</v>
      </c>
      <c r="D370" s="3">
        <v>20</v>
      </c>
      <c r="E370" s="25" t="s">
        <v>4</v>
      </c>
      <c r="F370" s="3">
        <v>2.2999999999999998</v>
      </c>
      <c r="G370" s="31">
        <v>42782</v>
      </c>
      <c r="H370" s="1" t="s">
        <v>2288</v>
      </c>
      <c r="I370" s="1" t="s">
        <v>2287</v>
      </c>
      <c r="J370" s="1" t="s">
        <v>2091</v>
      </c>
      <c r="K370" s="1" t="s">
        <v>2279</v>
      </c>
      <c r="L370" s="1">
        <v>2012</v>
      </c>
      <c r="M370" s="1" t="s">
        <v>2286</v>
      </c>
      <c r="N370" s="1" t="s">
        <v>1</v>
      </c>
      <c r="O370" s="1" t="s">
        <v>1</v>
      </c>
      <c r="P370" s="1" t="s">
        <v>1</v>
      </c>
      <c r="Q370" s="1" t="s">
        <v>1</v>
      </c>
      <c r="R370" s="1" t="s">
        <v>1</v>
      </c>
      <c r="S370" s="1" t="s">
        <v>1</v>
      </c>
      <c r="T370" s="1" t="s">
        <v>1</v>
      </c>
      <c r="U370" s="1" t="s">
        <v>1</v>
      </c>
      <c r="V370" s="1" t="s">
        <v>1</v>
      </c>
      <c r="W370" s="1" t="s">
        <v>1</v>
      </c>
      <c r="X370" s="1" t="s">
        <v>1</v>
      </c>
      <c r="Y370" s="1" t="s">
        <v>1</v>
      </c>
      <c r="Z370" s="1" t="s">
        <v>1</v>
      </c>
      <c r="AA370" s="1" t="s">
        <v>2251</v>
      </c>
    </row>
    <row r="371" spans="2:28">
      <c r="B371" s="1" t="s">
        <v>2285</v>
      </c>
      <c r="C371" s="26" t="s">
        <v>1729</v>
      </c>
      <c r="D371" s="3">
        <v>10</v>
      </c>
      <c r="E371" s="25" t="s">
        <v>285</v>
      </c>
      <c r="F371" s="3">
        <v>0.5</v>
      </c>
      <c r="G371" s="4">
        <v>44470</v>
      </c>
      <c r="H371" s="1" t="s">
        <v>2284</v>
      </c>
      <c r="I371" s="1" t="s">
        <v>1</v>
      </c>
      <c r="J371" s="1" t="s">
        <v>2091</v>
      </c>
      <c r="K371" s="1" t="s">
        <v>2283</v>
      </c>
      <c r="L371" s="1">
        <v>2013</v>
      </c>
      <c r="N371" s="1" t="s">
        <v>2282</v>
      </c>
      <c r="O371" s="25" t="s">
        <v>1</v>
      </c>
      <c r="P371" s="25" t="s">
        <v>1</v>
      </c>
      <c r="Q371" s="25" t="s">
        <v>1</v>
      </c>
      <c r="R371" s="25" t="s">
        <v>1</v>
      </c>
      <c r="S371" s="25" t="s">
        <v>1</v>
      </c>
      <c r="T371" s="25" t="s">
        <v>1</v>
      </c>
      <c r="U371" s="25" t="s">
        <v>1</v>
      </c>
      <c r="V371" s="25" t="s">
        <v>1</v>
      </c>
      <c r="W371" s="25" t="s">
        <v>1</v>
      </c>
      <c r="X371" s="25" t="s">
        <v>1</v>
      </c>
      <c r="Y371" s="25" t="s">
        <v>1</v>
      </c>
      <c r="Z371" s="25" t="s">
        <v>1</v>
      </c>
      <c r="AA371" s="1" t="s">
        <v>2132</v>
      </c>
    </row>
    <row r="372" spans="2:28">
      <c r="B372" s="1" t="s">
        <v>648</v>
      </c>
      <c r="C372" s="26" t="s">
        <v>1729</v>
      </c>
      <c r="D372" s="3">
        <v>10</v>
      </c>
      <c r="E372" s="25" t="s">
        <v>285</v>
      </c>
      <c r="F372" s="3">
        <v>0.12</v>
      </c>
      <c r="G372" s="4">
        <v>44082</v>
      </c>
      <c r="H372" s="1" t="s">
        <v>2281</v>
      </c>
      <c r="I372" s="1" t="s">
        <v>2280</v>
      </c>
      <c r="J372" s="1" t="s">
        <v>2091</v>
      </c>
      <c r="K372" s="1" t="s">
        <v>2279</v>
      </c>
      <c r="L372" s="1">
        <v>2019</v>
      </c>
      <c r="N372" s="1" t="s">
        <v>650</v>
      </c>
      <c r="O372" s="25" t="s">
        <v>2278</v>
      </c>
      <c r="P372" s="25">
        <v>1</v>
      </c>
      <c r="Q372" s="25" t="s">
        <v>2277</v>
      </c>
      <c r="R372" s="25" t="s">
        <v>1</v>
      </c>
      <c r="S372" s="25" t="s">
        <v>1</v>
      </c>
      <c r="T372" s="25" t="s">
        <v>1</v>
      </c>
      <c r="U372" s="25" t="s">
        <v>1</v>
      </c>
      <c r="V372" s="25" t="s">
        <v>1</v>
      </c>
      <c r="W372" s="25" t="s">
        <v>1</v>
      </c>
      <c r="X372" s="25" t="s">
        <v>1</v>
      </c>
      <c r="Y372" s="25" t="s">
        <v>1</v>
      </c>
      <c r="Z372" s="25" t="s">
        <v>1</v>
      </c>
      <c r="AA372" s="1" t="s">
        <v>2251</v>
      </c>
    </row>
    <row r="373" spans="2:28">
      <c r="B373" s="1" t="s">
        <v>2276</v>
      </c>
      <c r="C373" s="26" t="s">
        <v>1729</v>
      </c>
      <c r="D373" s="3">
        <v>100</v>
      </c>
      <c r="E373" s="25" t="s">
        <v>7</v>
      </c>
      <c r="F373" s="3">
        <v>55</v>
      </c>
      <c r="H373" s="1" t="s">
        <v>2275</v>
      </c>
      <c r="I373" s="1" t="s">
        <v>2274</v>
      </c>
      <c r="J373" s="1" t="s">
        <v>2273</v>
      </c>
      <c r="K373" s="1" t="s">
        <v>2273</v>
      </c>
      <c r="L373" s="1">
        <v>2018</v>
      </c>
      <c r="M373" s="1" t="s">
        <v>2272</v>
      </c>
      <c r="N373" s="1" t="s">
        <v>2271</v>
      </c>
      <c r="AA373" s="1" t="s">
        <v>2094</v>
      </c>
    </row>
    <row r="374" spans="2:28">
      <c r="B374" s="1" t="s">
        <v>2270</v>
      </c>
      <c r="C374" s="26" t="s">
        <v>2190</v>
      </c>
      <c r="D374" s="3">
        <v>100</v>
      </c>
      <c r="E374" s="1" t="s">
        <v>18</v>
      </c>
      <c r="F374" s="3">
        <v>20</v>
      </c>
      <c r="G374" s="4">
        <v>44734</v>
      </c>
      <c r="H374" s="1" t="s">
        <v>2269</v>
      </c>
      <c r="I374" s="1" t="s">
        <v>2268</v>
      </c>
      <c r="J374" s="1" t="s">
        <v>2091</v>
      </c>
      <c r="K374" s="1" t="s">
        <v>2256</v>
      </c>
      <c r="L374" s="2" t="s">
        <v>2267</v>
      </c>
      <c r="N374" s="1" t="s">
        <v>1</v>
      </c>
      <c r="O374" s="25" t="s">
        <v>18</v>
      </c>
      <c r="P374" s="25">
        <v>38</v>
      </c>
      <c r="Q374" s="25" t="s">
        <v>2266</v>
      </c>
      <c r="R374" s="25" t="s">
        <v>7</v>
      </c>
      <c r="S374" s="25">
        <v>6.9</v>
      </c>
      <c r="T374" s="25" t="s">
        <v>2264</v>
      </c>
      <c r="U374" s="25" t="s">
        <v>5</v>
      </c>
      <c r="V374" s="25" t="s">
        <v>2265</v>
      </c>
      <c r="W374" s="25" t="s">
        <v>2264</v>
      </c>
      <c r="X374" s="25" t="s">
        <v>1</v>
      </c>
      <c r="Y374" s="25" t="s">
        <v>1</v>
      </c>
      <c r="Z374" s="25" t="s">
        <v>1</v>
      </c>
      <c r="AA374" s="1" t="s">
        <v>2263</v>
      </c>
    </row>
    <row r="375" spans="2:28">
      <c r="B375" s="1" t="s">
        <v>2262</v>
      </c>
      <c r="C375" s="26" t="s">
        <v>2190</v>
      </c>
      <c r="D375" s="3">
        <v>20</v>
      </c>
      <c r="E375" s="25" t="s">
        <v>7</v>
      </c>
      <c r="F375" s="3">
        <v>1.6</v>
      </c>
      <c r="G375" s="4">
        <v>43661</v>
      </c>
      <c r="H375" s="1" t="s">
        <v>2261</v>
      </c>
      <c r="I375" s="1" t="s">
        <v>1</v>
      </c>
      <c r="J375" s="1" t="s">
        <v>1</v>
      </c>
      <c r="K375" s="1" t="s">
        <v>1</v>
      </c>
      <c r="L375" s="1">
        <v>2016</v>
      </c>
      <c r="M375" s="1" t="s">
        <v>1</v>
      </c>
      <c r="N375" s="1" t="s">
        <v>2260</v>
      </c>
      <c r="O375" s="25" t="s">
        <v>1</v>
      </c>
      <c r="P375" s="25" t="s">
        <v>1</v>
      </c>
      <c r="Q375" s="25" t="s">
        <v>1</v>
      </c>
      <c r="R375" s="25" t="s">
        <v>1</v>
      </c>
      <c r="S375" s="25" t="s">
        <v>1</v>
      </c>
      <c r="T375" s="25" t="s">
        <v>1</v>
      </c>
      <c r="U375" s="25" t="s">
        <v>1</v>
      </c>
      <c r="V375" s="25" t="s">
        <v>1</v>
      </c>
      <c r="W375" s="25" t="s">
        <v>1</v>
      </c>
      <c r="X375" s="25" t="s">
        <v>1</v>
      </c>
      <c r="Y375" s="25" t="s">
        <v>1</v>
      </c>
      <c r="Z375" s="25" t="s">
        <v>1</v>
      </c>
      <c r="AA375" s="1" t="s">
        <v>2259</v>
      </c>
    </row>
    <row r="376" spans="2:28">
      <c r="B376" s="1" t="s">
        <v>2258</v>
      </c>
      <c r="C376" s="26" t="s">
        <v>2190</v>
      </c>
      <c r="E376" s="25"/>
      <c r="H376" s="1" t="s">
        <v>2257</v>
      </c>
      <c r="I376" s="1" t="s">
        <v>1</v>
      </c>
      <c r="J376" s="1" t="s">
        <v>2091</v>
      </c>
      <c r="K376" s="1" t="s">
        <v>2256</v>
      </c>
      <c r="L376" s="1">
        <v>2014</v>
      </c>
      <c r="M376" s="1" t="s">
        <v>2255</v>
      </c>
    </row>
    <row r="377" spans="2:28">
      <c r="B377" s="1" t="s">
        <v>2254</v>
      </c>
      <c r="C377" s="26" t="s">
        <v>1729</v>
      </c>
      <c r="H377" s="1" t="s">
        <v>2253</v>
      </c>
      <c r="M377" s="1" t="s">
        <v>2252</v>
      </c>
      <c r="AA377" s="1" t="s">
        <v>2251</v>
      </c>
      <c r="AB377" s="28" t="s">
        <v>2250</v>
      </c>
    </row>
    <row r="378" spans="2:28">
      <c r="B378" s="1" t="s">
        <v>2249</v>
      </c>
      <c r="C378" s="26" t="s">
        <v>2190</v>
      </c>
      <c r="E378" s="25" t="s">
        <v>7</v>
      </c>
      <c r="F378" s="3">
        <v>30</v>
      </c>
      <c r="G378" s="4">
        <v>44252</v>
      </c>
      <c r="H378" s="1" t="s">
        <v>2129</v>
      </c>
      <c r="I378" s="1" t="s">
        <v>2248</v>
      </c>
      <c r="J378" s="1" t="s">
        <v>2091</v>
      </c>
      <c r="K378" s="1" t="s">
        <v>2129</v>
      </c>
      <c r="L378" s="1">
        <v>2017</v>
      </c>
      <c r="M378" s="1" t="s">
        <v>2247</v>
      </c>
      <c r="N378" s="1" t="s">
        <v>2246</v>
      </c>
      <c r="O378" s="25" t="s">
        <v>5</v>
      </c>
      <c r="P378" s="25">
        <v>16.5</v>
      </c>
      <c r="Q378" s="25" t="s">
        <v>2245</v>
      </c>
      <c r="R378" s="25" t="s">
        <v>1</v>
      </c>
      <c r="S378" s="25" t="s">
        <v>1</v>
      </c>
      <c r="T378" s="25" t="s">
        <v>1</v>
      </c>
      <c r="U378" s="25" t="s">
        <v>1</v>
      </c>
      <c r="V378" s="25" t="s">
        <v>1</v>
      </c>
      <c r="W378" s="25" t="s">
        <v>1</v>
      </c>
      <c r="X378" s="25" t="s">
        <v>1</v>
      </c>
      <c r="Y378" s="25" t="s">
        <v>1</v>
      </c>
      <c r="Z378" s="25" t="s">
        <v>1</v>
      </c>
      <c r="AA378" s="1" t="s">
        <v>2244</v>
      </c>
    </row>
    <row r="379" spans="2:28">
      <c r="B379" s="1" t="s">
        <v>354</v>
      </c>
      <c r="C379" s="26" t="s">
        <v>2202</v>
      </c>
      <c r="D379" s="3">
        <v>30</v>
      </c>
      <c r="E379" s="25" t="s">
        <v>4</v>
      </c>
      <c r="F379" s="3">
        <v>3.5</v>
      </c>
      <c r="G379" s="4">
        <v>43046</v>
      </c>
      <c r="I379" s="1" t="s">
        <v>2243</v>
      </c>
      <c r="J379" s="1" t="s">
        <v>2091</v>
      </c>
      <c r="K379" s="1" t="s">
        <v>2177</v>
      </c>
      <c r="L379" s="2" t="s">
        <v>2242</v>
      </c>
      <c r="N379" s="1" t="s">
        <v>2241</v>
      </c>
      <c r="AA379" s="1" t="s">
        <v>2094</v>
      </c>
    </row>
    <row r="380" spans="2:28">
      <c r="B380" s="1" t="s">
        <v>2240</v>
      </c>
      <c r="C380" s="26" t="s">
        <v>1729</v>
      </c>
      <c r="D380" s="3">
        <v>25</v>
      </c>
      <c r="E380" s="1" t="s">
        <v>4</v>
      </c>
      <c r="F380" s="3">
        <v>4</v>
      </c>
      <c r="G380" s="4">
        <v>44518</v>
      </c>
      <c r="H380" s="1" t="s">
        <v>2239</v>
      </c>
      <c r="I380" s="1" t="s">
        <v>2238</v>
      </c>
      <c r="J380" s="1" t="s">
        <v>2091</v>
      </c>
      <c r="K380" s="1" t="s">
        <v>2237</v>
      </c>
      <c r="L380" s="1">
        <v>2018</v>
      </c>
      <c r="N380" s="1" t="s">
        <v>2236</v>
      </c>
      <c r="O380" s="25" t="s">
        <v>285</v>
      </c>
      <c r="P380" s="25">
        <v>0.12</v>
      </c>
      <c r="Q380" s="25" t="s">
        <v>650</v>
      </c>
      <c r="R380" s="25" t="s">
        <v>1</v>
      </c>
      <c r="S380" s="25" t="s">
        <v>1</v>
      </c>
      <c r="T380" s="25" t="s">
        <v>1</v>
      </c>
      <c r="U380" s="25" t="s">
        <v>1</v>
      </c>
      <c r="V380" s="25" t="s">
        <v>1</v>
      </c>
      <c r="W380" s="25" t="s">
        <v>1</v>
      </c>
      <c r="X380" s="25" t="s">
        <v>1</v>
      </c>
      <c r="Y380" s="25" t="s">
        <v>1</v>
      </c>
      <c r="Z380" s="25" t="s">
        <v>1</v>
      </c>
      <c r="AA380" s="25" t="s">
        <v>1</v>
      </c>
    </row>
    <row r="381" spans="2:28">
      <c r="B381" s="1" t="s">
        <v>2235</v>
      </c>
      <c r="C381" s="26" t="s">
        <v>2190</v>
      </c>
      <c r="D381" s="3">
        <v>20</v>
      </c>
      <c r="E381" s="1" t="s">
        <v>4</v>
      </c>
      <c r="F381" s="3">
        <v>1.6</v>
      </c>
      <c r="G381" s="4">
        <v>43060</v>
      </c>
      <c r="H381" s="1" t="s">
        <v>2234</v>
      </c>
      <c r="I381" s="1" t="s">
        <v>2233</v>
      </c>
      <c r="J381" s="1" t="s">
        <v>2091</v>
      </c>
      <c r="K381" s="1" t="s">
        <v>2102</v>
      </c>
      <c r="L381" s="1">
        <v>2015</v>
      </c>
      <c r="N381" s="1" t="s">
        <v>2232</v>
      </c>
      <c r="O381" s="25" t="s">
        <v>4</v>
      </c>
      <c r="P381" s="25">
        <v>0.7</v>
      </c>
      <c r="Q381" s="25" t="s">
        <v>640</v>
      </c>
      <c r="R381" s="25" t="s">
        <v>1</v>
      </c>
      <c r="S381" s="25" t="s">
        <v>1</v>
      </c>
      <c r="T381" s="25" t="s">
        <v>1</v>
      </c>
      <c r="U381" s="25" t="s">
        <v>1</v>
      </c>
      <c r="V381" s="25" t="s">
        <v>1</v>
      </c>
      <c r="W381" s="25" t="s">
        <v>1</v>
      </c>
      <c r="X381" s="25" t="s">
        <v>1</v>
      </c>
      <c r="Y381" s="25" t="s">
        <v>1</v>
      </c>
      <c r="Z381" s="25" t="s">
        <v>1</v>
      </c>
      <c r="AA381" s="1" t="s">
        <v>2231</v>
      </c>
      <c r="AB381" s="28" t="s">
        <v>2230</v>
      </c>
    </row>
    <row r="382" spans="2:28">
      <c r="B382" s="1" t="s">
        <v>2229</v>
      </c>
      <c r="C382" s="26" t="s">
        <v>2202</v>
      </c>
      <c r="D382" s="3" t="s">
        <v>1</v>
      </c>
      <c r="E382" s="1" t="s">
        <v>4</v>
      </c>
      <c r="F382" s="3" t="s">
        <v>1</v>
      </c>
      <c r="G382" s="4">
        <v>44169</v>
      </c>
      <c r="I382" s="1" t="s">
        <v>2228</v>
      </c>
      <c r="J382" s="1" t="s">
        <v>2091</v>
      </c>
      <c r="K382" s="1" t="s">
        <v>2227</v>
      </c>
      <c r="L382" s="1">
        <v>2017</v>
      </c>
      <c r="M382" s="1" t="s">
        <v>2198</v>
      </c>
      <c r="N382" s="1" t="s">
        <v>2226</v>
      </c>
      <c r="O382" s="25" t="s">
        <v>1</v>
      </c>
      <c r="P382" s="25" t="s">
        <v>1</v>
      </c>
      <c r="Q382" s="25" t="s">
        <v>1</v>
      </c>
      <c r="R382" s="25" t="s">
        <v>1</v>
      </c>
      <c r="S382" s="25" t="s">
        <v>1</v>
      </c>
      <c r="T382" s="25" t="s">
        <v>1</v>
      </c>
      <c r="U382" s="25" t="s">
        <v>1</v>
      </c>
      <c r="V382" s="25" t="s">
        <v>1</v>
      </c>
      <c r="W382" s="25" t="s">
        <v>1</v>
      </c>
      <c r="X382" s="25" t="s">
        <v>1</v>
      </c>
      <c r="Y382" s="25" t="s">
        <v>1</v>
      </c>
      <c r="Z382" s="25" t="s">
        <v>1</v>
      </c>
      <c r="AA382" s="1" t="s">
        <v>2211</v>
      </c>
    </row>
    <row r="383" spans="2:28">
      <c r="B383" s="1" t="s">
        <v>2225</v>
      </c>
      <c r="C383" s="26" t="s">
        <v>1729</v>
      </c>
      <c r="D383" s="3" t="s">
        <v>1</v>
      </c>
      <c r="E383" s="3" t="s">
        <v>1</v>
      </c>
      <c r="F383" s="3" t="s">
        <v>1</v>
      </c>
      <c r="G383" s="3" t="s">
        <v>1</v>
      </c>
      <c r="H383" s="1" t="s">
        <v>2224</v>
      </c>
      <c r="I383" s="1" t="s">
        <v>2223</v>
      </c>
      <c r="J383" s="1" t="s">
        <v>2091</v>
      </c>
      <c r="K383" s="1" t="s">
        <v>2222</v>
      </c>
      <c r="L383" s="1">
        <v>2019</v>
      </c>
      <c r="N383" s="1" t="s">
        <v>1</v>
      </c>
      <c r="O383" s="1" t="s">
        <v>1</v>
      </c>
      <c r="P383" s="1" t="s">
        <v>1</v>
      </c>
      <c r="Q383" s="1" t="s">
        <v>1</v>
      </c>
      <c r="R383" s="1" t="s">
        <v>1</v>
      </c>
      <c r="S383" s="1" t="s">
        <v>1</v>
      </c>
      <c r="T383" s="1" t="s">
        <v>1</v>
      </c>
      <c r="U383" s="1" t="s">
        <v>1</v>
      </c>
      <c r="V383" s="1" t="s">
        <v>1</v>
      </c>
      <c r="W383" s="1" t="s">
        <v>1</v>
      </c>
      <c r="X383" s="1" t="s">
        <v>1</v>
      </c>
      <c r="Y383" s="1" t="s">
        <v>1</v>
      </c>
      <c r="Z383" s="1" t="s">
        <v>1</v>
      </c>
      <c r="AA383" s="1" t="s">
        <v>2221</v>
      </c>
    </row>
    <row r="384" spans="2:28">
      <c r="B384" s="1" t="s">
        <v>2220</v>
      </c>
      <c r="C384" s="26" t="s">
        <v>1729</v>
      </c>
      <c r="D384" s="3" t="s">
        <v>1</v>
      </c>
      <c r="E384" s="30" t="s">
        <v>1</v>
      </c>
      <c r="F384" s="3" t="s">
        <v>1</v>
      </c>
      <c r="G384" s="3" t="s">
        <v>1</v>
      </c>
      <c r="H384" s="1" t="s">
        <v>2219</v>
      </c>
      <c r="I384" s="1" t="s">
        <v>1</v>
      </c>
      <c r="J384" s="1" t="s">
        <v>2091</v>
      </c>
      <c r="K384" s="1" t="s">
        <v>2218</v>
      </c>
      <c r="L384" s="1">
        <v>2016</v>
      </c>
      <c r="M384" s="1" t="s">
        <v>2217</v>
      </c>
      <c r="N384" s="1" t="s">
        <v>1</v>
      </c>
      <c r="O384" s="1" t="s">
        <v>1</v>
      </c>
      <c r="P384" s="1" t="s">
        <v>1</v>
      </c>
      <c r="Q384" s="1" t="s">
        <v>1</v>
      </c>
      <c r="R384" s="1" t="s">
        <v>1</v>
      </c>
      <c r="S384" s="1" t="s">
        <v>1</v>
      </c>
      <c r="T384" s="1" t="s">
        <v>1</v>
      </c>
      <c r="U384" s="1" t="s">
        <v>1</v>
      </c>
      <c r="V384" s="1" t="s">
        <v>1</v>
      </c>
      <c r="W384" s="1" t="s">
        <v>1</v>
      </c>
      <c r="X384" s="1" t="s">
        <v>1</v>
      </c>
      <c r="Y384" s="1" t="s">
        <v>1</v>
      </c>
      <c r="Z384" s="1" t="s">
        <v>1</v>
      </c>
      <c r="AA384" s="1" t="s">
        <v>2216</v>
      </c>
    </row>
    <row r="385" spans="2:28">
      <c r="B385" s="1" t="s">
        <v>336</v>
      </c>
      <c r="C385" s="26" t="s">
        <v>2202</v>
      </c>
      <c r="D385" s="3">
        <v>25</v>
      </c>
      <c r="E385" s="1" t="s">
        <v>4</v>
      </c>
      <c r="F385" s="3">
        <v>5</v>
      </c>
      <c r="G385" s="4">
        <v>43224</v>
      </c>
      <c r="H385" s="1" t="s">
        <v>2215</v>
      </c>
      <c r="I385" s="1" t="s">
        <v>2214</v>
      </c>
      <c r="J385" s="1" t="s">
        <v>2091</v>
      </c>
      <c r="K385" s="1" t="s">
        <v>2213</v>
      </c>
      <c r="L385" s="1">
        <v>2017</v>
      </c>
      <c r="M385" s="1" t="s">
        <v>2198</v>
      </c>
      <c r="N385" s="1" t="s">
        <v>2212</v>
      </c>
      <c r="O385" s="25" t="s">
        <v>1</v>
      </c>
      <c r="P385" s="25" t="s">
        <v>1</v>
      </c>
      <c r="Q385" s="25" t="s">
        <v>1</v>
      </c>
      <c r="R385" s="25" t="s">
        <v>1</v>
      </c>
      <c r="S385" s="25" t="s">
        <v>1</v>
      </c>
      <c r="T385" s="25" t="s">
        <v>1</v>
      </c>
      <c r="U385" s="25" t="s">
        <v>1</v>
      </c>
      <c r="V385" s="25" t="s">
        <v>1</v>
      </c>
      <c r="W385" s="25" t="s">
        <v>1</v>
      </c>
      <c r="X385" s="25" t="s">
        <v>1</v>
      </c>
      <c r="Y385" s="25" t="s">
        <v>1</v>
      </c>
      <c r="Z385" s="25" t="s">
        <v>1</v>
      </c>
      <c r="AA385" s="1" t="s">
        <v>2211</v>
      </c>
    </row>
    <row r="386" spans="2:28">
      <c r="B386" s="1" t="s">
        <v>2210</v>
      </c>
      <c r="C386" s="26" t="s">
        <v>2202</v>
      </c>
      <c r="D386" s="3" t="s">
        <v>1</v>
      </c>
      <c r="E386" s="3" t="s">
        <v>1</v>
      </c>
      <c r="F386" s="3" t="s">
        <v>1</v>
      </c>
      <c r="G386" s="3" t="s">
        <v>1</v>
      </c>
      <c r="H386" s="30" t="s">
        <v>1</v>
      </c>
      <c r="I386" s="1" t="s">
        <v>2209</v>
      </c>
      <c r="L386" s="1">
        <v>2017</v>
      </c>
      <c r="N386" s="30" t="s">
        <v>1</v>
      </c>
      <c r="O386" s="30" t="s">
        <v>1</v>
      </c>
      <c r="P386" s="30" t="s">
        <v>1</v>
      </c>
      <c r="Q386" s="30" t="s">
        <v>1</v>
      </c>
      <c r="R386" s="30" t="s">
        <v>1</v>
      </c>
      <c r="S386" s="30" t="s">
        <v>1</v>
      </c>
      <c r="T386" s="30" t="s">
        <v>1</v>
      </c>
      <c r="U386" s="30" t="s">
        <v>1</v>
      </c>
      <c r="V386" s="30" t="s">
        <v>1</v>
      </c>
      <c r="W386" s="30" t="s">
        <v>1</v>
      </c>
      <c r="X386" s="30" t="s">
        <v>1</v>
      </c>
      <c r="Y386" s="30" t="s">
        <v>1</v>
      </c>
      <c r="Z386" s="30" t="s">
        <v>1</v>
      </c>
      <c r="AA386" s="1" t="s">
        <v>2169</v>
      </c>
    </row>
    <row r="387" spans="2:28">
      <c r="B387" s="1" t="s">
        <v>2208</v>
      </c>
      <c r="C387" s="26" t="s">
        <v>2190</v>
      </c>
      <c r="D387" s="3" t="s">
        <v>1</v>
      </c>
      <c r="E387" s="3" t="s">
        <v>1</v>
      </c>
      <c r="F387" s="3" t="s">
        <v>1</v>
      </c>
      <c r="G387" s="3" t="s">
        <v>1</v>
      </c>
      <c r="H387" s="1" t="s">
        <v>2207</v>
      </c>
      <c r="I387" s="1" t="s">
        <v>2206</v>
      </c>
      <c r="J387" s="1" t="s">
        <v>2091</v>
      </c>
      <c r="K387" s="1" t="s">
        <v>2108</v>
      </c>
      <c r="L387" s="2" t="s">
        <v>2205</v>
      </c>
      <c r="N387" s="30" t="s">
        <v>1</v>
      </c>
      <c r="O387" s="30" t="s">
        <v>1</v>
      </c>
      <c r="P387" s="30" t="s">
        <v>1</v>
      </c>
      <c r="Q387" s="30" t="s">
        <v>1</v>
      </c>
      <c r="R387" s="30" t="s">
        <v>1</v>
      </c>
      <c r="S387" s="30" t="s">
        <v>1</v>
      </c>
      <c r="T387" s="30" t="s">
        <v>1</v>
      </c>
      <c r="U387" s="30" t="s">
        <v>1</v>
      </c>
      <c r="V387" s="30" t="s">
        <v>1</v>
      </c>
      <c r="W387" s="30" t="s">
        <v>1</v>
      </c>
      <c r="X387" s="30" t="s">
        <v>1</v>
      </c>
      <c r="Y387" s="30" t="s">
        <v>1</v>
      </c>
      <c r="Z387" s="30" t="s">
        <v>1</v>
      </c>
      <c r="AA387" s="1" t="s">
        <v>2204</v>
      </c>
    </row>
    <row r="388" spans="2:28">
      <c r="B388" s="1" t="s">
        <v>2203</v>
      </c>
      <c r="C388" s="26" t="s">
        <v>2202</v>
      </c>
      <c r="D388" s="3" t="s">
        <v>1</v>
      </c>
      <c r="E388" s="30" t="s">
        <v>1</v>
      </c>
      <c r="F388" s="3" t="s">
        <v>1</v>
      </c>
      <c r="G388" s="3" t="s">
        <v>1</v>
      </c>
      <c r="H388" s="1" t="s">
        <v>2201</v>
      </c>
      <c r="I388" s="1" t="s">
        <v>2200</v>
      </c>
      <c r="J388" s="1" t="s">
        <v>2091</v>
      </c>
      <c r="K388" s="1" t="s">
        <v>2173</v>
      </c>
      <c r="L388" s="2" t="s">
        <v>2199</v>
      </c>
      <c r="M388" s="1" t="s">
        <v>2198</v>
      </c>
      <c r="N388" s="5" t="s">
        <v>1</v>
      </c>
      <c r="O388" s="5" t="s">
        <v>1</v>
      </c>
      <c r="P388" s="5" t="s">
        <v>1</v>
      </c>
      <c r="Q388" s="5" t="s">
        <v>1</v>
      </c>
      <c r="R388" s="5" t="s">
        <v>1</v>
      </c>
      <c r="S388" s="5" t="s">
        <v>1</v>
      </c>
      <c r="T388" s="5" t="s">
        <v>1</v>
      </c>
      <c r="U388" s="5" t="s">
        <v>1</v>
      </c>
      <c r="V388" s="5" t="s">
        <v>1</v>
      </c>
      <c r="W388" s="5" t="s">
        <v>1</v>
      </c>
      <c r="X388" s="5" t="s">
        <v>1</v>
      </c>
      <c r="Y388" s="5" t="s">
        <v>1</v>
      </c>
      <c r="Z388" s="5" t="s">
        <v>1</v>
      </c>
      <c r="AA388" s="1" t="s">
        <v>2197</v>
      </c>
    </row>
    <row r="389" spans="2:28">
      <c r="B389" s="1" t="s">
        <v>2196</v>
      </c>
      <c r="C389" s="26" t="s">
        <v>2190</v>
      </c>
      <c r="E389" s="25"/>
      <c r="H389" s="1" t="s">
        <v>2195</v>
      </c>
      <c r="I389" s="1" t="s">
        <v>1</v>
      </c>
      <c r="J389" s="1" t="s">
        <v>2091</v>
      </c>
      <c r="K389" s="1" t="s">
        <v>2194</v>
      </c>
      <c r="L389" s="1">
        <v>1995</v>
      </c>
    </row>
    <row r="390" spans="2:28">
      <c r="B390" s="1" t="s">
        <v>2193</v>
      </c>
      <c r="C390" s="26" t="s">
        <v>2190</v>
      </c>
      <c r="D390" s="3" t="s">
        <v>1</v>
      </c>
      <c r="E390" s="3" t="s">
        <v>1</v>
      </c>
      <c r="F390" s="3" t="s">
        <v>1</v>
      </c>
      <c r="G390" s="3" t="s">
        <v>1</v>
      </c>
      <c r="H390" s="1" t="s">
        <v>2192</v>
      </c>
      <c r="I390" s="1" t="s">
        <v>1</v>
      </c>
      <c r="J390" s="1" t="s">
        <v>1</v>
      </c>
      <c r="K390" s="1" t="s">
        <v>1</v>
      </c>
      <c r="N390" s="1" t="s">
        <v>1</v>
      </c>
      <c r="O390" s="1" t="s">
        <v>1</v>
      </c>
      <c r="P390" s="1" t="s">
        <v>1</v>
      </c>
      <c r="Q390" s="1" t="s">
        <v>1</v>
      </c>
      <c r="R390" s="1" t="s">
        <v>1</v>
      </c>
      <c r="S390" s="1" t="s">
        <v>1</v>
      </c>
      <c r="T390" s="1" t="s">
        <v>1</v>
      </c>
      <c r="U390" s="1" t="s">
        <v>1</v>
      </c>
      <c r="V390" s="1" t="s">
        <v>1</v>
      </c>
      <c r="W390" s="1" t="s">
        <v>1</v>
      </c>
      <c r="X390" s="1" t="s">
        <v>1</v>
      </c>
      <c r="Y390" s="1" t="s">
        <v>1</v>
      </c>
      <c r="Z390" s="1" t="s">
        <v>1</v>
      </c>
      <c r="AA390" s="1" t="s">
        <v>1</v>
      </c>
    </row>
    <row r="391" spans="2:28">
      <c r="B391" s="1" t="s">
        <v>2191</v>
      </c>
      <c r="C391" s="26" t="s">
        <v>2190</v>
      </c>
      <c r="D391" s="3">
        <v>50</v>
      </c>
      <c r="E391" s="1" t="s">
        <v>5</v>
      </c>
      <c r="F391" s="3">
        <v>18</v>
      </c>
      <c r="G391" s="4">
        <v>43510</v>
      </c>
      <c r="I391" s="1" t="s">
        <v>1</v>
      </c>
      <c r="J391" s="1" t="s">
        <v>2091</v>
      </c>
      <c r="L391" s="1">
        <v>2004</v>
      </c>
      <c r="N391" s="1" t="s">
        <v>2189</v>
      </c>
      <c r="O391" s="1" t="s">
        <v>4</v>
      </c>
      <c r="P391" s="25">
        <v>3.4</v>
      </c>
      <c r="Q391" s="1" t="s">
        <v>637</v>
      </c>
      <c r="R391" s="1" t="s">
        <v>1</v>
      </c>
      <c r="S391" s="1" t="s">
        <v>1</v>
      </c>
      <c r="T391" s="1" t="s">
        <v>1</v>
      </c>
      <c r="U391" s="1" t="s">
        <v>1</v>
      </c>
      <c r="V391" s="1" t="s">
        <v>1</v>
      </c>
      <c r="W391" s="1" t="s">
        <v>1</v>
      </c>
      <c r="X391" s="1" t="s">
        <v>1</v>
      </c>
      <c r="Y391" s="1" t="s">
        <v>1</v>
      </c>
      <c r="Z391" s="1" t="s">
        <v>1</v>
      </c>
      <c r="AA391" s="1" t="s">
        <v>2188</v>
      </c>
    </row>
    <row r="392" spans="2:28">
      <c r="B392" s="1" t="s">
        <v>4546</v>
      </c>
      <c r="C392" s="26" t="s">
        <v>2202</v>
      </c>
      <c r="D392" s="3">
        <v>4900</v>
      </c>
      <c r="F392" s="3">
        <v>2600</v>
      </c>
      <c r="G392" s="4"/>
      <c r="N392" s="1" t="s">
        <v>4547</v>
      </c>
      <c r="O392" s="1"/>
      <c r="Q392" s="1"/>
      <c r="R392" s="1"/>
      <c r="S392" s="1"/>
      <c r="T392" s="1"/>
      <c r="U392" s="1"/>
      <c r="V392" s="1"/>
      <c r="W392" s="1"/>
      <c r="X392" s="1"/>
      <c r="Y392" s="1"/>
      <c r="Z392" s="1"/>
    </row>
    <row r="393" spans="2:28">
      <c r="G393" s="4"/>
      <c r="AB393" s="28"/>
    </row>
    <row r="394" spans="2:28">
      <c r="B394" s="29" t="s">
        <v>2187</v>
      </c>
      <c r="G394" s="4"/>
      <c r="AB394" s="28"/>
    </row>
    <row r="395" spans="2:28">
      <c r="B395" s="1" t="s">
        <v>2170</v>
      </c>
      <c r="C395" s="26" t="s">
        <v>1729</v>
      </c>
      <c r="J395" s="1" t="s">
        <v>2091</v>
      </c>
      <c r="K395" s="1" t="s">
        <v>2102</v>
      </c>
      <c r="AA395" s="1" t="s">
        <v>2169</v>
      </c>
      <c r="AB395" s="28" t="s">
        <v>2168</v>
      </c>
    </row>
    <row r="396" spans="2:28">
      <c r="B396" s="1" t="s">
        <v>2167</v>
      </c>
      <c r="C396" s="26" t="s">
        <v>1729</v>
      </c>
      <c r="E396" s="1" t="s">
        <v>18</v>
      </c>
      <c r="J396" s="1" t="s">
        <v>2091</v>
      </c>
      <c r="K396" s="1" t="s">
        <v>2102</v>
      </c>
      <c r="AA396" s="1" t="s">
        <v>2089</v>
      </c>
      <c r="AB396" s="28" t="s">
        <v>2166</v>
      </c>
    </row>
    <row r="397" spans="2:28">
      <c r="B397" s="1" t="s">
        <v>2165</v>
      </c>
      <c r="C397" s="26" t="s">
        <v>1729</v>
      </c>
      <c r="E397" s="1" t="s">
        <v>8</v>
      </c>
      <c r="J397" s="1" t="s">
        <v>2091</v>
      </c>
      <c r="K397" s="1" t="s">
        <v>2164</v>
      </c>
      <c r="AA397" s="1" t="s">
        <v>2089</v>
      </c>
      <c r="AB397" s="28" t="s">
        <v>2163</v>
      </c>
    </row>
    <row r="398" spans="2:28">
      <c r="B398" s="1" t="s">
        <v>2162</v>
      </c>
      <c r="C398" s="26" t="s">
        <v>1729</v>
      </c>
      <c r="E398" s="1" t="s">
        <v>8</v>
      </c>
      <c r="J398" s="1" t="s">
        <v>2091</v>
      </c>
      <c r="K398" s="1" t="s">
        <v>2102</v>
      </c>
      <c r="AA398" s="1" t="s">
        <v>2101</v>
      </c>
      <c r="AB398" s="28" t="s">
        <v>2161</v>
      </c>
    </row>
    <row r="399" spans="2:28">
      <c r="B399" s="1" t="s">
        <v>2160</v>
      </c>
      <c r="C399" s="26" t="s">
        <v>1729</v>
      </c>
      <c r="J399" s="1" t="s">
        <v>2091</v>
      </c>
      <c r="K399" s="1" t="s">
        <v>2102</v>
      </c>
      <c r="AA399" s="1" t="s">
        <v>2089</v>
      </c>
      <c r="AB399" s="28" t="s">
        <v>2159</v>
      </c>
    </row>
    <row r="400" spans="2:28">
      <c r="B400" s="1" t="s">
        <v>2158</v>
      </c>
      <c r="C400" s="26" t="s">
        <v>1729</v>
      </c>
      <c r="E400" s="1" t="s">
        <v>55</v>
      </c>
      <c r="J400" s="1" t="s">
        <v>2091</v>
      </c>
      <c r="K400" s="1" t="s">
        <v>2102</v>
      </c>
      <c r="L400" s="1">
        <v>2013</v>
      </c>
      <c r="AA400" s="1" t="s">
        <v>2094</v>
      </c>
      <c r="AB400" s="28" t="s">
        <v>2157</v>
      </c>
    </row>
    <row r="401" spans="2:28">
      <c r="B401" s="1" t="s">
        <v>2156</v>
      </c>
      <c r="C401" s="26" t="s">
        <v>1729</v>
      </c>
      <c r="E401" s="1" t="s">
        <v>8</v>
      </c>
      <c r="J401" s="1" t="s">
        <v>2091</v>
      </c>
      <c r="K401" s="1" t="s">
        <v>2102</v>
      </c>
      <c r="AA401" s="1" t="s">
        <v>2094</v>
      </c>
      <c r="AB401" s="28" t="s">
        <v>2155</v>
      </c>
    </row>
    <row r="402" spans="2:28">
      <c r="B402" s="1" t="s">
        <v>2154</v>
      </c>
      <c r="C402" s="26" t="s">
        <v>1729</v>
      </c>
      <c r="J402" s="1" t="s">
        <v>2091</v>
      </c>
      <c r="K402" s="1" t="s">
        <v>2125</v>
      </c>
      <c r="L402" s="1">
        <v>2022</v>
      </c>
      <c r="M402" s="1" t="s">
        <v>2153</v>
      </c>
      <c r="AA402" s="1" t="s">
        <v>2152</v>
      </c>
      <c r="AB402" s="28" t="s">
        <v>2151</v>
      </c>
    </row>
    <row r="403" spans="2:28">
      <c r="B403" s="1" t="s">
        <v>2150</v>
      </c>
      <c r="C403" s="26" t="s">
        <v>1729</v>
      </c>
      <c r="E403" s="1" t="s">
        <v>4</v>
      </c>
      <c r="J403" s="1" t="s">
        <v>2091</v>
      </c>
      <c r="K403" s="1" t="s">
        <v>2102</v>
      </c>
      <c r="L403" s="1">
        <v>2021</v>
      </c>
      <c r="AA403" s="1" t="s">
        <v>2094</v>
      </c>
      <c r="AB403" s="28" t="s">
        <v>2149</v>
      </c>
    </row>
    <row r="404" spans="2:28">
      <c r="B404" s="1" t="s">
        <v>2148</v>
      </c>
      <c r="C404" s="26" t="s">
        <v>1729</v>
      </c>
      <c r="E404" s="1" t="s">
        <v>18</v>
      </c>
      <c r="J404" s="1" t="s">
        <v>2147</v>
      </c>
      <c r="K404" s="1" t="s">
        <v>2146</v>
      </c>
      <c r="AA404" s="1" t="s">
        <v>2145</v>
      </c>
      <c r="AB404" s="28" t="s">
        <v>2144</v>
      </c>
    </row>
    <row r="405" spans="2:28">
      <c r="B405" s="1" t="s">
        <v>2143</v>
      </c>
      <c r="C405" s="26" t="s">
        <v>1729</v>
      </c>
      <c r="E405" s="1" t="s">
        <v>18</v>
      </c>
      <c r="J405" s="1" t="s">
        <v>2091</v>
      </c>
      <c r="K405" s="1" t="s">
        <v>2142</v>
      </c>
      <c r="AA405" s="1" t="s">
        <v>2141</v>
      </c>
      <c r="AB405" s="28" t="s">
        <v>2140</v>
      </c>
    </row>
    <row r="406" spans="2:28">
      <c r="B406" s="1" t="s">
        <v>2139</v>
      </c>
      <c r="C406" s="26" t="s">
        <v>1729</v>
      </c>
      <c r="E406" s="1" t="s">
        <v>8</v>
      </c>
      <c r="J406" s="1" t="s">
        <v>2091</v>
      </c>
      <c r="K406" s="1" t="s">
        <v>2102</v>
      </c>
      <c r="AA406" s="1" t="s">
        <v>2094</v>
      </c>
      <c r="AB406" s="28" t="s">
        <v>2138</v>
      </c>
    </row>
    <row r="407" spans="2:28">
      <c r="B407" s="1" t="s">
        <v>2137</v>
      </c>
      <c r="C407" s="26" t="s">
        <v>1729</v>
      </c>
      <c r="E407" s="1" t="s">
        <v>18</v>
      </c>
      <c r="J407" s="1" t="s">
        <v>2091</v>
      </c>
      <c r="K407" s="1" t="s">
        <v>2136</v>
      </c>
      <c r="AA407" s="1" t="s">
        <v>2094</v>
      </c>
      <c r="AB407" s="28" t="s">
        <v>2135</v>
      </c>
    </row>
    <row r="408" spans="2:28">
      <c r="B408" s="1" t="s">
        <v>2134</v>
      </c>
      <c r="C408" s="26" t="s">
        <v>1729</v>
      </c>
      <c r="E408" s="1" t="s">
        <v>5</v>
      </c>
      <c r="J408" s="1" t="s">
        <v>2091</v>
      </c>
      <c r="K408" s="1" t="s">
        <v>2133</v>
      </c>
      <c r="AA408" s="1" t="s">
        <v>2132</v>
      </c>
      <c r="AB408" s="28" t="s">
        <v>2131</v>
      </c>
    </row>
    <row r="409" spans="2:28">
      <c r="B409" s="1" t="s">
        <v>2130</v>
      </c>
      <c r="C409" s="26" t="s">
        <v>1729</v>
      </c>
      <c r="E409" s="1" t="s">
        <v>5</v>
      </c>
      <c r="J409" s="1" t="s">
        <v>2091</v>
      </c>
      <c r="K409" s="1" t="s">
        <v>2129</v>
      </c>
      <c r="AA409" s="1" t="s">
        <v>2128</v>
      </c>
      <c r="AB409" s="28" t="s">
        <v>2127</v>
      </c>
    </row>
    <row r="410" spans="2:28">
      <c r="B410" s="1" t="s">
        <v>2126</v>
      </c>
      <c r="C410" s="26" t="s">
        <v>1729</v>
      </c>
      <c r="E410" s="1" t="s">
        <v>18</v>
      </c>
      <c r="J410" s="1" t="s">
        <v>2091</v>
      </c>
      <c r="K410" s="1" t="s">
        <v>2125</v>
      </c>
      <c r="AA410" s="1" t="s">
        <v>2124</v>
      </c>
      <c r="AB410" s="28" t="s">
        <v>2123</v>
      </c>
    </row>
    <row r="411" spans="2:28">
      <c r="B411" s="1" t="s">
        <v>2122</v>
      </c>
      <c r="C411" s="26" t="s">
        <v>1729</v>
      </c>
      <c r="J411" s="1" t="s">
        <v>2091</v>
      </c>
      <c r="K411" s="1" t="s">
        <v>2121</v>
      </c>
      <c r="AA411" s="1" t="s">
        <v>2120</v>
      </c>
      <c r="AB411" s="28" t="s">
        <v>2119</v>
      </c>
    </row>
    <row r="412" spans="2:28">
      <c r="B412" s="1" t="s">
        <v>2118</v>
      </c>
      <c r="C412" s="26" t="s">
        <v>1729</v>
      </c>
      <c r="E412" s="1" t="s">
        <v>18</v>
      </c>
      <c r="J412" s="1" t="s">
        <v>2091</v>
      </c>
      <c r="K412" s="1" t="s">
        <v>2117</v>
      </c>
      <c r="AA412" s="1" t="s">
        <v>2094</v>
      </c>
      <c r="AB412" s="28" t="s">
        <v>2116</v>
      </c>
    </row>
    <row r="413" spans="2:28">
      <c r="B413" s="1" t="s">
        <v>2115</v>
      </c>
      <c r="C413" s="26" t="s">
        <v>1729</v>
      </c>
      <c r="E413" s="1" t="s">
        <v>7</v>
      </c>
      <c r="J413" s="1" t="s">
        <v>2108</v>
      </c>
      <c r="K413" s="1" t="s">
        <v>2114</v>
      </c>
      <c r="AA413" s="1" t="s">
        <v>2094</v>
      </c>
      <c r="AB413" s="28" t="s">
        <v>2113</v>
      </c>
    </row>
    <row r="414" spans="2:28">
      <c r="B414" s="1" t="s">
        <v>2112</v>
      </c>
      <c r="C414" s="26" t="s">
        <v>1729</v>
      </c>
      <c r="J414" s="1" t="s">
        <v>2108</v>
      </c>
      <c r="K414" s="1" t="s">
        <v>2111</v>
      </c>
      <c r="AA414" s="1" t="s">
        <v>2094</v>
      </c>
      <c r="AB414" s="28" t="s">
        <v>2110</v>
      </c>
    </row>
    <row r="415" spans="2:28">
      <c r="B415" s="1" t="s">
        <v>2109</v>
      </c>
      <c r="C415" s="26" t="s">
        <v>1729</v>
      </c>
      <c r="E415" s="1" t="s">
        <v>7</v>
      </c>
      <c r="J415" s="1" t="s">
        <v>2108</v>
      </c>
      <c r="K415" s="1" t="s">
        <v>2107</v>
      </c>
      <c r="M415" s="1" t="s">
        <v>2106</v>
      </c>
      <c r="AA415" s="1" t="s">
        <v>2105</v>
      </c>
      <c r="AB415" s="28" t="s">
        <v>2104</v>
      </c>
    </row>
    <row r="416" spans="2:28">
      <c r="B416" s="1" t="s">
        <v>2103</v>
      </c>
      <c r="C416" s="26" t="s">
        <v>1729</v>
      </c>
      <c r="E416" s="1" t="s">
        <v>7</v>
      </c>
      <c r="J416" s="1" t="s">
        <v>2091</v>
      </c>
      <c r="K416" s="1" t="s">
        <v>2102</v>
      </c>
      <c r="AA416" s="1" t="s">
        <v>2101</v>
      </c>
      <c r="AB416" s="28" t="s">
        <v>2100</v>
      </c>
    </row>
    <row r="417" spans="2:28">
      <c r="B417" s="1" t="s">
        <v>2099</v>
      </c>
      <c r="C417" s="26" t="s">
        <v>1729</v>
      </c>
      <c r="J417" s="1" t="s">
        <v>2091</v>
      </c>
      <c r="K417" s="1" t="s">
        <v>2098</v>
      </c>
      <c r="AA417" s="1" t="s">
        <v>2097</v>
      </c>
      <c r="AB417" s="28" t="s">
        <v>2096</v>
      </c>
    </row>
    <row r="418" spans="2:28">
      <c r="B418" s="1" t="s">
        <v>2095</v>
      </c>
      <c r="C418" s="26" t="s">
        <v>1729</v>
      </c>
      <c r="E418" s="1" t="s">
        <v>5</v>
      </c>
      <c r="AA418" s="1" t="s">
        <v>2094</v>
      </c>
      <c r="AB418" s="28" t="s">
        <v>2093</v>
      </c>
    </row>
    <row r="419" spans="2:28">
      <c r="B419" s="1" t="s">
        <v>2092</v>
      </c>
      <c r="C419" s="26" t="s">
        <v>1729</v>
      </c>
      <c r="E419" s="1" t="s">
        <v>7</v>
      </c>
      <c r="J419" s="1" t="s">
        <v>2091</v>
      </c>
      <c r="K419" s="1" t="s">
        <v>2090</v>
      </c>
      <c r="AA419" s="1" t="s">
        <v>2089</v>
      </c>
      <c r="AB419" s="28" t="s">
        <v>2088</v>
      </c>
    </row>
    <row r="420" spans="2:28">
      <c r="B420" s="1" t="s">
        <v>2087</v>
      </c>
    </row>
    <row r="421" spans="2:28">
      <c r="B421" s="1" t="s">
        <v>2086</v>
      </c>
    </row>
    <row r="422" spans="2:28">
      <c r="B422" s="1" t="s">
        <v>2085</v>
      </c>
    </row>
    <row r="423" spans="2:28">
      <c r="B423" s="1" t="s">
        <v>2084</v>
      </c>
    </row>
    <row r="424" spans="2:28">
      <c r="B424" s="1" t="s">
        <v>2083</v>
      </c>
    </row>
    <row r="425" spans="2:28">
      <c r="B425" s="1" t="s">
        <v>2082</v>
      </c>
      <c r="C425" s="26" t="s">
        <v>2190</v>
      </c>
      <c r="L425" s="1" t="s">
        <v>4476</v>
      </c>
    </row>
    <row r="426" spans="2:28">
      <c r="B426" s="1" t="s">
        <v>2081</v>
      </c>
    </row>
    <row r="427" spans="2:28">
      <c r="B427" s="1" t="s">
        <v>2080</v>
      </c>
    </row>
    <row r="428" spans="2:28">
      <c r="B428" s="1" t="s">
        <v>2079</v>
      </c>
    </row>
    <row r="429" spans="2:28">
      <c r="B429" s="1" t="s">
        <v>2078</v>
      </c>
    </row>
    <row r="430" spans="2:28">
      <c r="B430" s="1" t="s">
        <v>2077</v>
      </c>
      <c r="C430" s="26" t="s">
        <v>1729</v>
      </c>
      <c r="E430" s="1" t="s">
        <v>5</v>
      </c>
      <c r="F430" s="3">
        <v>23.9</v>
      </c>
      <c r="AA430" s="1" t="s">
        <v>2094</v>
      </c>
      <c r="AB430" s="28" t="s">
        <v>4465</v>
      </c>
    </row>
    <row r="431" spans="2:28">
      <c r="B431" s="1" t="s">
        <v>2076</v>
      </c>
    </row>
    <row r="432" spans="2:28">
      <c r="B432" s="1" t="s">
        <v>2075</v>
      </c>
    </row>
    <row r="433" spans="2:2">
      <c r="B433" s="1" t="s">
        <v>2074</v>
      </c>
    </row>
    <row r="434" spans="2:2">
      <c r="B434" s="1" t="s">
        <v>2073</v>
      </c>
    </row>
    <row r="435" spans="2:2">
      <c r="B435" s="1" t="s">
        <v>2072</v>
      </c>
    </row>
    <row r="436" spans="2:2">
      <c r="B436" s="1" t="s">
        <v>2070</v>
      </c>
    </row>
    <row r="437" spans="2:2">
      <c r="B437" s="1" t="s">
        <v>2069</v>
      </c>
    </row>
    <row r="438" spans="2:2">
      <c r="B438" s="1" t="s">
        <v>2068</v>
      </c>
    </row>
    <row r="439" spans="2:2">
      <c r="B439" s="1" t="s">
        <v>2067</v>
      </c>
    </row>
    <row r="440" spans="2:2">
      <c r="B440" s="1" t="s">
        <v>2066</v>
      </c>
    </row>
    <row r="441" spans="2:2">
      <c r="B441" s="1" t="s">
        <v>2065</v>
      </c>
    </row>
    <row r="442" spans="2:2">
      <c r="B442" s="1" t="s">
        <v>2064</v>
      </c>
    </row>
    <row r="443" spans="2:2">
      <c r="B443" s="1" t="s">
        <v>2063</v>
      </c>
    </row>
    <row r="444" spans="2:2">
      <c r="B444" s="1" t="s">
        <v>2062</v>
      </c>
    </row>
    <row r="445" spans="2:2">
      <c r="B445" s="1" t="s">
        <v>2061</v>
      </c>
    </row>
    <row r="446" spans="2:2">
      <c r="B446" s="1" t="s">
        <v>2060</v>
      </c>
    </row>
    <row r="447" spans="2:2">
      <c r="B447" s="1" t="s">
        <v>2059</v>
      </c>
    </row>
    <row r="448" spans="2:2">
      <c r="B448" s="1" t="s">
        <v>2058</v>
      </c>
    </row>
    <row r="449" spans="2:2">
      <c r="B449" s="1" t="s">
        <v>2057</v>
      </c>
    </row>
    <row r="450" spans="2:2">
      <c r="B450" s="1" t="s">
        <v>2056</v>
      </c>
    </row>
    <row r="451" spans="2:2">
      <c r="B451" s="1" t="s">
        <v>2055</v>
      </c>
    </row>
    <row r="452" spans="2:2">
      <c r="B452" s="1" t="s">
        <v>2054</v>
      </c>
    </row>
    <row r="453" spans="2:2">
      <c r="B453" s="1" t="s">
        <v>2053</v>
      </c>
    </row>
    <row r="454" spans="2:2">
      <c r="B454" s="1" t="s">
        <v>2052</v>
      </c>
    </row>
    <row r="455" spans="2:2">
      <c r="B455" s="1" t="s">
        <v>2051</v>
      </c>
    </row>
    <row r="456" spans="2:2">
      <c r="B456" s="1" t="s">
        <v>2050</v>
      </c>
    </row>
    <row r="457" spans="2:2">
      <c r="B457" s="1" t="s">
        <v>2049</v>
      </c>
    </row>
    <row r="458" spans="2:2">
      <c r="B458" s="1" t="s">
        <v>2048</v>
      </c>
    </row>
    <row r="459" spans="2:2">
      <c r="B459" s="1" t="s">
        <v>2047</v>
      </c>
    </row>
    <row r="460" spans="2:2">
      <c r="B460" s="1" t="s">
        <v>2046</v>
      </c>
    </row>
    <row r="461" spans="2:2">
      <c r="B461" s="1" t="s">
        <v>2045</v>
      </c>
    </row>
    <row r="462" spans="2:2">
      <c r="B462" s="12" t="s">
        <v>2044</v>
      </c>
    </row>
    <row r="463" spans="2:2">
      <c r="B463" s="1" t="s">
        <v>2043</v>
      </c>
    </row>
    <row r="464" spans="2:2">
      <c r="B464" s="1" t="s">
        <v>2042</v>
      </c>
    </row>
    <row r="465" spans="2:13">
      <c r="B465" s="1" t="s">
        <v>2041</v>
      </c>
    </row>
    <row r="466" spans="2:13">
      <c r="B466" s="1" t="s">
        <v>2040</v>
      </c>
    </row>
    <row r="467" spans="2:13">
      <c r="B467" s="1" t="s">
        <v>1613</v>
      </c>
    </row>
    <row r="468" spans="2:13">
      <c r="B468" s="1" t="s">
        <v>2039</v>
      </c>
      <c r="M468" s="1" t="s">
        <v>1938</v>
      </c>
    </row>
    <row r="469" spans="2:13">
      <c r="B469" s="12" t="s">
        <v>2038</v>
      </c>
    </row>
    <row r="470" spans="2:13">
      <c r="B470" s="1" t="s">
        <v>2037</v>
      </c>
    </row>
    <row r="471" spans="2:13">
      <c r="B471" s="1" t="s">
        <v>2036</v>
      </c>
    </row>
    <row r="472" spans="2:13">
      <c r="B472" s="1" t="s">
        <v>2035</v>
      </c>
    </row>
    <row r="473" spans="2:13">
      <c r="B473" s="1" t="s">
        <v>2034</v>
      </c>
    </row>
    <row r="474" spans="2:13">
      <c r="B474" s="1" t="s">
        <v>2033</v>
      </c>
    </row>
    <row r="475" spans="2:13">
      <c r="B475" s="1" t="s">
        <v>2032</v>
      </c>
    </row>
    <row r="476" spans="2:13">
      <c r="B476" s="1" t="s">
        <v>2031</v>
      </c>
    </row>
    <row r="477" spans="2:13">
      <c r="B477" s="1" t="s">
        <v>2030</v>
      </c>
      <c r="M477" s="1" t="s">
        <v>1938</v>
      </c>
    </row>
    <row r="478" spans="2:13">
      <c r="B478" s="1" t="s">
        <v>2029</v>
      </c>
    </row>
    <row r="479" spans="2:13">
      <c r="B479" s="1" t="s">
        <v>2028</v>
      </c>
    </row>
    <row r="480" spans="2:13">
      <c r="B480" s="1" t="s">
        <v>2027</v>
      </c>
    </row>
    <row r="481" spans="2:2">
      <c r="B481" s="1" t="s">
        <v>2026</v>
      </c>
    </row>
    <row r="482" spans="2:2">
      <c r="B482" s="1" t="s">
        <v>2025</v>
      </c>
    </row>
    <row r="483" spans="2:2">
      <c r="B483" s="1" t="s">
        <v>2024</v>
      </c>
    </row>
    <row r="484" spans="2:2">
      <c r="B484" s="1" t="s">
        <v>2023</v>
      </c>
    </row>
    <row r="485" spans="2:2">
      <c r="B485" s="1" t="s">
        <v>2022</v>
      </c>
    </row>
    <row r="486" spans="2:2">
      <c r="B486" s="1" t="s">
        <v>2021</v>
      </c>
    </row>
    <row r="487" spans="2:2">
      <c r="B487" s="1" t="s">
        <v>2020</v>
      </c>
    </row>
    <row r="488" spans="2:2">
      <c r="B488" s="1" t="s">
        <v>2019</v>
      </c>
    </row>
    <row r="489" spans="2:2">
      <c r="B489" s="12" t="s">
        <v>2018</v>
      </c>
    </row>
    <row r="490" spans="2:2">
      <c r="B490" s="1" t="s">
        <v>2017</v>
      </c>
    </row>
    <row r="491" spans="2:2">
      <c r="B491" s="1" t="s">
        <v>2016</v>
      </c>
    </row>
    <row r="492" spans="2:2">
      <c r="B492" s="1" t="s">
        <v>2015</v>
      </c>
    </row>
    <row r="493" spans="2:2">
      <c r="B493" s="1" t="s">
        <v>2014</v>
      </c>
    </row>
    <row r="494" spans="2:2">
      <c r="B494" s="1" t="s">
        <v>2013</v>
      </c>
    </row>
    <row r="495" spans="2:2">
      <c r="B495" s="1" t="s">
        <v>2012</v>
      </c>
    </row>
    <row r="496" spans="2:2">
      <c r="B496" s="1" t="s">
        <v>2011</v>
      </c>
    </row>
    <row r="497" spans="2:2">
      <c r="B497" s="1" t="s">
        <v>2010</v>
      </c>
    </row>
    <row r="498" spans="2:2">
      <c r="B498" s="1" t="s">
        <v>2009</v>
      </c>
    </row>
    <row r="499" spans="2:2">
      <c r="B499" s="1" t="s">
        <v>2008</v>
      </c>
    </row>
    <row r="500" spans="2:2">
      <c r="B500" s="1" t="s">
        <v>2007</v>
      </c>
    </row>
    <row r="501" spans="2:2">
      <c r="B501" s="1" t="s">
        <v>2006</v>
      </c>
    </row>
    <row r="502" spans="2:2">
      <c r="B502" s="1" t="s">
        <v>2005</v>
      </c>
    </row>
    <row r="503" spans="2:2">
      <c r="B503" s="1" t="s">
        <v>2004</v>
      </c>
    </row>
    <row r="504" spans="2:2">
      <c r="B504" s="1" t="s">
        <v>2003</v>
      </c>
    </row>
    <row r="505" spans="2:2">
      <c r="B505" s="1" t="s">
        <v>2002</v>
      </c>
    </row>
    <row r="506" spans="2:2">
      <c r="B506" s="1" t="s">
        <v>2001</v>
      </c>
    </row>
    <row r="507" spans="2:2">
      <c r="B507" s="1" t="s">
        <v>2000</v>
      </c>
    </row>
    <row r="508" spans="2:2">
      <c r="B508" s="1" t="s">
        <v>1999</v>
      </c>
    </row>
    <row r="509" spans="2:2">
      <c r="B509" s="1" t="s">
        <v>1998</v>
      </c>
    </row>
    <row r="510" spans="2:2">
      <c r="B510" s="1" t="s">
        <v>1997</v>
      </c>
    </row>
    <row r="511" spans="2:2">
      <c r="B511" s="1" t="s">
        <v>1996</v>
      </c>
    </row>
    <row r="512" spans="2:2">
      <c r="B512" s="1" t="s">
        <v>1995</v>
      </c>
    </row>
    <row r="513" spans="2:13">
      <c r="B513" s="1" t="s">
        <v>1994</v>
      </c>
    </row>
    <row r="514" spans="2:13">
      <c r="B514" s="1" t="s">
        <v>1993</v>
      </c>
    </row>
    <row r="515" spans="2:13">
      <c r="B515" s="1" t="s">
        <v>1992</v>
      </c>
    </row>
    <row r="516" spans="2:13">
      <c r="B516" s="1" t="s">
        <v>1991</v>
      </c>
    </row>
    <row r="517" spans="2:13">
      <c r="B517" s="1" t="s">
        <v>1990</v>
      </c>
      <c r="M517" s="1" t="s">
        <v>1938</v>
      </c>
    </row>
    <row r="518" spans="2:13">
      <c r="B518" s="1" t="s">
        <v>1989</v>
      </c>
    </row>
    <row r="519" spans="2:13">
      <c r="B519" s="1" t="s">
        <v>1988</v>
      </c>
    </row>
    <row r="520" spans="2:13">
      <c r="B520" s="1" t="s">
        <v>1987</v>
      </c>
    </row>
    <row r="521" spans="2:13">
      <c r="B521" s="1" t="s">
        <v>1986</v>
      </c>
    </row>
    <row r="522" spans="2:13">
      <c r="B522" s="1" t="s">
        <v>1985</v>
      </c>
    </row>
    <row r="523" spans="2:13">
      <c r="B523" s="1" t="s">
        <v>1984</v>
      </c>
    </row>
    <row r="524" spans="2:13">
      <c r="B524" s="1" t="s">
        <v>1983</v>
      </c>
    </row>
    <row r="525" spans="2:13">
      <c r="B525" s="1" t="s">
        <v>1982</v>
      </c>
    </row>
    <row r="526" spans="2:13">
      <c r="B526" s="1" t="s">
        <v>1981</v>
      </c>
    </row>
    <row r="527" spans="2:13">
      <c r="B527" s="1" t="s">
        <v>1980</v>
      </c>
    </row>
    <row r="528" spans="2:13">
      <c r="B528" s="1" t="s">
        <v>1281</v>
      </c>
    </row>
    <row r="529" spans="2:13">
      <c r="B529" s="1" t="s">
        <v>1979</v>
      </c>
    </row>
    <row r="530" spans="2:13">
      <c r="B530" s="1" t="s">
        <v>1978</v>
      </c>
    </row>
    <row r="531" spans="2:13">
      <c r="B531" s="1" t="s">
        <v>1977</v>
      </c>
    </row>
    <row r="532" spans="2:13">
      <c r="B532" s="1" t="s">
        <v>1976</v>
      </c>
    </row>
    <row r="533" spans="2:13">
      <c r="B533" s="1" t="s">
        <v>1975</v>
      </c>
    </row>
    <row r="534" spans="2:13">
      <c r="B534" s="1" t="s">
        <v>1974</v>
      </c>
    </row>
    <row r="535" spans="2:13">
      <c r="B535" s="1" t="s">
        <v>1973</v>
      </c>
    </row>
    <row r="536" spans="2:13">
      <c r="B536" s="1" t="s">
        <v>1972</v>
      </c>
    </row>
    <row r="537" spans="2:13">
      <c r="B537" s="1" t="s">
        <v>1285</v>
      </c>
    </row>
    <row r="538" spans="2:13">
      <c r="B538" s="1" t="s">
        <v>1971</v>
      </c>
    </row>
    <row r="539" spans="2:13">
      <c r="B539" s="1" t="s">
        <v>1970</v>
      </c>
    </row>
    <row r="540" spans="2:13">
      <c r="B540" s="1" t="s">
        <v>1969</v>
      </c>
      <c r="M540" s="1" t="s">
        <v>1938</v>
      </c>
    </row>
    <row r="541" spans="2:13">
      <c r="B541" s="1" t="s">
        <v>1968</v>
      </c>
    </row>
    <row r="542" spans="2:13">
      <c r="B542" s="1" t="s">
        <v>1967</v>
      </c>
      <c r="M542" s="1" t="s">
        <v>1938</v>
      </c>
    </row>
    <row r="543" spans="2:13">
      <c r="B543" s="1" t="s">
        <v>1966</v>
      </c>
    </row>
    <row r="544" spans="2:13">
      <c r="B544" s="1" t="s">
        <v>1965</v>
      </c>
    </row>
    <row r="545" spans="2:13">
      <c r="B545" s="1" t="s">
        <v>1964</v>
      </c>
    </row>
    <row r="546" spans="2:13">
      <c r="B546" s="1" t="s">
        <v>1963</v>
      </c>
    </row>
    <row r="547" spans="2:13">
      <c r="B547" s="1" t="s">
        <v>1325</v>
      </c>
    </row>
    <row r="548" spans="2:13">
      <c r="B548" s="1" t="s">
        <v>1962</v>
      </c>
    </row>
    <row r="549" spans="2:13">
      <c r="B549" s="1" t="s">
        <v>1961</v>
      </c>
    </row>
    <row r="550" spans="2:13">
      <c r="B550" s="1" t="s">
        <v>1960</v>
      </c>
    </row>
    <row r="551" spans="2:13">
      <c r="B551" s="1" t="s">
        <v>1959</v>
      </c>
    </row>
    <row r="552" spans="2:13">
      <c r="B552" s="1" t="s">
        <v>1958</v>
      </c>
    </row>
    <row r="553" spans="2:13">
      <c r="B553" s="1" t="s">
        <v>1957</v>
      </c>
    </row>
    <row r="554" spans="2:13">
      <c r="B554" s="1" t="s">
        <v>1956</v>
      </c>
      <c r="M554" s="1" t="s">
        <v>1938</v>
      </c>
    </row>
    <row r="555" spans="2:13">
      <c r="B555" s="1" t="s">
        <v>1955</v>
      </c>
      <c r="I555" s="1" t="s">
        <v>1954</v>
      </c>
    </row>
    <row r="556" spans="2:13">
      <c r="B556" s="1" t="s">
        <v>1953</v>
      </c>
      <c r="M556" s="1" t="s">
        <v>1938</v>
      </c>
    </row>
    <row r="557" spans="2:13">
      <c r="B557" s="1" t="s">
        <v>1952</v>
      </c>
      <c r="M557" s="1" t="s">
        <v>1938</v>
      </c>
    </row>
    <row r="558" spans="2:13">
      <c r="B558" s="1" t="s">
        <v>1951</v>
      </c>
      <c r="M558" s="1" t="s">
        <v>1938</v>
      </c>
    </row>
    <row r="559" spans="2:13">
      <c r="B559" s="1" t="s">
        <v>1950</v>
      </c>
      <c r="M559" s="1" t="s">
        <v>1938</v>
      </c>
    </row>
    <row r="560" spans="2:13">
      <c r="B560" s="1" t="s">
        <v>1949</v>
      </c>
      <c r="M560" s="1" t="s">
        <v>1938</v>
      </c>
    </row>
    <row r="561" spans="2:13">
      <c r="B561" s="1" t="s">
        <v>1948</v>
      </c>
      <c r="M561" s="1" t="s">
        <v>1947</v>
      </c>
    </row>
    <row r="562" spans="2:13">
      <c r="B562" s="1" t="s">
        <v>1946</v>
      </c>
      <c r="M562" s="1" t="s">
        <v>1938</v>
      </c>
    </row>
    <row r="563" spans="2:13">
      <c r="B563" s="1" t="s">
        <v>1945</v>
      </c>
      <c r="M563" s="1" t="s">
        <v>1938</v>
      </c>
    </row>
    <row r="564" spans="2:13">
      <c r="B564" s="1" t="s">
        <v>1944</v>
      </c>
      <c r="M564" s="1" t="s">
        <v>1938</v>
      </c>
    </row>
    <row r="565" spans="2:13">
      <c r="B565" s="1" t="s">
        <v>1943</v>
      </c>
      <c r="M565" s="1" t="s">
        <v>1938</v>
      </c>
    </row>
    <row r="566" spans="2:13">
      <c r="B566" s="1" t="s">
        <v>1942</v>
      </c>
      <c r="M566" s="1" t="s">
        <v>1938</v>
      </c>
    </row>
    <row r="567" spans="2:13">
      <c r="B567" s="1" t="s">
        <v>1941</v>
      </c>
      <c r="M567" s="1" t="s">
        <v>1938</v>
      </c>
    </row>
    <row r="568" spans="2:13">
      <c r="B568" s="1" t="s">
        <v>1940</v>
      </c>
      <c r="M568" s="1" t="s">
        <v>1938</v>
      </c>
    </row>
    <row r="569" spans="2:13">
      <c r="B569" s="1" t="s">
        <v>1939</v>
      </c>
      <c r="M569" s="1" t="s">
        <v>1938</v>
      </c>
    </row>
    <row r="570" spans="2:13">
      <c r="B570" s="1" t="s">
        <v>1937</v>
      </c>
    </row>
    <row r="571" spans="2:13">
      <c r="B571" s="1" t="s">
        <v>1936</v>
      </c>
    </row>
    <row r="572" spans="2:13">
      <c r="B572" s="1" t="s">
        <v>1935</v>
      </c>
    </row>
    <row r="573" spans="2:13">
      <c r="B573" s="1" t="s">
        <v>1934</v>
      </c>
    </row>
    <row r="574" spans="2:13">
      <c r="B574" s="1" t="s">
        <v>1933</v>
      </c>
    </row>
    <row r="575" spans="2:13">
      <c r="B575" s="1" t="s">
        <v>1932</v>
      </c>
    </row>
    <row r="576" spans="2:13">
      <c r="B576" s="1" t="s">
        <v>1931</v>
      </c>
    </row>
    <row r="577" spans="2:2">
      <c r="B577" s="1" t="s">
        <v>1930</v>
      </c>
    </row>
    <row r="578" spans="2:2">
      <c r="B578" s="1" t="s">
        <v>1929</v>
      </c>
    </row>
    <row r="579" spans="2:2">
      <c r="B579" s="1" t="s">
        <v>1928</v>
      </c>
    </row>
    <row r="580" spans="2:2">
      <c r="B580" s="1" t="s">
        <v>1927</v>
      </c>
    </row>
    <row r="581" spans="2:2">
      <c r="B581" s="1" t="s">
        <v>1926</v>
      </c>
    </row>
    <row r="582" spans="2:2">
      <c r="B582" s="1" t="s">
        <v>1925</v>
      </c>
    </row>
    <row r="583" spans="2:2">
      <c r="B583" s="1" t="s">
        <v>1924</v>
      </c>
    </row>
    <row r="584" spans="2:2">
      <c r="B584" s="1" t="s">
        <v>1923</v>
      </c>
    </row>
    <row r="585" spans="2:2">
      <c r="B585" s="1" t="s">
        <v>1922</v>
      </c>
    </row>
    <row r="586" spans="2:2">
      <c r="B586" s="1" t="s">
        <v>1921</v>
      </c>
    </row>
    <row r="587" spans="2:2">
      <c r="B587" s="1" t="s">
        <v>1920</v>
      </c>
    </row>
    <row r="588" spans="2:2">
      <c r="B588" s="1" t="s">
        <v>1919</v>
      </c>
    </row>
    <row r="589" spans="2:2">
      <c r="B589" s="1" t="s">
        <v>1918</v>
      </c>
    </row>
    <row r="590" spans="2:2">
      <c r="B590" s="1" t="s">
        <v>1917</v>
      </c>
    </row>
    <row r="591" spans="2:2">
      <c r="B591" s="1" t="s">
        <v>1916</v>
      </c>
    </row>
    <row r="592" spans="2:2">
      <c r="B592" s="1" t="s">
        <v>1915</v>
      </c>
    </row>
    <row r="593" spans="2:2">
      <c r="B593" s="1" t="s">
        <v>1914</v>
      </c>
    </row>
    <row r="594" spans="2:2">
      <c r="B594" s="1" t="s">
        <v>1913</v>
      </c>
    </row>
    <row r="595" spans="2:2">
      <c r="B595" s="1" t="s">
        <v>1912</v>
      </c>
    </row>
    <row r="596" spans="2:2">
      <c r="B596" s="1" t="s">
        <v>1911</v>
      </c>
    </row>
    <row r="597" spans="2:2">
      <c r="B597" s="1" t="s">
        <v>1910</v>
      </c>
    </row>
    <row r="598" spans="2:2">
      <c r="B598" s="1" t="s">
        <v>1909</v>
      </c>
    </row>
    <row r="599" spans="2:2">
      <c r="B599" s="1" t="s">
        <v>1908</v>
      </c>
    </row>
    <row r="600" spans="2:2">
      <c r="B600" s="1" t="s">
        <v>1907</v>
      </c>
    </row>
    <row r="601" spans="2:2">
      <c r="B601" s="1" t="s">
        <v>1906</v>
      </c>
    </row>
    <row r="602" spans="2:2">
      <c r="B602" s="1" t="s">
        <v>1905</v>
      </c>
    </row>
    <row r="603" spans="2:2">
      <c r="B603" s="1" t="s">
        <v>1904</v>
      </c>
    </row>
    <row r="604" spans="2:2">
      <c r="B604" s="1" t="s">
        <v>1903</v>
      </c>
    </row>
    <row r="605" spans="2:2">
      <c r="B605" s="1" t="s">
        <v>1902</v>
      </c>
    </row>
    <row r="606" spans="2:2">
      <c r="B606" s="1" t="s">
        <v>1901</v>
      </c>
    </row>
    <row r="607" spans="2:2">
      <c r="B607" s="1" t="s">
        <v>1900</v>
      </c>
    </row>
    <row r="608" spans="2:2">
      <c r="B608" s="1" t="s">
        <v>1899</v>
      </c>
    </row>
    <row r="609" spans="2:13">
      <c r="B609" s="1" t="s">
        <v>1898</v>
      </c>
    </row>
    <row r="610" spans="2:13">
      <c r="B610" s="1" t="s">
        <v>1897</v>
      </c>
    </row>
    <row r="611" spans="2:13">
      <c r="B611" s="1" t="s">
        <v>1896</v>
      </c>
    </row>
    <row r="612" spans="2:13">
      <c r="B612" s="1" t="s">
        <v>1895</v>
      </c>
    </row>
    <row r="613" spans="2:13">
      <c r="B613" s="1" t="s">
        <v>1894</v>
      </c>
    </row>
    <row r="614" spans="2:13">
      <c r="B614" s="1" t="s">
        <v>1893</v>
      </c>
    </row>
    <row r="615" spans="2:13">
      <c r="B615" s="1" t="s">
        <v>1892</v>
      </c>
    </row>
    <row r="616" spans="2:13">
      <c r="B616" s="1" t="s">
        <v>1891</v>
      </c>
    </row>
    <row r="617" spans="2:13">
      <c r="B617" s="1" t="s">
        <v>1890</v>
      </c>
    </row>
    <row r="618" spans="2:13">
      <c r="B618" s="1" t="s">
        <v>1889</v>
      </c>
    </row>
    <row r="619" spans="2:13">
      <c r="B619" s="1" t="s">
        <v>1888</v>
      </c>
    </row>
    <row r="620" spans="2:13">
      <c r="B620" s="1" t="s">
        <v>1887</v>
      </c>
      <c r="C620" s="26" t="s">
        <v>1729</v>
      </c>
      <c r="M620" s="1" t="s">
        <v>1744</v>
      </c>
    </row>
    <row r="621" spans="2:13">
      <c r="B621" s="1" t="s">
        <v>1886</v>
      </c>
      <c r="C621" s="26" t="s">
        <v>1729</v>
      </c>
    </row>
    <row r="622" spans="2:13">
      <c r="B622" s="1" t="s">
        <v>1885</v>
      </c>
      <c r="C622" s="26" t="s">
        <v>1729</v>
      </c>
      <c r="M622" s="1" t="s">
        <v>1843</v>
      </c>
    </row>
    <row r="623" spans="2:13">
      <c r="B623" s="1" t="s">
        <v>1884</v>
      </c>
      <c r="C623" s="26" t="s">
        <v>1729</v>
      </c>
      <c r="M623" s="1" t="s">
        <v>1843</v>
      </c>
    </row>
    <row r="624" spans="2:13">
      <c r="B624" s="1" t="s">
        <v>1883</v>
      </c>
      <c r="C624" s="26" t="s">
        <v>1729</v>
      </c>
      <c r="M624" s="1" t="s">
        <v>1843</v>
      </c>
    </row>
    <row r="625" spans="2:13">
      <c r="B625" s="1" t="s">
        <v>1882</v>
      </c>
      <c r="C625" s="26" t="s">
        <v>1729</v>
      </c>
      <c r="M625" s="1" t="s">
        <v>1843</v>
      </c>
    </row>
    <row r="626" spans="2:13">
      <c r="B626" s="1" t="s">
        <v>1881</v>
      </c>
      <c r="C626" s="26" t="s">
        <v>1729</v>
      </c>
      <c r="M626" s="1" t="s">
        <v>1843</v>
      </c>
    </row>
    <row r="627" spans="2:13">
      <c r="B627" s="1" t="s">
        <v>1880</v>
      </c>
      <c r="C627" s="26" t="s">
        <v>1729</v>
      </c>
      <c r="M627" s="1" t="s">
        <v>1843</v>
      </c>
    </row>
    <row r="628" spans="2:13">
      <c r="B628" s="1" t="s">
        <v>1879</v>
      </c>
      <c r="C628" s="26" t="s">
        <v>1729</v>
      </c>
      <c r="M628" s="1" t="s">
        <v>1843</v>
      </c>
    </row>
    <row r="629" spans="2:13">
      <c r="B629" s="1" t="s">
        <v>1878</v>
      </c>
      <c r="C629" s="26" t="s">
        <v>1729</v>
      </c>
      <c r="M629" s="1" t="s">
        <v>1843</v>
      </c>
    </row>
    <row r="630" spans="2:13">
      <c r="B630" s="1" t="s">
        <v>1877</v>
      </c>
      <c r="C630" s="26" t="s">
        <v>1729</v>
      </c>
      <c r="M630" s="1" t="s">
        <v>1843</v>
      </c>
    </row>
    <row r="631" spans="2:13">
      <c r="B631" s="1" t="s">
        <v>1876</v>
      </c>
      <c r="C631" s="26" t="s">
        <v>1729</v>
      </c>
      <c r="M631" s="1" t="s">
        <v>1843</v>
      </c>
    </row>
    <row r="632" spans="2:13">
      <c r="B632" s="1" t="s">
        <v>1875</v>
      </c>
      <c r="C632" s="26" t="s">
        <v>1729</v>
      </c>
      <c r="M632" s="1" t="s">
        <v>1843</v>
      </c>
    </row>
    <row r="633" spans="2:13">
      <c r="B633" s="1" t="s">
        <v>1874</v>
      </c>
      <c r="C633" s="26" t="s">
        <v>1729</v>
      </c>
      <c r="M633" s="1" t="s">
        <v>1843</v>
      </c>
    </row>
    <row r="634" spans="2:13">
      <c r="B634" s="1" t="s">
        <v>1873</v>
      </c>
      <c r="C634" s="26" t="s">
        <v>1729</v>
      </c>
      <c r="M634" s="1" t="s">
        <v>1843</v>
      </c>
    </row>
    <row r="635" spans="2:13">
      <c r="B635" s="1" t="s">
        <v>1872</v>
      </c>
      <c r="C635" s="26" t="s">
        <v>1729</v>
      </c>
      <c r="M635" s="1" t="s">
        <v>1843</v>
      </c>
    </row>
    <row r="636" spans="2:13">
      <c r="B636" s="1" t="s">
        <v>1871</v>
      </c>
      <c r="C636" s="26" t="s">
        <v>1729</v>
      </c>
      <c r="M636" s="1" t="s">
        <v>1843</v>
      </c>
    </row>
    <row r="637" spans="2:13">
      <c r="B637" s="1" t="s">
        <v>1870</v>
      </c>
      <c r="C637" s="26" t="s">
        <v>1729</v>
      </c>
      <c r="M637" s="1" t="s">
        <v>1843</v>
      </c>
    </row>
    <row r="638" spans="2:13">
      <c r="B638" s="1" t="s">
        <v>1869</v>
      </c>
      <c r="C638" s="26" t="s">
        <v>1729</v>
      </c>
      <c r="M638" s="1" t="s">
        <v>1843</v>
      </c>
    </row>
    <row r="639" spans="2:13">
      <c r="B639" s="1" t="s">
        <v>1868</v>
      </c>
      <c r="C639" s="26" t="s">
        <v>1729</v>
      </c>
      <c r="M639" s="1" t="s">
        <v>1843</v>
      </c>
    </row>
    <row r="640" spans="2:13">
      <c r="B640" s="1" t="s">
        <v>1867</v>
      </c>
      <c r="C640" s="26" t="s">
        <v>1729</v>
      </c>
      <c r="M640" s="1" t="s">
        <v>1843</v>
      </c>
    </row>
    <row r="641" spans="2:13">
      <c r="B641" s="1" t="s">
        <v>1866</v>
      </c>
      <c r="C641" s="26" t="s">
        <v>1729</v>
      </c>
      <c r="M641" s="1" t="s">
        <v>1843</v>
      </c>
    </row>
    <row r="642" spans="2:13">
      <c r="B642" s="1" t="s">
        <v>1865</v>
      </c>
      <c r="C642" s="26" t="s">
        <v>1729</v>
      </c>
      <c r="M642" s="1" t="s">
        <v>1843</v>
      </c>
    </row>
    <row r="643" spans="2:13">
      <c r="B643" s="1" t="s">
        <v>1864</v>
      </c>
      <c r="C643" s="26" t="s">
        <v>1729</v>
      </c>
      <c r="M643" s="1" t="s">
        <v>1843</v>
      </c>
    </row>
    <row r="644" spans="2:13">
      <c r="B644" s="1" t="s">
        <v>1863</v>
      </c>
      <c r="C644" s="26" t="s">
        <v>1729</v>
      </c>
      <c r="M644" s="1" t="s">
        <v>1843</v>
      </c>
    </row>
    <row r="645" spans="2:13">
      <c r="B645" s="1" t="s">
        <v>1862</v>
      </c>
      <c r="C645" s="26" t="s">
        <v>1729</v>
      </c>
      <c r="M645" s="1" t="s">
        <v>1843</v>
      </c>
    </row>
    <row r="646" spans="2:13">
      <c r="B646" s="1" t="s">
        <v>1861</v>
      </c>
      <c r="C646" s="26" t="s">
        <v>1729</v>
      </c>
      <c r="M646" s="1" t="s">
        <v>1843</v>
      </c>
    </row>
    <row r="647" spans="2:13">
      <c r="B647" s="1" t="s">
        <v>1860</v>
      </c>
      <c r="C647" s="26" t="s">
        <v>1729</v>
      </c>
      <c r="M647" s="1" t="s">
        <v>1843</v>
      </c>
    </row>
    <row r="648" spans="2:13">
      <c r="B648" s="1" t="s">
        <v>1859</v>
      </c>
      <c r="C648" s="26" t="s">
        <v>1729</v>
      </c>
      <c r="M648" s="1" t="s">
        <v>1843</v>
      </c>
    </row>
    <row r="649" spans="2:13">
      <c r="B649" s="1" t="s">
        <v>1858</v>
      </c>
      <c r="C649" s="26" t="s">
        <v>1729</v>
      </c>
      <c r="M649" s="1" t="s">
        <v>1843</v>
      </c>
    </row>
    <row r="650" spans="2:13">
      <c r="B650" s="1" t="s">
        <v>1857</v>
      </c>
      <c r="C650" s="26" t="s">
        <v>1729</v>
      </c>
      <c r="M650" s="1" t="s">
        <v>1843</v>
      </c>
    </row>
    <row r="651" spans="2:13">
      <c r="B651" s="1" t="s">
        <v>1856</v>
      </c>
      <c r="C651" s="26" t="s">
        <v>1729</v>
      </c>
      <c r="M651" s="1" t="s">
        <v>1843</v>
      </c>
    </row>
    <row r="652" spans="2:13">
      <c r="B652" s="1" t="s">
        <v>1855</v>
      </c>
      <c r="C652" s="26" t="s">
        <v>1729</v>
      </c>
      <c r="M652" s="1" t="s">
        <v>1843</v>
      </c>
    </row>
    <row r="653" spans="2:13">
      <c r="B653" s="1" t="s">
        <v>1854</v>
      </c>
      <c r="C653" s="26" t="s">
        <v>1729</v>
      </c>
      <c r="M653" s="1" t="s">
        <v>1843</v>
      </c>
    </row>
    <row r="654" spans="2:13">
      <c r="B654" s="1" t="s">
        <v>1853</v>
      </c>
      <c r="C654" s="26" t="s">
        <v>1729</v>
      </c>
      <c r="M654" s="1" t="s">
        <v>1843</v>
      </c>
    </row>
    <row r="655" spans="2:13">
      <c r="B655" s="1" t="s">
        <v>1852</v>
      </c>
      <c r="C655" s="26" t="s">
        <v>1729</v>
      </c>
      <c r="M655" s="1" t="s">
        <v>1843</v>
      </c>
    </row>
    <row r="656" spans="2:13">
      <c r="B656" s="1" t="s">
        <v>1851</v>
      </c>
      <c r="C656" s="26" t="s">
        <v>1729</v>
      </c>
      <c r="M656" s="1" t="s">
        <v>1843</v>
      </c>
    </row>
    <row r="657" spans="2:13">
      <c r="B657" s="1" t="s">
        <v>1850</v>
      </c>
      <c r="C657" s="26" t="s">
        <v>1729</v>
      </c>
      <c r="M657" s="1" t="s">
        <v>1843</v>
      </c>
    </row>
    <row r="658" spans="2:13">
      <c r="B658" s="1" t="s">
        <v>1849</v>
      </c>
      <c r="C658" s="26" t="s">
        <v>1729</v>
      </c>
      <c r="M658" s="1" t="s">
        <v>1843</v>
      </c>
    </row>
    <row r="659" spans="2:13">
      <c r="B659" s="1" t="s">
        <v>1848</v>
      </c>
      <c r="C659" s="26" t="s">
        <v>1729</v>
      </c>
      <c r="M659" s="1" t="s">
        <v>1843</v>
      </c>
    </row>
    <row r="660" spans="2:13">
      <c r="B660" s="1" t="s">
        <v>1847</v>
      </c>
      <c r="C660" s="26" t="s">
        <v>1729</v>
      </c>
      <c r="M660" s="1" t="s">
        <v>1843</v>
      </c>
    </row>
    <row r="661" spans="2:13">
      <c r="B661" s="1" t="s">
        <v>1846</v>
      </c>
      <c r="C661" s="26" t="s">
        <v>1729</v>
      </c>
      <c r="M661" s="1" t="s">
        <v>1843</v>
      </c>
    </row>
    <row r="662" spans="2:13">
      <c r="B662" s="1" t="s">
        <v>1845</v>
      </c>
      <c r="C662" s="26" t="s">
        <v>1729</v>
      </c>
      <c r="M662" s="1" t="s">
        <v>1843</v>
      </c>
    </row>
    <row r="663" spans="2:13">
      <c r="B663" s="1" t="s">
        <v>1844</v>
      </c>
      <c r="C663" s="26" t="s">
        <v>1729</v>
      </c>
      <c r="M663" s="1" t="s">
        <v>1843</v>
      </c>
    </row>
    <row r="664" spans="2:13">
      <c r="B664" s="1" t="s">
        <v>1842</v>
      </c>
      <c r="C664" s="26" t="s">
        <v>1729</v>
      </c>
      <c r="M664" s="1" t="s">
        <v>1744</v>
      </c>
    </row>
    <row r="665" spans="2:13">
      <c r="B665" s="1" t="s">
        <v>1841</v>
      </c>
      <c r="C665" s="26" t="s">
        <v>1729</v>
      </c>
      <c r="M665" s="1" t="s">
        <v>1744</v>
      </c>
    </row>
    <row r="666" spans="2:13">
      <c r="B666" s="1" t="s">
        <v>1840</v>
      </c>
      <c r="C666" s="26" t="s">
        <v>1729</v>
      </c>
      <c r="M666" s="1" t="s">
        <v>1744</v>
      </c>
    </row>
    <row r="667" spans="2:13">
      <c r="B667" s="1" t="s">
        <v>1839</v>
      </c>
      <c r="C667" s="26" t="s">
        <v>1729</v>
      </c>
      <c r="M667" s="1" t="s">
        <v>1744</v>
      </c>
    </row>
    <row r="668" spans="2:13">
      <c r="B668" s="1" t="s">
        <v>1838</v>
      </c>
      <c r="C668" s="26" t="s">
        <v>1729</v>
      </c>
      <c r="M668" s="1" t="s">
        <v>1744</v>
      </c>
    </row>
    <row r="669" spans="2:13">
      <c r="B669" s="1" t="s">
        <v>1837</v>
      </c>
      <c r="C669" s="26" t="s">
        <v>1729</v>
      </c>
      <c r="M669" s="1" t="s">
        <v>1744</v>
      </c>
    </row>
    <row r="670" spans="2:13">
      <c r="B670" s="1" t="s">
        <v>1836</v>
      </c>
      <c r="C670" s="26" t="s">
        <v>1729</v>
      </c>
      <c r="M670" s="1" t="s">
        <v>1744</v>
      </c>
    </row>
    <row r="671" spans="2:13">
      <c r="B671" s="1" t="s">
        <v>1835</v>
      </c>
      <c r="C671" s="26" t="s">
        <v>1729</v>
      </c>
      <c r="M671" s="1" t="s">
        <v>1744</v>
      </c>
    </row>
    <row r="672" spans="2:13">
      <c r="B672" s="1" t="s">
        <v>1834</v>
      </c>
      <c r="C672" s="26" t="s">
        <v>1729</v>
      </c>
      <c r="M672" s="1" t="s">
        <v>1744</v>
      </c>
    </row>
    <row r="673" spans="2:13">
      <c r="B673" s="1" t="s">
        <v>1833</v>
      </c>
      <c r="C673" s="26" t="s">
        <v>1729</v>
      </c>
      <c r="M673" s="1" t="s">
        <v>1744</v>
      </c>
    </row>
    <row r="674" spans="2:13">
      <c r="B674" s="1" t="s">
        <v>1832</v>
      </c>
      <c r="C674" s="26" t="s">
        <v>1729</v>
      </c>
      <c r="M674" s="1" t="s">
        <v>1744</v>
      </c>
    </row>
    <row r="675" spans="2:13">
      <c r="B675" s="1" t="s">
        <v>1831</v>
      </c>
      <c r="C675" s="26" t="s">
        <v>1729</v>
      </c>
      <c r="M675" s="1" t="s">
        <v>1744</v>
      </c>
    </row>
    <row r="676" spans="2:13">
      <c r="B676" s="1" t="s">
        <v>1830</v>
      </c>
      <c r="C676" s="26" t="s">
        <v>1729</v>
      </c>
      <c r="M676" s="1" t="s">
        <v>1744</v>
      </c>
    </row>
    <row r="677" spans="2:13">
      <c r="B677" s="1" t="s">
        <v>1829</v>
      </c>
      <c r="C677" s="26" t="s">
        <v>1729</v>
      </c>
      <c r="M677" s="1" t="s">
        <v>1744</v>
      </c>
    </row>
    <row r="678" spans="2:13">
      <c r="B678" s="1" t="s">
        <v>1828</v>
      </c>
      <c r="C678" s="26" t="s">
        <v>1729</v>
      </c>
      <c r="M678" s="1" t="s">
        <v>1744</v>
      </c>
    </row>
    <row r="679" spans="2:13">
      <c r="B679" s="1" t="s">
        <v>1827</v>
      </c>
      <c r="C679" s="26" t="s">
        <v>1729</v>
      </c>
      <c r="M679" s="1" t="s">
        <v>1744</v>
      </c>
    </row>
    <row r="680" spans="2:13">
      <c r="B680" s="1" t="s">
        <v>1826</v>
      </c>
      <c r="C680" s="26" t="s">
        <v>1729</v>
      </c>
      <c r="M680" s="1" t="s">
        <v>1744</v>
      </c>
    </row>
    <row r="681" spans="2:13">
      <c r="B681" s="1" t="s">
        <v>1825</v>
      </c>
      <c r="C681" s="26" t="s">
        <v>1729</v>
      </c>
      <c r="M681" s="1" t="s">
        <v>1744</v>
      </c>
    </row>
    <row r="682" spans="2:13">
      <c r="B682" s="1" t="s">
        <v>1824</v>
      </c>
      <c r="C682" s="26" t="s">
        <v>1729</v>
      </c>
      <c r="M682" s="1" t="s">
        <v>1744</v>
      </c>
    </row>
    <row r="683" spans="2:13">
      <c r="B683" s="1" t="s">
        <v>1823</v>
      </c>
      <c r="C683" s="26" t="s">
        <v>1729</v>
      </c>
      <c r="M683" s="1" t="s">
        <v>1744</v>
      </c>
    </row>
    <row r="684" spans="2:13">
      <c r="B684" s="1" t="s">
        <v>1822</v>
      </c>
      <c r="C684" s="26" t="s">
        <v>1729</v>
      </c>
      <c r="M684" s="1" t="s">
        <v>1744</v>
      </c>
    </row>
    <row r="685" spans="2:13">
      <c r="B685" s="1" t="s">
        <v>1821</v>
      </c>
      <c r="C685" s="26" t="s">
        <v>1729</v>
      </c>
      <c r="M685" s="1" t="s">
        <v>1744</v>
      </c>
    </row>
    <row r="686" spans="2:13">
      <c r="B686" s="1" t="s">
        <v>1820</v>
      </c>
      <c r="C686" s="26" t="s">
        <v>1729</v>
      </c>
      <c r="M686" s="1" t="s">
        <v>1744</v>
      </c>
    </row>
    <row r="687" spans="2:13">
      <c r="B687" s="1" t="s">
        <v>1819</v>
      </c>
      <c r="C687" s="26" t="s">
        <v>1729</v>
      </c>
      <c r="M687" s="1" t="s">
        <v>1744</v>
      </c>
    </row>
    <row r="688" spans="2:13">
      <c r="B688" s="1" t="s">
        <v>1818</v>
      </c>
      <c r="C688" s="26" t="s">
        <v>1729</v>
      </c>
      <c r="M688" s="1" t="s">
        <v>1744</v>
      </c>
    </row>
    <row r="689" spans="2:13">
      <c r="B689" s="1" t="s">
        <v>1817</v>
      </c>
      <c r="C689" s="26" t="s">
        <v>1729</v>
      </c>
      <c r="M689" s="1" t="s">
        <v>1744</v>
      </c>
    </row>
    <row r="690" spans="2:13">
      <c r="B690" s="1" t="s">
        <v>1816</v>
      </c>
      <c r="C690" s="26" t="s">
        <v>1729</v>
      </c>
      <c r="M690" s="1" t="s">
        <v>1744</v>
      </c>
    </row>
    <row r="691" spans="2:13">
      <c r="B691" s="1" t="s">
        <v>1815</v>
      </c>
      <c r="C691" s="26" t="s">
        <v>1729</v>
      </c>
      <c r="M691" s="1" t="s">
        <v>1744</v>
      </c>
    </row>
    <row r="692" spans="2:13">
      <c r="B692" s="1" t="s">
        <v>1814</v>
      </c>
      <c r="C692" s="26" t="s">
        <v>1729</v>
      </c>
      <c r="M692" s="1" t="s">
        <v>1744</v>
      </c>
    </row>
    <row r="693" spans="2:13">
      <c r="B693" s="1" t="s">
        <v>1813</v>
      </c>
      <c r="C693" s="26" t="s">
        <v>1729</v>
      </c>
      <c r="M693" s="1" t="s">
        <v>1744</v>
      </c>
    </row>
    <row r="694" spans="2:13">
      <c r="B694" s="1" t="s">
        <v>1812</v>
      </c>
      <c r="C694" s="26" t="s">
        <v>1729</v>
      </c>
      <c r="M694" s="1" t="s">
        <v>1744</v>
      </c>
    </row>
    <row r="695" spans="2:13">
      <c r="B695" s="1" t="s">
        <v>1811</v>
      </c>
      <c r="C695" s="26" t="s">
        <v>1729</v>
      </c>
      <c r="M695" s="1" t="s">
        <v>1744</v>
      </c>
    </row>
    <row r="696" spans="2:13">
      <c r="B696" s="1" t="s">
        <v>1810</v>
      </c>
      <c r="C696" s="26" t="s">
        <v>1729</v>
      </c>
      <c r="M696" s="1" t="s">
        <v>1744</v>
      </c>
    </row>
    <row r="697" spans="2:13">
      <c r="B697" s="1" t="s">
        <v>1809</v>
      </c>
      <c r="C697" s="26" t="s">
        <v>1729</v>
      </c>
      <c r="M697" s="1" t="s">
        <v>1744</v>
      </c>
    </row>
    <row r="698" spans="2:13">
      <c r="B698" s="1" t="s">
        <v>1808</v>
      </c>
      <c r="C698" s="26" t="s">
        <v>1729</v>
      </c>
      <c r="M698" s="1" t="s">
        <v>1744</v>
      </c>
    </row>
    <row r="699" spans="2:13">
      <c r="B699" s="1" t="s">
        <v>1807</v>
      </c>
      <c r="C699" s="26" t="s">
        <v>1729</v>
      </c>
      <c r="M699" s="1" t="s">
        <v>1744</v>
      </c>
    </row>
    <row r="700" spans="2:13">
      <c r="B700" s="1" t="s">
        <v>1806</v>
      </c>
      <c r="C700" s="26" t="s">
        <v>1729</v>
      </c>
      <c r="M700" s="1" t="s">
        <v>1744</v>
      </c>
    </row>
    <row r="701" spans="2:13">
      <c r="B701" s="1" t="s">
        <v>1805</v>
      </c>
      <c r="C701" s="26" t="s">
        <v>1729</v>
      </c>
      <c r="M701" s="1" t="s">
        <v>1744</v>
      </c>
    </row>
    <row r="702" spans="2:13">
      <c r="B702" s="1" t="s">
        <v>1804</v>
      </c>
      <c r="C702" s="26" t="s">
        <v>1729</v>
      </c>
      <c r="M702" s="1" t="s">
        <v>1744</v>
      </c>
    </row>
    <row r="703" spans="2:13">
      <c r="B703" s="1" t="s">
        <v>1803</v>
      </c>
      <c r="C703" s="26" t="s">
        <v>1729</v>
      </c>
      <c r="M703" s="1" t="s">
        <v>1744</v>
      </c>
    </row>
    <row r="704" spans="2:13">
      <c r="B704" s="1" t="s">
        <v>1802</v>
      </c>
      <c r="C704" s="26" t="s">
        <v>1729</v>
      </c>
      <c r="M704" s="1" t="s">
        <v>1744</v>
      </c>
    </row>
    <row r="705" spans="2:13">
      <c r="B705" s="7" t="s">
        <v>1801</v>
      </c>
      <c r="C705" s="26" t="s">
        <v>1729</v>
      </c>
      <c r="M705" s="1" t="s">
        <v>1744</v>
      </c>
    </row>
    <row r="706" spans="2:13">
      <c r="B706" s="1" t="s">
        <v>1800</v>
      </c>
      <c r="C706" s="26" t="s">
        <v>1729</v>
      </c>
      <c r="M706" s="1" t="s">
        <v>1744</v>
      </c>
    </row>
    <row r="707" spans="2:13">
      <c r="B707" s="1" t="s">
        <v>1799</v>
      </c>
      <c r="C707" s="26" t="s">
        <v>1729</v>
      </c>
      <c r="M707" s="1" t="s">
        <v>1744</v>
      </c>
    </row>
    <row r="708" spans="2:13">
      <c r="B708" s="1" t="s">
        <v>1798</v>
      </c>
      <c r="C708" s="26" t="s">
        <v>1729</v>
      </c>
      <c r="M708" s="1" t="s">
        <v>1744</v>
      </c>
    </row>
    <row r="709" spans="2:13">
      <c r="B709" s="1" t="s">
        <v>1797</v>
      </c>
      <c r="C709" s="26" t="s">
        <v>1729</v>
      </c>
      <c r="M709" s="1" t="s">
        <v>1744</v>
      </c>
    </row>
    <row r="710" spans="2:13">
      <c r="B710" s="1" t="s">
        <v>1796</v>
      </c>
      <c r="C710" s="26" t="s">
        <v>1729</v>
      </c>
      <c r="M710" s="1" t="s">
        <v>1744</v>
      </c>
    </row>
    <row r="711" spans="2:13">
      <c r="B711" s="1" t="s">
        <v>1795</v>
      </c>
      <c r="C711" s="26" t="s">
        <v>1729</v>
      </c>
      <c r="M711" s="1" t="s">
        <v>1744</v>
      </c>
    </row>
    <row r="712" spans="2:13">
      <c r="B712" s="1" t="s">
        <v>1794</v>
      </c>
      <c r="C712" s="26" t="s">
        <v>1729</v>
      </c>
      <c r="M712" s="1" t="s">
        <v>1744</v>
      </c>
    </row>
    <row r="713" spans="2:13">
      <c r="B713" s="1" t="s">
        <v>1793</v>
      </c>
      <c r="C713" s="26" t="s">
        <v>1729</v>
      </c>
      <c r="M713" s="1" t="s">
        <v>1744</v>
      </c>
    </row>
    <row r="714" spans="2:13">
      <c r="B714" s="1" t="s">
        <v>1792</v>
      </c>
      <c r="C714" s="26" t="s">
        <v>1729</v>
      </c>
      <c r="M714" s="1" t="s">
        <v>1744</v>
      </c>
    </row>
    <row r="715" spans="2:13">
      <c r="B715" s="1" t="s">
        <v>1791</v>
      </c>
      <c r="C715" s="26" t="s">
        <v>1729</v>
      </c>
      <c r="M715" s="1" t="s">
        <v>1744</v>
      </c>
    </row>
    <row r="716" spans="2:13">
      <c r="B716" s="1" t="s">
        <v>1790</v>
      </c>
      <c r="C716" s="26" t="s">
        <v>1729</v>
      </c>
      <c r="M716" s="1" t="s">
        <v>1744</v>
      </c>
    </row>
    <row r="717" spans="2:13">
      <c r="B717" s="1" t="s">
        <v>1789</v>
      </c>
      <c r="C717" s="26" t="s">
        <v>1729</v>
      </c>
      <c r="M717" s="1" t="s">
        <v>1744</v>
      </c>
    </row>
    <row r="718" spans="2:13">
      <c r="B718" s="1" t="s">
        <v>1788</v>
      </c>
      <c r="C718" s="26" t="s">
        <v>1729</v>
      </c>
      <c r="M718" s="1" t="s">
        <v>1744</v>
      </c>
    </row>
    <row r="719" spans="2:13">
      <c r="B719" s="1" t="s">
        <v>1787</v>
      </c>
      <c r="C719" s="26" t="s">
        <v>1729</v>
      </c>
      <c r="M719" s="1" t="s">
        <v>1744</v>
      </c>
    </row>
    <row r="720" spans="2:13">
      <c r="B720" s="1" t="s">
        <v>1786</v>
      </c>
      <c r="C720" s="26" t="s">
        <v>1729</v>
      </c>
      <c r="M720" s="1" t="s">
        <v>1744</v>
      </c>
    </row>
    <row r="721" spans="2:13">
      <c r="B721" s="1" t="s">
        <v>1785</v>
      </c>
      <c r="C721" s="26" t="s">
        <v>1729</v>
      </c>
      <c r="M721" s="1" t="s">
        <v>1744</v>
      </c>
    </row>
    <row r="722" spans="2:13">
      <c r="B722" s="1" t="s">
        <v>1784</v>
      </c>
      <c r="C722" s="26" t="s">
        <v>1729</v>
      </c>
      <c r="M722" s="1" t="s">
        <v>1744</v>
      </c>
    </row>
    <row r="723" spans="2:13">
      <c r="B723" s="1" t="s">
        <v>1783</v>
      </c>
      <c r="C723" s="26" t="s">
        <v>1729</v>
      </c>
      <c r="M723" s="1" t="s">
        <v>1744</v>
      </c>
    </row>
    <row r="724" spans="2:13">
      <c r="B724" s="1" t="s">
        <v>1782</v>
      </c>
      <c r="C724" s="26" t="s">
        <v>1729</v>
      </c>
      <c r="M724" s="1" t="s">
        <v>1744</v>
      </c>
    </row>
    <row r="725" spans="2:13">
      <c r="B725" s="1" t="s">
        <v>1781</v>
      </c>
      <c r="C725" s="26" t="s">
        <v>1729</v>
      </c>
      <c r="M725" s="1" t="s">
        <v>1744</v>
      </c>
    </row>
    <row r="726" spans="2:13">
      <c r="B726" s="1" t="s">
        <v>1780</v>
      </c>
      <c r="C726" s="26" t="s">
        <v>1729</v>
      </c>
      <c r="M726" s="1" t="s">
        <v>1744</v>
      </c>
    </row>
    <row r="727" spans="2:13">
      <c r="B727" s="1" t="s">
        <v>1779</v>
      </c>
      <c r="C727" s="26" t="s">
        <v>1729</v>
      </c>
      <c r="M727" s="1" t="s">
        <v>1744</v>
      </c>
    </row>
    <row r="728" spans="2:13">
      <c r="B728" s="1" t="s">
        <v>1778</v>
      </c>
      <c r="C728" s="26" t="s">
        <v>1729</v>
      </c>
      <c r="M728" s="1" t="s">
        <v>1744</v>
      </c>
    </row>
    <row r="729" spans="2:13">
      <c r="B729" s="1" t="s">
        <v>1777</v>
      </c>
      <c r="C729" s="26" t="s">
        <v>1729</v>
      </c>
      <c r="M729" s="1" t="s">
        <v>1744</v>
      </c>
    </row>
    <row r="730" spans="2:13">
      <c r="B730" s="1" t="s">
        <v>1776</v>
      </c>
      <c r="C730" s="26" t="s">
        <v>1729</v>
      </c>
      <c r="M730" s="1" t="s">
        <v>1744</v>
      </c>
    </row>
    <row r="731" spans="2:13">
      <c r="B731" s="1" t="s">
        <v>1775</v>
      </c>
      <c r="C731" s="26" t="s">
        <v>1729</v>
      </c>
      <c r="M731" s="1" t="s">
        <v>1744</v>
      </c>
    </row>
    <row r="732" spans="2:13">
      <c r="B732" s="1" t="s">
        <v>1774</v>
      </c>
      <c r="C732" s="26" t="s">
        <v>1729</v>
      </c>
      <c r="M732" s="1" t="s">
        <v>1744</v>
      </c>
    </row>
    <row r="733" spans="2:13">
      <c r="B733" s="1" t="s">
        <v>1773</v>
      </c>
      <c r="C733" s="26" t="s">
        <v>1729</v>
      </c>
      <c r="M733" s="1" t="s">
        <v>1744</v>
      </c>
    </row>
    <row r="734" spans="2:13">
      <c r="B734" s="1" t="s">
        <v>1772</v>
      </c>
      <c r="C734" s="26" t="s">
        <v>1729</v>
      </c>
      <c r="M734" s="1" t="s">
        <v>1744</v>
      </c>
    </row>
    <row r="735" spans="2:13">
      <c r="B735" s="1" t="s">
        <v>1771</v>
      </c>
      <c r="C735" s="26" t="s">
        <v>1729</v>
      </c>
      <c r="M735" s="1" t="s">
        <v>1744</v>
      </c>
    </row>
    <row r="736" spans="2:13">
      <c r="B736" s="1" t="s">
        <v>1770</v>
      </c>
      <c r="C736" s="26" t="s">
        <v>1729</v>
      </c>
      <c r="M736" s="1" t="s">
        <v>1744</v>
      </c>
    </row>
    <row r="737" spans="2:13">
      <c r="B737" s="1" t="s">
        <v>1769</v>
      </c>
      <c r="C737" s="26" t="s">
        <v>1729</v>
      </c>
      <c r="M737" s="1" t="s">
        <v>1744</v>
      </c>
    </row>
    <row r="738" spans="2:13">
      <c r="B738" s="1" t="s">
        <v>1768</v>
      </c>
      <c r="C738" s="26" t="s">
        <v>1729</v>
      </c>
      <c r="M738" s="1" t="s">
        <v>1744</v>
      </c>
    </row>
    <row r="739" spans="2:13">
      <c r="B739" s="1" t="s">
        <v>1767</v>
      </c>
      <c r="C739" s="26" t="s">
        <v>1729</v>
      </c>
      <c r="M739" s="1" t="s">
        <v>1744</v>
      </c>
    </row>
    <row r="740" spans="2:13">
      <c r="B740" s="1" t="s">
        <v>1766</v>
      </c>
      <c r="C740" s="26" t="s">
        <v>1729</v>
      </c>
      <c r="M740" s="1" t="s">
        <v>1744</v>
      </c>
    </row>
    <row r="741" spans="2:13">
      <c r="B741" s="1" t="s">
        <v>1765</v>
      </c>
      <c r="C741" s="26" t="s">
        <v>1729</v>
      </c>
      <c r="M741" s="1" t="s">
        <v>1744</v>
      </c>
    </row>
    <row r="742" spans="2:13">
      <c r="B742" s="1" t="s">
        <v>1764</v>
      </c>
      <c r="C742" s="26" t="s">
        <v>1729</v>
      </c>
      <c r="M742" s="1" t="s">
        <v>1744</v>
      </c>
    </row>
    <row r="743" spans="2:13">
      <c r="B743" s="1" t="s">
        <v>1763</v>
      </c>
      <c r="C743" s="26" t="s">
        <v>1729</v>
      </c>
      <c r="M743" s="1" t="s">
        <v>1744</v>
      </c>
    </row>
    <row r="744" spans="2:13">
      <c r="B744" s="1" t="s">
        <v>1762</v>
      </c>
      <c r="C744" s="26" t="s">
        <v>1729</v>
      </c>
      <c r="M744" s="1" t="s">
        <v>1744</v>
      </c>
    </row>
    <row r="745" spans="2:13">
      <c r="B745" s="1" t="s">
        <v>1761</v>
      </c>
      <c r="C745" s="26" t="s">
        <v>1729</v>
      </c>
      <c r="M745" s="1" t="s">
        <v>1744</v>
      </c>
    </row>
    <row r="746" spans="2:13">
      <c r="B746" s="1" t="s">
        <v>1760</v>
      </c>
      <c r="C746" s="26" t="s">
        <v>1729</v>
      </c>
      <c r="M746" s="1" t="s">
        <v>1744</v>
      </c>
    </row>
    <row r="747" spans="2:13">
      <c r="B747" s="1" t="s">
        <v>1759</v>
      </c>
      <c r="C747" s="26" t="s">
        <v>1729</v>
      </c>
      <c r="M747" s="1" t="s">
        <v>1744</v>
      </c>
    </row>
    <row r="748" spans="2:13">
      <c r="B748" s="1" t="s">
        <v>1758</v>
      </c>
      <c r="C748" s="26" t="s">
        <v>1729</v>
      </c>
      <c r="M748" s="1" t="s">
        <v>1744</v>
      </c>
    </row>
    <row r="749" spans="2:13">
      <c r="B749" s="1" t="s">
        <v>1757</v>
      </c>
      <c r="C749" s="26" t="s">
        <v>1729</v>
      </c>
      <c r="M749" s="1" t="s">
        <v>1744</v>
      </c>
    </row>
    <row r="750" spans="2:13">
      <c r="B750" s="1" t="s">
        <v>1756</v>
      </c>
      <c r="C750" s="26" t="s">
        <v>1729</v>
      </c>
      <c r="M750" s="1" t="s">
        <v>1744</v>
      </c>
    </row>
    <row r="751" spans="2:13">
      <c r="B751" s="1" t="s">
        <v>1755</v>
      </c>
      <c r="C751" s="26" t="s">
        <v>1729</v>
      </c>
      <c r="M751" s="1" t="s">
        <v>1744</v>
      </c>
    </row>
    <row r="752" spans="2:13">
      <c r="B752" s="1" t="s">
        <v>1754</v>
      </c>
      <c r="C752" s="26" t="s">
        <v>1729</v>
      </c>
      <c r="M752" s="1" t="s">
        <v>1744</v>
      </c>
    </row>
    <row r="753" spans="2:13">
      <c r="B753" s="1" t="s">
        <v>1753</v>
      </c>
      <c r="C753" s="26" t="s">
        <v>1729</v>
      </c>
      <c r="M753" s="1" t="s">
        <v>1744</v>
      </c>
    </row>
    <row r="754" spans="2:13">
      <c r="B754" s="1" t="s">
        <v>1752</v>
      </c>
      <c r="C754" s="26" t="s">
        <v>1729</v>
      </c>
      <c r="M754" s="1" t="s">
        <v>1744</v>
      </c>
    </row>
    <row r="755" spans="2:13">
      <c r="B755" s="1" t="s">
        <v>1751</v>
      </c>
      <c r="C755" s="26" t="s">
        <v>1729</v>
      </c>
      <c r="M755" s="1" t="s">
        <v>1744</v>
      </c>
    </row>
    <row r="756" spans="2:13">
      <c r="B756" s="1" t="s">
        <v>1470</v>
      </c>
      <c r="C756" s="26" t="s">
        <v>1729</v>
      </c>
      <c r="M756" s="1" t="s">
        <v>1744</v>
      </c>
    </row>
    <row r="757" spans="2:13">
      <c r="B757" s="1" t="s">
        <v>1750</v>
      </c>
      <c r="C757" s="26" t="s">
        <v>1729</v>
      </c>
      <c r="M757" s="1" t="s">
        <v>1744</v>
      </c>
    </row>
    <row r="758" spans="2:13">
      <c r="B758" s="1" t="s">
        <v>1749</v>
      </c>
      <c r="C758" s="26" t="s">
        <v>1729</v>
      </c>
      <c r="M758" s="1" t="s">
        <v>1744</v>
      </c>
    </row>
    <row r="759" spans="2:13">
      <c r="B759" s="1" t="s">
        <v>1748</v>
      </c>
      <c r="C759" s="26" t="s">
        <v>1729</v>
      </c>
      <c r="M759" s="1" t="s">
        <v>1744</v>
      </c>
    </row>
    <row r="760" spans="2:13">
      <c r="B760" s="1" t="s">
        <v>1747</v>
      </c>
      <c r="C760" s="26" t="s">
        <v>1729</v>
      </c>
      <c r="M760" s="1" t="s">
        <v>1744</v>
      </c>
    </row>
    <row r="761" spans="2:13">
      <c r="B761" s="1" t="s">
        <v>1746</v>
      </c>
      <c r="C761" s="26" t="s">
        <v>1729</v>
      </c>
      <c r="M761" s="1" t="s">
        <v>1744</v>
      </c>
    </row>
    <row r="762" spans="2:13">
      <c r="B762" s="1" t="s">
        <v>1745</v>
      </c>
      <c r="C762" s="26" t="s">
        <v>1729</v>
      </c>
      <c r="M762" s="1" t="s">
        <v>1744</v>
      </c>
    </row>
    <row r="763" spans="2:13">
      <c r="B763" s="1" t="s">
        <v>1743</v>
      </c>
      <c r="C763" s="26" t="s">
        <v>1729</v>
      </c>
    </row>
    <row r="764" spans="2:13">
      <c r="B764" s="1" t="s">
        <v>1742</v>
      </c>
      <c r="C764" s="26" t="s">
        <v>1729</v>
      </c>
    </row>
    <row r="765" spans="2:13">
      <c r="B765" s="1" t="s">
        <v>1741</v>
      </c>
      <c r="C765" s="26" t="s">
        <v>1729</v>
      </c>
    </row>
    <row r="766" spans="2:13">
      <c r="B766" s="1" t="s">
        <v>1740</v>
      </c>
      <c r="C766" s="26" t="s">
        <v>1729</v>
      </c>
    </row>
    <row r="767" spans="2:13">
      <c r="B767" s="1" t="s">
        <v>1739</v>
      </c>
      <c r="C767" s="26" t="s">
        <v>1729</v>
      </c>
    </row>
    <row r="768" spans="2:13">
      <c r="B768" s="1" t="s">
        <v>1738</v>
      </c>
      <c r="C768" s="26" t="s">
        <v>1729</v>
      </c>
    </row>
    <row r="769" spans="2:3">
      <c r="B769" s="1" t="s">
        <v>1737</v>
      </c>
      <c r="C769" s="26" t="s">
        <v>1729</v>
      </c>
    </row>
    <row r="770" spans="2:3">
      <c r="B770" s="1" t="s">
        <v>1736</v>
      </c>
      <c r="C770" s="26" t="s">
        <v>1729</v>
      </c>
    </row>
    <row r="771" spans="2:3">
      <c r="B771" s="1" t="s">
        <v>1735</v>
      </c>
      <c r="C771" s="26" t="s">
        <v>1729</v>
      </c>
    </row>
    <row r="772" spans="2:3">
      <c r="B772" s="1" t="s">
        <v>1734</v>
      </c>
      <c r="C772" s="26" t="s">
        <v>1729</v>
      </c>
    </row>
    <row r="773" spans="2:3">
      <c r="B773" s="1" t="s">
        <v>1733</v>
      </c>
      <c r="C773" s="26" t="s">
        <v>1729</v>
      </c>
    </row>
    <row r="774" spans="2:3">
      <c r="B774" s="1" t="s">
        <v>1732</v>
      </c>
      <c r="C774" s="26" t="s">
        <v>1729</v>
      </c>
    </row>
    <row r="775" spans="2:3">
      <c r="B775" s="1" t="s">
        <v>1731</v>
      </c>
      <c r="C775" s="26" t="s">
        <v>1729</v>
      </c>
    </row>
    <row r="776" spans="2:3">
      <c r="B776" s="1" t="s">
        <v>1730</v>
      </c>
      <c r="C776" s="26" t="s">
        <v>1729</v>
      </c>
    </row>
    <row r="777" spans="2:3">
      <c r="B777" s="1" t="s">
        <v>1728</v>
      </c>
    </row>
    <row r="778" spans="2:3">
      <c r="B778" s="1" t="s">
        <v>1727</v>
      </c>
    </row>
    <row r="779" spans="2:3">
      <c r="B779" s="1" t="s">
        <v>1726</v>
      </c>
    </row>
    <row r="780" spans="2:3">
      <c r="B780" s="1" t="s">
        <v>1725</v>
      </c>
    </row>
    <row r="781" spans="2:3">
      <c r="B781" s="1" t="s">
        <v>1724</v>
      </c>
    </row>
    <row r="782" spans="2:3">
      <c r="B782" s="1" t="s">
        <v>1723</v>
      </c>
    </row>
    <row r="783" spans="2:3">
      <c r="B783" s="1" t="s">
        <v>1722</v>
      </c>
    </row>
    <row r="784" spans="2:3">
      <c r="B784" s="1" t="s">
        <v>1721</v>
      </c>
    </row>
    <row r="785" spans="2:2">
      <c r="B785" s="1" t="s">
        <v>1720</v>
      </c>
    </row>
    <row r="786" spans="2:2">
      <c r="B786" s="1" t="s">
        <v>1719</v>
      </c>
    </row>
    <row r="787" spans="2:2">
      <c r="B787" s="1" t="s">
        <v>1718</v>
      </c>
    </row>
    <row r="788" spans="2:2">
      <c r="B788" s="1" t="s">
        <v>1717</v>
      </c>
    </row>
    <row r="789" spans="2:2">
      <c r="B789" s="1" t="s">
        <v>1716</v>
      </c>
    </row>
    <row r="790" spans="2:2">
      <c r="B790" s="1" t="s">
        <v>1715</v>
      </c>
    </row>
    <row r="791" spans="2:2">
      <c r="B791" s="1" t="s">
        <v>1714</v>
      </c>
    </row>
    <row r="792" spans="2:2">
      <c r="B792" s="1" t="s">
        <v>1713</v>
      </c>
    </row>
    <row r="793" spans="2:2">
      <c r="B793" s="1" t="s">
        <v>1712</v>
      </c>
    </row>
    <row r="794" spans="2:2">
      <c r="B794" s="1" t="s">
        <v>1711</v>
      </c>
    </row>
    <row r="795" spans="2:2">
      <c r="B795" s="1" t="s">
        <v>1710</v>
      </c>
    </row>
    <row r="796" spans="2:2">
      <c r="B796" s="1" t="s">
        <v>1709</v>
      </c>
    </row>
    <row r="797" spans="2:2">
      <c r="B797" s="1" t="s">
        <v>1708</v>
      </c>
    </row>
    <row r="798" spans="2:2">
      <c r="B798" s="1" t="s">
        <v>1707</v>
      </c>
    </row>
    <row r="799" spans="2:2">
      <c r="B799" s="1" t="s">
        <v>1706</v>
      </c>
    </row>
    <row r="800" spans="2:2">
      <c r="B800" s="1" t="s">
        <v>1705</v>
      </c>
    </row>
    <row r="801" spans="2:2">
      <c r="B801" s="1" t="s">
        <v>1704</v>
      </c>
    </row>
    <row r="802" spans="2:2">
      <c r="B802" s="1" t="s">
        <v>1703</v>
      </c>
    </row>
    <row r="803" spans="2:2">
      <c r="B803" s="1" t="s">
        <v>1702</v>
      </c>
    </row>
    <row r="804" spans="2:2">
      <c r="B804" s="1" t="s">
        <v>1701</v>
      </c>
    </row>
    <row r="805" spans="2:2">
      <c r="B805" s="1" t="s">
        <v>1700</v>
      </c>
    </row>
    <row r="806" spans="2:2">
      <c r="B806" s="1" t="s">
        <v>1699</v>
      </c>
    </row>
    <row r="807" spans="2:2">
      <c r="B807" s="1" t="s">
        <v>1698</v>
      </c>
    </row>
    <row r="808" spans="2:2">
      <c r="B808" s="1" t="s">
        <v>1697</v>
      </c>
    </row>
    <row r="809" spans="2:2">
      <c r="B809" s="1" t="s">
        <v>1696</v>
      </c>
    </row>
    <row r="810" spans="2:2">
      <c r="B810" s="1" t="s">
        <v>1695</v>
      </c>
    </row>
    <row r="811" spans="2:2">
      <c r="B811" s="1" t="s">
        <v>1694</v>
      </c>
    </row>
    <row r="812" spans="2:2">
      <c r="B812" s="1" t="s">
        <v>1693</v>
      </c>
    </row>
    <row r="813" spans="2:2">
      <c r="B813" s="1" t="s">
        <v>1692</v>
      </c>
    </row>
    <row r="814" spans="2:2">
      <c r="B814" s="1" t="s">
        <v>1691</v>
      </c>
    </row>
    <row r="815" spans="2:2">
      <c r="B815" s="1" t="s">
        <v>1690</v>
      </c>
    </row>
    <row r="816" spans="2:2">
      <c r="B816" s="1" t="s">
        <v>1689</v>
      </c>
    </row>
    <row r="817" spans="2:2">
      <c r="B817" s="1" t="s">
        <v>1688</v>
      </c>
    </row>
    <row r="818" spans="2:2">
      <c r="B818" s="1" t="s">
        <v>1687</v>
      </c>
    </row>
    <row r="819" spans="2:2">
      <c r="B819" s="1" t="s">
        <v>1686</v>
      </c>
    </row>
    <row r="820" spans="2:2">
      <c r="B820" s="1" t="s">
        <v>1685</v>
      </c>
    </row>
    <row r="821" spans="2:2">
      <c r="B821" s="1" t="s">
        <v>1684</v>
      </c>
    </row>
    <row r="822" spans="2:2">
      <c r="B822" s="1" t="s">
        <v>1683</v>
      </c>
    </row>
    <row r="823" spans="2:2">
      <c r="B823" s="1" t="s">
        <v>1682</v>
      </c>
    </row>
    <row r="824" spans="2:2">
      <c r="B824" s="1" t="s">
        <v>1681</v>
      </c>
    </row>
    <row r="825" spans="2:2">
      <c r="B825" s="1" t="s">
        <v>1680</v>
      </c>
    </row>
    <row r="826" spans="2:2">
      <c r="B826" s="1" t="s">
        <v>1679</v>
      </c>
    </row>
    <row r="827" spans="2:2">
      <c r="B827" s="1" t="s">
        <v>1678</v>
      </c>
    </row>
    <row r="828" spans="2:2">
      <c r="B828" s="1" t="s">
        <v>1677</v>
      </c>
    </row>
    <row r="829" spans="2:2">
      <c r="B829" s="1" t="s">
        <v>1676</v>
      </c>
    </row>
    <row r="830" spans="2:2">
      <c r="B830" s="1" t="s">
        <v>1675</v>
      </c>
    </row>
    <row r="831" spans="2:2">
      <c r="B831" s="1" t="s">
        <v>1674</v>
      </c>
    </row>
    <row r="832" spans="2:2">
      <c r="B832" s="1" t="s">
        <v>1673</v>
      </c>
    </row>
    <row r="833" spans="2:2">
      <c r="B833" s="1" t="s">
        <v>1672</v>
      </c>
    </row>
    <row r="834" spans="2:2">
      <c r="B834" s="1" t="s">
        <v>1671</v>
      </c>
    </row>
    <row r="835" spans="2:2">
      <c r="B835" s="1" t="s">
        <v>1670</v>
      </c>
    </row>
    <row r="836" spans="2:2">
      <c r="B836" s="1" t="s">
        <v>1669</v>
      </c>
    </row>
    <row r="837" spans="2:2">
      <c r="B837" s="1" t="s">
        <v>1668</v>
      </c>
    </row>
    <row r="838" spans="2:2">
      <c r="B838" s="1" t="s">
        <v>1667</v>
      </c>
    </row>
    <row r="839" spans="2:2">
      <c r="B839" s="1" t="s">
        <v>1666</v>
      </c>
    </row>
    <row r="840" spans="2:2">
      <c r="B840" s="1" t="s">
        <v>1665</v>
      </c>
    </row>
    <row r="841" spans="2:2">
      <c r="B841" s="1" t="s">
        <v>1664</v>
      </c>
    </row>
    <row r="842" spans="2:2">
      <c r="B842" s="1" t="s">
        <v>1663</v>
      </c>
    </row>
    <row r="843" spans="2:2">
      <c r="B843" s="1" t="s">
        <v>1662</v>
      </c>
    </row>
    <row r="844" spans="2:2">
      <c r="B844" s="1" t="s">
        <v>1661</v>
      </c>
    </row>
    <row r="845" spans="2:2">
      <c r="B845" s="1" t="s">
        <v>1660</v>
      </c>
    </row>
    <row r="846" spans="2:2">
      <c r="B846" s="1" t="s">
        <v>1659</v>
      </c>
    </row>
    <row r="847" spans="2:2">
      <c r="B847" s="1" t="s">
        <v>1658</v>
      </c>
    </row>
    <row r="848" spans="2:2">
      <c r="B848" s="1" t="s">
        <v>1657</v>
      </c>
    </row>
    <row r="849" spans="2:2">
      <c r="B849" s="1" t="s">
        <v>1656</v>
      </c>
    </row>
    <row r="850" spans="2:2">
      <c r="B850" s="1" t="s">
        <v>1655</v>
      </c>
    </row>
    <row r="851" spans="2:2">
      <c r="B851" s="1" t="s">
        <v>1654</v>
      </c>
    </row>
    <row r="852" spans="2:2">
      <c r="B852" s="1" t="s">
        <v>1653</v>
      </c>
    </row>
    <row r="853" spans="2:2">
      <c r="B853" s="1" t="s">
        <v>1652</v>
      </c>
    </row>
    <row r="854" spans="2:2">
      <c r="B854" s="1" t="s">
        <v>1651</v>
      </c>
    </row>
    <row r="855" spans="2:2">
      <c r="B855" s="1" t="s">
        <v>1650</v>
      </c>
    </row>
    <row r="856" spans="2:2">
      <c r="B856" s="1" t="s">
        <v>1649</v>
      </c>
    </row>
    <row r="857" spans="2:2">
      <c r="B857" s="1" t="s">
        <v>1648</v>
      </c>
    </row>
    <row r="858" spans="2:2">
      <c r="B858" s="1" t="s">
        <v>1647</v>
      </c>
    </row>
    <row r="859" spans="2:2">
      <c r="B859" s="1" t="s">
        <v>1646</v>
      </c>
    </row>
    <row r="860" spans="2:2">
      <c r="B860" s="1" t="s">
        <v>1645</v>
      </c>
    </row>
    <row r="861" spans="2:2">
      <c r="B861" s="1" t="s">
        <v>1644</v>
      </c>
    </row>
    <row r="862" spans="2:2">
      <c r="B862" s="1" t="s">
        <v>1643</v>
      </c>
    </row>
    <row r="863" spans="2:2">
      <c r="B863" s="1" t="s">
        <v>1642</v>
      </c>
    </row>
    <row r="864" spans="2:2">
      <c r="B864" s="1" t="s">
        <v>1641</v>
      </c>
    </row>
    <row r="865" spans="2:2">
      <c r="B865" s="1" t="s">
        <v>1640</v>
      </c>
    </row>
    <row r="866" spans="2:2">
      <c r="B866" s="1" t="s">
        <v>1639</v>
      </c>
    </row>
    <row r="867" spans="2:2">
      <c r="B867" s="1" t="s">
        <v>1638</v>
      </c>
    </row>
    <row r="868" spans="2:2">
      <c r="B868" s="1" t="s">
        <v>1637</v>
      </c>
    </row>
    <row r="869" spans="2:2">
      <c r="B869" s="1" t="s">
        <v>1636</v>
      </c>
    </row>
    <row r="870" spans="2:2">
      <c r="B870" s="1" t="s">
        <v>1635</v>
      </c>
    </row>
    <row r="871" spans="2:2">
      <c r="B871" s="1" t="s">
        <v>1634</v>
      </c>
    </row>
    <row r="872" spans="2:2">
      <c r="B872" s="1" t="s">
        <v>1633</v>
      </c>
    </row>
    <row r="873" spans="2:2">
      <c r="B873" s="1" t="s">
        <v>1632</v>
      </c>
    </row>
    <row r="874" spans="2:2">
      <c r="B874" s="1" t="s">
        <v>1631</v>
      </c>
    </row>
    <row r="875" spans="2:2">
      <c r="B875" s="1" t="s">
        <v>1630</v>
      </c>
    </row>
    <row r="876" spans="2:2">
      <c r="B876" s="1" t="s">
        <v>1629</v>
      </c>
    </row>
    <row r="877" spans="2:2">
      <c r="B877" s="1" t="s">
        <v>1628</v>
      </c>
    </row>
    <row r="878" spans="2:2">
      <c r="B878" s="1" t="s">
        <v>1627</v>
      </c>
    </row>
    <row r="879" spans="2:2">
      <c r="B879" s="1" t="s">
        <v>1626</v>
      </c>
    </row>
    <row r="880" spans="2:2">
      <c r="B880" s="1" t="s">
        <v>4489</v>
      </c>
    </row>
    <row r="881" spans="2:2">
      <c r="B881" s="1" t="s">
        <v>1625</v>
      </c>
    </row>
    <row r="882" spans="2:2">
      <c r="B882" s="1" t="s">
        <v>1624</v>
      </c>
    </row>
    <row r="883" spans="2:2">
      <c r="B883" s="1" t="s">
        <v>1623</v>
      </c>
    </row>
    <row r="884" spans="2:2">
      <c r="B884" s="1" t="s">
        <v>1622</v>
      </c>
    </row>
    <row r="885" spans="2:2">
      <c r="B885" s="1" t="s">
        <v>1621</v>
      </c>
    </row>
    <row r="886" spans="2:2">
      <c r="B886" s="1" t="s">
        <v>1620</v>
      </c>
    </row>
    <row r="887" spans="2:2">
      <c r="B887" s="1" t="s">
        <v>1619</v>
      </c>
    </row>
    <row r="888" spans="2:2">
      <c r="B888" s="1" t="s">
        <v>1618</v>
      </c>
    </row>
    <row r="889" spans="2:2">
      <c r="B889" s="1" t="s">
        <v>1617</v>
      </c>
    </row>
    <row r="890" spans="2:2">
      <c r="B890" s="1" t="s">
        <v>1616</v>
      </c>
    </row>
    <row r="891" spans="2:2">
      <c r="B891" s="1" t="s">
        <v>1615</v>
      </c>
    </row>
    <row r="892" spans="2:2">
      <c r="B892" s="1" t="s">
        <v>1614</v>
      </c>
    </row>
    <row r="893" spans="2:2">
      <c r="B893" s="1" t="s">
        <v>1613</v>
      </c>
    </row>
    <row r="894" spans="2:2">
      <c r="B894" s="1" t="s">
        <v>1612</v>
      </c>
    </row>
    <row r="895" spans="2:2">
      <c r="B895" s="1" t="s">
        <v>1611</v>
      </c>
    </row>
    <row r="896" spans="2:2">
      <c r="B896" s="1" t="s">
        <v>1610</v>
      </c>
    </row>
    <row r="897" spans="2:2">
      <c r="B897" s="1" t="s">
        <v>1609</v>
      </c>
    </row>
    <row r="898" spans="2:2">
      <c r="B898" s="1" t="s">
        <v>1608</v>
      </c>
    </row>
    <row r="899" spans="2:2">
      <c r="B899" s="1" t="s">
        <v>1607</v>
      </c>
    </row>
    <row r="900" spans="2:2">
      <c r="B900" s="1" t="s">
        <v>1606</v>
      </c>
    </row>
    <row r="901" spans="2:2">
      <c r="B901" s="1" t="s">
        <v>1605</v>
      </c>
    </row>
    <row r="902" spans="2:2">
      <c r="B902" s="1" t="s">
        <v>1604</v>
      </c>
    </row>
    <row r="903" spans="2:2">
      <c r="B903" s="1" t="s">
        <v>1603</v>
      </c>
    </row>
    <row r="904" spans="2:2">
      <c r="B904" s="1" t="s">
        <v>1602</v>
      </c>
    </row>
    <row r="905" spans="2:2">
      <c r="B905" s="1" t="s">
        <v>1601</v>
      </c>
    </row>
    <row r="906" spans="2:2">
      <c r="B906" s="1" t="s">
        <v>1600</v>
      </c>
    </row>
    <row r="907" spans="2:2">
      <c r="B907" s="1" t="s">
        <v>1599</v>
      </c>
    </row>
    <row r="908" spans="2:2">
      <c r="B908" s="1" t="s">
        <v>1598</v>
      </c>
    </row>
    <row r="909" spans="2:2">
      <c r="B909" s="1" t="s">
        <v>1597</v>
      </c>
    </row>
    <row r="910" spans="2:2">
      <c r="B910" s="1" t="s">
        <v>1596</v>
      </c>
    </row>
    <row r="911" spans="2:2">
      <c r="B911" s="1" t="s">
        <v>4500</v>
      </c>
    </row>
    <row r="912" spans="2:2">
      <c r="B912" s="1" t="s">
        <v>1595</v>
      </c>
    </row>
    <row r="913" spans="2:2">
      <c r="B913" s="1" t="s">
        <v>1594</v>
      </c>
    </row>
    <row r="914" spans="2:2">
      <c r="B914" s="1" t="s">
        <v>1593</v>
      </c>
    </row>
    <row r="915" spans="2:2">
      <c r="B915" s="1" t="s">
        <v>1592</v>
      </c>
    </row>
    <row r="916" spans="2:2">
      <c r="B916" s="1" t="s">
        <v>1591</v>
      </c>
    </row>
    <row r="917" spans="2:2">
      <c r="B917" s="1" t="s">
        <v>1590</v>
      </c>
    </row>
    <row r="918" spans="2:2">
      <c r="B918" s="1" t="s">
        <v>1589</v>
      </c>
    </row>
    <row r="919" spans="2:2">
      <c r="B919" s="1" t="s">
        <v>1588</v>
      </c>
    </row>
    <row r="920" spans="2:2">
      <c r="B920" s="1" t="s">
        <v>1587</v>
      </c>
    </row>
    <row r="921" spans="2:2">
      <c r="B921" s="1" t="s">
        <v>1586</v>
      </c>
    </row>
    <row r="922" spans="2:2">
      <c r="B922" s="12" t="s">
        <v>1585</v>
      </c>
    </row>
    <row r="923" spans="2:2">
      <c r="B923" s="1" t="s">
        <v>1584</v>
      </c>
    </row>
    <row r="924" spans="2:2">
      <c r="B924" s="1" t="s">
        <v>1583</v>
      </c>
    </row>
    <row r="925" spans="2:2">
      <c r="B925" s="1" t="s">
        <v>1582</v>
      </c>
    </row>
    <row r="926" spans="2:2">
      <c r="B926" s="1" t="s">
        <v>1581</v>
      </c>
    </row>
    <row r="927" spans="2:2">
      <c r="B927" s="1" t="s">
        <v>1580</v>
      </c>
    </row>
    <row r="928" spans="2:2">
      <c r="B928" s="1" t="s">
        <v>1579</v>
      </c>
    </row>
    <row r="929" spans="2:2">
      <c r="B929" s="1" t="s">
        <v>1578</v>
      </c>
    </row>
    <row r="930" spans="2:2">
      <c r="B930" s="1" t="s">
        <v>1577</v>
      </c>
    </row>
    <row r="931" spans="2:2">
      <c r="B931" s="1" t="s">
        <v>1576</v>
      </c>
    </row>
    <row r="932" spans="2:2">
      <c r="B932" s="1" t="s">
        <v>1575</v>
      </c>
    </row>
    <row r="933" spans="2:2">
      <c r="B933" s="1" t="s">
        <v>1574</v>
      </c>
    </row>
    <row r="934" spans="2:2">
      <c r="B934" s="1" t="s">
        <v>1573</v>
      </c>
    </row>
    <row r="935" spans="2:2">
      <c r="B935" s="1" t="s">
        <v>1572</v>
      </c>
    </row>
    <row r="936" spans="2:2">
      <c r="B936" s="1" t="s">
        <v>1571</v>
      </c>
    </row>
    <row r="937" spans="2:2">
      <c r="B937" s="1" t="s">
        <v>1570</v>
      </c>
    </row>
    <row r="938" spans="2:2">
      <c r="B938" s="1" t="s">
        <v>1569</v>
      </c>
    </row>
    <row r="939" spans="2:2">
      <c r="B939" s="1" t="s">
        <v>1568</v>
      </c>
    </row>
    <row r="940" spans="2:2">
      <c r="B940" s="1" t="s">
        <v>1567</v>
      </c>
    </row>
    <row r="941" spans="2:2">
      <c r="B941" s="1" t="s">
        <v>1566</v>
      </c>
    </row>
    <row r="942" spans="2:2">
      <c r="B942" s="1" t="s">
        <v>1565</v>
      </c>
    </row>
    <row r="943" spans="2:2">
      <c r="B943" s="1" t="s">
        <v>1564</v>
      </c>
    </row>
    <row r="944" spans="2:2">
      <c r="B944" s="1" t="s">
        <v>1563</v>
      </c>
    </row>
    <row r="945" spans="2:2">
      <c r="B945" s="1" t="s">
        <v>1562</v>
      </c>
    </row>
    <row r="946" spans="2:2">
      <c r="B946" s="1" t="s">
        <v>1561</v>
      </c>
    </row>
    <row r="947" spans="2:2">
      <c r="B947" s="1" t="s">
        <v>1560</v>
      </c>
    </row>
    <row r="948" spans="2:2">
      <c r="B948" s="1" t="s">
        <v>1559</v>
      </c>
    </row>
    <row r="949" spans="2:2">
      <c r="B949" s="1" t="s">
        <v>1558</v>
      </c>
    </row>
    <row r="950" spans="2:2">
      <c r="B950" s="1" t="s">
        <v>1557</v>
      </c>
    </row>
    <row r="951" spans="2:2">
      <c r="B951" s="1" t="s">
        <v>1556</v>
      </c>
    </row>
    <row r="952" spans="2:2">
      <c r="B952" s="1" t="s">
        <v>1555</v>
      </c>
    </row>
    <row r="953" spans="2:2">
      <c r="B953" s="1" t="s">
        <v>1554</v>
      </c>
    </row>
    <row r="954" spans="2:2">
      <c r="B954" s="1" t="s">
        <v>1553</v>
      </c>
    </row>
    <row r="955" spans="2:2">
      <c r="B955" s="1" t="s">
        <v>1552</v>
      </c>
    </row>
    <row r="956" spans="2:2">
      <c r="B956" s="1" t="s">
        <v>1551</v>
      </c>
    </row>
    <row r="957" spans="2:2">
      <c r="B957" s="1" t="s">
        <v>1550</v>
      </c>
    </row>
    <row r="958" spans="2:2">
      <c r="B958" s="1" t="s">
        <v>1549</v>
      </c>
    </row>
    <row r="959" spans="2:2">
      <c r="B959" s="1" t="s">
        <v>1548</v>
      </c>
    </row>
    <row r="960" spans="2:2">
      <c r="B960" s="1" t="s">
        <v>1547</v>
      </c>
    </row>
    <row r="961" spans="2:2">
      <c r="B961" s="1" t="s">
        <v>1546</v>
      </c>
    </row>
    <row r="962" spans="2:2">
      <c r="B962" s="1" t="s">
        <v>1545</v>
      </c>
    </row>
    <row r="963" spans="2:2">
      <c r="B963" s="1" t="s">
        <v>1544</v>
      </c>
    </row>
    <row r="964" spans="2:2">
      <c r="B964" s="1" t="s">
        <v>1543</v>
      </c>
    </row>
    <row r="965" spans="2:2">
      <c r="B965" s="1" t="s">
        <v>1542</v>
      </c>
    </row>
    <row r="966" spans="2:2">
      <c r="B966" s="1" t="s">
        <v>1541</v>
      </c>
    </row>
    <row r="967" spans="2:2">
      <c r="B967" s="1" t="s">
        <v>1540</v>
      </c>
    </row>
    <row r="968" spans="2:2">
      <c r="B968" s="1" t="s">
        <v>1539</v>
      </c>
    </row>
    <row r="969" spans="2:2">
      <c r="B969" s="1" t="s">
        <v>1538</v>
      </c>
    </row>
    <row r="970" spans="2:2">
      <c r="B970" s="1" t="s">
        <v>1537</v>
      </c>
    </row>
    <row r="971" spans="2:2">
      <c r="B971" s="1" t="s">
        <v>1536</v>
      </c>
    </row>
    <row r="972" spans="2:2">
      <c r="B972" s="1" t="s">
        <v>1535</v>
      </c>
    </row>
    <row r="973" spans="2:2">
      <c r="B973" s="1" t="s">
        <v>1534</v>
      </c>
    </row>
    <row r="974" spans="2:2">
      <c r="B974" s="1" t="s">
        <v>1533</v>
      </c>
    </row>
    <row r="975" spans="2:2">
      <c r="B975" s="1" t="s">
        <v>1532</v>
      </c>
    </row>
    <row r="976" spans="2:2">
      <c r="B976" s="1" t="s">
        <v>1531</v>
      </c>
    </row>
    <row r="977" spans="2:2">
      <c r="B977" s="1" t="s">
        <v>1530</v>
      </c>
    </row>
    <row r="978" spans="2:2">
      <c r="B978" s="1" t="s">
        <v>1529</v>
      </c>
    </row>
    <row r="979" spans="2:2">
      <c r="B979" s="1" t="s">
        <v>1528</v>
      </c>
    </row>
    <row r="980" spans="2:2">
      <c r="B980" s="1" t="s">
        <v>1527</v>
      </c>
    </row>
    <row r="981" spans="2:2">
      <c r="B981" s="1" t="s">
        <v>1526</v>
      </c>
    </row>
    <row r="982" spans="2:2">
      <c r="B982" s="1" t="s">
        <v>1525</v>
      </c>
    </row>
    <row r="983" spans="2:2">
      <c r="B983" s="1" t="s">
        <v>1524</v>
      </c>
    </row>
    <row r="984" spans="2:2">
      <c r="B984" s="1" t="s">
        <v>1523</v>
      </c>
    </row>
    <row r="985" spans="2:2">
      <c r="B985" s="1" t="s">
        <v>1522</v>
      </c>
    </row>
    <row r="986" spans="2:2">
      <c r="B986" s="1" t="s">
        <v>1521</v>
      </c>
    </row>
    <row r="987" spans="2:2">
      <c r="B987" s="1" t="s">
        <v>1520</v>
      </c>
    </row>
    <row r="988" spans="2:2">
      <c r="B988" s="1" t="s">
        <v>1519</v>
      </c>
    </row>
    <row r="989" spans="2:2">
      <c r="B989" s="1" t="s">
        <v>1518</v>
      </c>
    </row>
    <row r="990" spans="2:2">
      <c r="B990" s="1" t="s">
        <v>1517</v>
      </c>
    </row>
    <row r="991" spans="2:2">
      <c r="B991" s="1" t="s">
        <v>1516</v>
      </c>
    </row>
    <row r="992" spans="2:2">
      <c r="B992" s="1" t="s">
        <v>1515</v>
      </c>
    </row>
    <row r="993" spans="2:28">
      <c r="B993" s="1" t="s">
        <v>1514</v>
      </c>
    </row>
    <row r="994" spans="2:28">
      <c r="B994" s="1" t="s">
        <v>1513</v>
      </c>
    </row>
    <row r="995" spans="2:28">
      <c r="B995" s="1" t="s">
        <v>1512</v>
      </c>
    </row>
    <row r="996" spans="2:28">
      <c r="B996" s="1" t="s">
        <v>1511</v>
      </c>
    </row>
    <row r="997" spans="2:28">
      <c r="B997" s="1" t="s">
        <v>1510</v>
      </c>
    </row>
    <row r="998" spans="2:28">
      <c r="B998" s="1" t="s">
        <v>1509</v>
      </c>
    </row>
    <row r="999" spans="2:28">
      <c r="B999" s="1" t="s">
        <v>1508</v>
      </c>
    </row>
    <row r="1000" spans="2:28">
      <c r="B1000" s="1" t="s">
        <v>1507</v>
      </c>
      <c r="AB1000" s="28" t="s">
        <v>4488</v>
      </c>
    </row>
    <row r="1001" spans="2:28">
      <c r="B1001" s="1" t="s">
        <v>1506</v>
      </c>
    </row>
    <row r="1002" spans="2:28">
      <c r="B1002" s="1" t="s">
        <v>1505</v>
      </c>
    </row>
    <row r="1003" spans="2:28">
      <c r="B1003" s="1" t="s">
        <v>1504</v>
      </c>
    </row>
    <row r="1004" spans="2:28">
      <c r="B1004" s="1" t="s">
        <v>1503</v>
      </c>
    </row>
    <row r="1005" spans="2:28">
      <c r="B1005" s="1" t="s">
        <v>1502</v>
      </c>
    </row>
    <row r="1006" spans="2:28">
      <c r="B1006" s="1" t="s">
        <v>1501</v>
      </c>
    </row>
    <row r="1007" spans="2:28">
      <c r="B1007" s="1" t="s">
        <v>1500</v>
      </c>
    </row>
    <row r="1008" spans="2:28">
      <c r="B1008" s="1" t="s">
        <v>1499</v>
      </c>
    </row>
    <row r="1009" spans="2:28">
      <c r="B1009" s="1" t="s">
        <v>1498</v>
      </c>
      <c r="AB1009" s="27"/>
    </row>
    <row r="1010" spans="2:28">
      <c r="B1010" s="1" t="s">
        <v>1497</v>
      </c>
    </row>
    <row r="1011" spans="2:28">
      <c r="B1011" s="1" t="s">
        <v>1496</v>
      </c>
    </row>
    <row r="1012" spans="2:28">
      <c r="B1012" s="1" t="s">
        <v>1495</v>
      </c>
    </row>
    <row r="1013" spans="2:28">
      <c r="B1013" s="1" t="s">
        <v>1494</v>
      </c>
    </row>
    <row r="1014" spans="2:28">
      <c r="B1014" s="1" t="s">
        <v>1493</v>
      </c>
    </row>
    <row r="1015" spans="2:28">
      <c r="B1015" s="1" t="s">
        <v>1492</v>
      </c>
    </row>
    <row r="1016" spans="2:28">
      <c r="B1016" s="1" t="s">
        <v>1491</v>
      </c>
    </row>
    <row r="1017" spans="2:28">
      <c r="B1017" s="1" t="s">
        <v>1490</v>
      </c>
    </row>
    <row r="1018" spans="2:28">
      <c r="B1018" s="1" t="s">
        <v>1489</v>
      </c>
    </row>
    <row r="1019" spans="2:28">
      <c r="B1019" s="1" t="s">
        <v>1488</v>
      </c>
      <c r="C1019" s="26" t="s">
        <v>2190</v>
      </c>
    </row>
    <row r="1020" spans="2:28">
      <c r="B1020" s="1" t="s">
        <v>1487</v>
      </c>
    </row>
    <row r="1021" spans="2:28">
      <c r="B1021" s="1" t="s">
        <v>1486</v>
      </c>
    </row>
    <row r="1022" spans="2:28">
      <c r="B1022" s="1" t="s">
        <v>1485</v>
      </c>
    </row>
    <row r="1023" spans="2:28">
      <c r="B1023" s="1" t="s">
        <v>1484</v>
      </c>
    </row>
    <row r="1024" spans="2:28">
      <c r="B1024" s="1" t="s">
        <v>1483</v>
      </c>
    </row>
    <row r="1025" spans="2:2">
      <c r="B1025" s="1" t="s">
        <v>1482</v>
      </c>
    </row>
    <row r="1026" spans="2:2">
      <c r="B1026" s="1" t="s">
        <v>1481</v>
      </c>
    </row>
    <row r="1027" spans="2:2">
      <c r="B1027" s="1" t="s">
        <v>1480</v>
      </c>
    </row>
    <row r="1028" spans="2:2">
      <c r="B1028" s="1" t="s">
        <v>1479</v>
      </c>
    </row>
    <row r="1029" spans="2:2">
      <c r="B1029" s="1" t="s">
        <v>1478</v>
      </c>
    </row>
    <row r="1030" spans="2:2">
      <c r="B1030" s="1" t="s">
        <v>1477</v>
      </c>
    </row>
    <row r="1031" spans="2:2">
      <c r="B1031" s="1" t="s">
        <v>1476</v>
      </c>
    </row>
    <row r="1032" spans="2:2">
      <c r="B1032" s="1" t="s">
        <v>1475</v>
      </c>
    </row>
    <row r="1033" spans="2:2">
      <c r="B1033" s="1" t="s">
        <v>499</v>
      </c>
    </row>
    <row r="1034" spans="2:2">
      <c r="B1034" s="1" t="s">
        <v>1474</v>
      </c>
    </row>
    <row r="1035" spans="2:2">
      <c r="B1035" s="1" t="s">
        <v>1473</v>
      </c>
    </row>
    <row r="1036" spans="2:2">
      <c r="B1036" s="1" t="s">
        <v>1472</v>
      </c>
    </row>
    <row r="1037" spans="2:2">
      <c r="B1037" s="1" t="s">
        <v>1471</v>
      </c>
    </row>
    <row r="1038" spans="2:2">
      <c r="B1038" s="1" t="s">
        <v>1470</v>
      </c>
    </row>
    <row r="1039" spans="2:2">
      <c r="B1039" s="1" t="s">
        <v>1469</v>
      </c>
    </row>
    <row r="1040" spans="2:2">
      <c r="B1040" s="1" t="s">
        <v>1468</v>
      </c>
    </row>
    <row r="1041" spans="2:2">
      <c r="B1041" s="1" t="s">
        <v>1467</v>
      </c>
    </row>
    <row r="1042" spans="2:2">
      <c r="B1042" s="1" t="s">
        <v>1466</v>
      </c>
    </row>
    <row r="1043" spans="2:2">
      <c r="B1043" s="1" t="s">
        <v>1465</v>
      </c>
    </row>
    <row r="1044" spans="2:2">
      <c r="B1044" s="1" t="s">
        <v>1464</v>
      </c>
    </row>
    <row r="1045" spans="2:2">
      <c r="B1045" s="1" t="s">
        <v>1463</v>
      </c>
    </row>
    <row r="1046" spans="2:2">
      <c r="B1046" s="1" t="s">
        <v>1462</v>
      </c>
    </row>
    <row r="1047" spans="2:2">
      <c r="B1047" s="1" t="s">
        <v>1461</v>
      </c>
    </row>
    <row r="1048" spans="2:2">
      <c r="B1048" s="1" t="s">
        <v>1460</v>
      </c>
    </row>
    <row r="1049" spans="2:2">
      <c r="B1049" s="1" t="s">
        <v>1459</v>
      </c>
    </row>
    <row r="1050" spans="2:2">
      <c r="B1050" s="1" t="s">
        <v>1458</v>
      </c>
    </row>
    <row r="1051" spans="2:2">
      <c r="B1051" s="1" t="s">
        <v>1457</v>
      </c>
    </row>
    <row r="1052" spans="2:2">
      <c r="B1052" s="1" t="s">
        <v>1456</v>
      </c>
    </row>
    <row r="1053" spans="2:2">
      <c r="B1053" s="1" t="s">
        <v>1455</v>
      </c>
    </row>
    <row r="1054" spans="2:2">
      <c r="B1054" s="1" t="s">
        <v>1454</v>
      </c>
    </row>
    <row r="1055" spans="2:2">
      <c r="B1055" s="1" t="s">
        <v>1453</v>
      </c>
    </row>
    <row r="1056" spans="2:2">
      <c r="B1056" s="1" t="s">
        <v>1452</v>
      </c>
    </row>
    <row r="1057" spans="2:2">
      <c r="B1057" s="1" t="s">
        <v>1451</v>
      </c>
    </row>
    <row r="1058" spans="2:2">
      <c r="B1058" s="1" t="s">
        <v>1450</v>
      </c>
    </row>
    <row r="1059" spans="2:2">
      <c r="B1059" s="1" t="s">
        <v>1449</v>
      </c>
    </row>
    <row r="1060" spans="2:2">
      <c r="B1060" s="1" t="s">
        <v>1448</v>
      </c>
    </row>
    <row r="1061" spans="2:2">
      <c r="B1061" s="1" t="s">
        <v>1447</v>
      </c>
    </row>
    <row r="1062" spans="2:2">
      <c r="B1062" s="1" t="s">
        <v>1446</v>
      </c>
    </row>
    <row r="1063" spans="2:2">
      <c r="B1063" s="1" t="s">
        <v>1445</v>
      </c>
    </row>
    <row r="1064" spans="2:2">
      <c r="B1064" s="1" t="s">
        <v>1444</v>
      </c>
    </row>
    <row r="1065" spans="2:2">
      <c r="B1065" s="1" t="s">
        <v>1443</v>
      </c>
    </row>
    <row r="1066" spans="2:2">
      <c r="B1066" s="1" t="s">
        <v>1442</v>
      </c>
    </row>
    <row r="1067" spans="2:2">
      <c r="B1067" s="1" t="s">
        <v>1441</v>
      </c>
    </row>
    <row r="1068" spans="2:2">
      <c r="B1068" s="1" t="s">
        <v>1440</v>
      </c>
    </row>
    <row r="1069" spans="2:2">
      <c r="B1069" s="1" t="s">
        <v>1439</v>
      </c>
    </row>
    <row r="1070" spans="2:2">
      <c r="B1070" s="1" t="s">
        <v>1438</v>
      </c>
    </row>
    <row r="1071" spans="2:2">
      <c r="B1071" s="1" t="s">
        <v>1437</v>
      </c>
    </row>
    <row r="1072" spans="2:2">
      <c r="B1072" s="1" t="s">
        <v>1436</v>
      </c>
    </row>
    <row r="1073" spans="2:2">
      <c r="B1073" s="1" t="s">
        <v>1435</v>
      </c>
    </row>
    <row r="1074" spans="2:2">
      <c r="B1074" s="1" t="s">
        <v>1434</v>
      </c>
    </row>
    <row r="1075" spans="2:2">
      <c r="B1075" s="1" t="s">
        <v>1433</v>
      </c>
    </row>
    <row r="1076" spans="2:2">
      <c r="B1076" s="1" t="s">
        <v>1432</v>
      </c>
    </row>
    <row r="1077" spans="2:2">
      <c r="B1077" s="1" t="s">
        <v>1431</v>
      </c>
    </row>
    <row r="1078" spans="2:2">
      <c r="B1078" s="1" t="s">
        <v>1430</v>
      </c>
    </row>
    <row r="1079" spans="2:2">
      <c r="B1079" s="1" t="s">
        <v>1429</v>
      </c>
    </row>
    <row r="1080" spans="2:2">
      <c r="B1080" s="1" t="s">
        <v>1428</v>
      </c>
    </row>
    <row r="1081" spans="2:2">
      <c r="B1081" s="1" t="s">
        <v>1427</v>
      </c>
    </row>
    <row r="1082" spans="2:2">
      <c r="B1082" s="1" t="s">
        <v>1426</v>
      </c>
    </row>
    <row r="1083" spans="2:2">
      <c r="B1083" s="1" t="s">
        <v>1425</v>
      </c>
    </row>
    <row r="1084" spans="2:2">
      <c r="B1084" s="1" t="s">
        <v>1424</v>
      </c>
    </row>
    <row r="1085" spans="2:2">
      <c r="B1085" s="1" t="s">
        <v>1423</v>
      </c>
    </row>
    <row r="1086" spans="2:2">
      <c r="B1086" s="1" t="s">
        <v>1422</v>
      </c>
    </row>
    <row r="1087" spans="2:2">
      <c r="B1087" s="1" t="s">
        <v>1421</v>
      </c>
    </row>
    <row r="1088" spans="2:2">
      <c r="B1088" s="1" t="s">
        <v>1420</v>
      </c>
    </row>
    <row r="1089" spans="2:2">
      <c r="B1089" s="1" t="s">
        <v>1419</v>
      </c>
    </row>
    <row r="1090" spans="2:2">
      <c r="B1090" s="1" t="s">
        <v>1418</v>
      </c>
    </row>
    <row r="1091" spans="2:2">
      <c r="B1091" s="1" t="s">
        <v>1417</v>
      </c>
    </row>
    <row r="1092" spans="2:2">
      <c r="B1092" s="1" t="s">
        <v>1416</v>
      </c>
    </row>
    <row r="1093" spans="2:2">
      <c r="B1093" s="1" t="s">
        <v>1415</v>
      </c>
    </row>
    <row r="1094" spans="2:2">
      <c r="B1094" s="1" t="s">
        <v>1414</v>
      </c>
    </row>
    <row r="1095" spans="2:2">
      <c r="B1095" s="1" t="s">
        <v>1413</v>
      </c>
    </row>
    <row r="1096" spans="2:2">
      <c r="B1096" s="1" t="s">
        <v>1412</v>
      </c>
    </row>
    <row r="1097" spans="2:2">
      <c r="B1097" s="1" t="s">
        <v>1411</v>
      </c>
    </row>
    <row r="1098" spans="2:2">
      <c r="B1098" s="1" t="s">
        <v>1410</v>
      </c>
    </row>
    <row r="1099" spans="2:2">
      <c r="B1099" s="1" t="s">
        <v>1409</v>
      </c>
    </row>
    <row r="1100" spans="2:2">
      <c r="B1100" s="1" t="s">
        <v>1408</v>
      </c>
    </row>
    <row r="1101" spans="2:2">
      <c r="B1101" s="1" t="s">
        <v>1407</v>
      </c>
    </row>
    <row r="1102" spans="2:2">
      <c r="B1102" s="1" t="s">
        <v>1406</v>
      </c>
    </row>
    <row r="1103" spans="2:2">
      <c r="B1103" s="1" t="s">
        <v>1405</v>
      </c>
    </row>
    <row r="1104" spans="2:2">
      <c r="B1104" s="1" t="s">
        <v>1404</v>
      </c>
    </row>
    <row r="1105" spans="2:2">
      <c r="B1105" s="1" t="s">
        <v>1403</v>
      </c>
    </row>
    <row r="1106" spans="2:2">
      <c r="B1106" s="1" t="s">
        <v>1402</v>
      </c>
    </row>
    <row r="1107" spans="2:2">
      <c r="B1107" s="1" t="s">
        <v>1401</v>
      </c>
    </row>
    <row r="1108" spans="2:2">
      <c r="B1108" s="1" t="s">
        <v>1400</v>
      </c>
    </row>
    <row r="1109" spans="2:2">
      <c r="B1109" s="1" t="s">
        <v>1399</v>
      </c>
    </row>
    <row r="1110" spans="2:2">
      <c r="B1110" s="1" t="s">
        <v>1398</v>
      </c>
    </row>
    <row r="1111" spans="2:2">
      <c r="B1111" s="1" t="s">
        <v>1397</v>
      </c>
    </row>
    <row r="1112" spans="2:2">
      <c r="B1112" s="1" t="s">
        <v>1396</v>
      </c>
    </row>
    <row r="1113" spans="2:2">
      <c r="B1113" s="1" t="s">
        <v>1395</v>
      </c>
    </row>
    <row r="1114" spans="2:2">
      <c r="B1114" s="1" t="s">
        <v>1394</v>
      </c>
    </row>
    <row r="1115" spans="2:2">
      <c r="B1115" s="1" t="s">
        <v>1393</v>
      </c>
    </row>
    <row r="1116" spans="2:2">
      <c r="B1116" s="1" t="s">
        <v>1392</v>
      </c>
    </row>
    <row r="1117" spans="2:2">
      <c r="B1117" s="1" t="s">
        <v>1391</v>
      </c>
    </row>
    <row r="1118" spans="2:2">
      <c r="B1118" s="1" t="s">
        <v>1390</v>
      </c>
    </row>
    <row r="1119" spans="2:2">
      <c r="B1119" s="1" t="s">
        <v>1389</v>
      </c>
    </row>
    <row r="1120" spans="2:2">
      <c r="B1120" s="1" t="s">
        <v>1388</v>
      </c>
    </row>
    <row r="1121" spans="2:2">
      <c r="B1121" s="1" t="s">
        <v>1387</v>
      </c>
    </row>
    <row r="1122" spans="2:2">
      <c r="B1122" s="1" t="s">
        <v>1386</v>
      </c>
    </row>
    <row r="1123" spans="2:2">
      <c r="B1123" s="1" t="s">
        <v>1385</v>
      </c>
    </row>
    <row r="1124" spans="2:2">
      <c r="B1124" s="1" t="s">
        <v>1384</v>
      </c>
    </row>
    <row r="1125" spans="2:2">
      <c r="B1125" s="1" t="s">
        <v>1383</v>
      </c>
    </row>
    <row r="1126" spans="2:2">
      <c r="B1126" s="1" t="s">
        <v>1382</v>
      </c>
    </row>
    <row r="1127" spans="2:2">
      <c r="B1127" s="1" t="s">
        <v>1381</v>
      </c>
    </row>
    <row r="1128" spans="2:2">
      <c r="B1128" s="1" t="s">
        <v>1380</v>
      </c>
    </row>
    <row r="1129" spans="2:2">
      <c r="B1129" s="1" t="s">
        <v>1379</v>
      </c>
    </row>
    <row r="1130" spans="2:2">
      <c r="B1130" s="1" t="s">
        <v>1378</v>
      </c>
    </row>
    <row r="1131" spans="2:2">
      <c r="B1131" s="1" t="s">
        <v>1377</v>
      </c>
    </row>
    <row r="1132" spans="2:2">
      <c r="B1132" s="1" t="s">
        <v>1376</v>
      </c>
    </row>
    <row r="1133" spans="2:2">
      <c r="B1133" s="1" t="s">
        <v>1375</v>
      </c>
    </row>
    <row r="1134" spans="2:2">
      <c r="B1134" s="1" t="s">
        <v>1374</v>
      </c>
    </row>
    <row r="1135" spans="2:2">
      <c r="B1135" s="1" t="s">
        <v>1373</v>
      </c>
    </row>
    <row r="1136" spans="2:2">
      <c r="B1136" s="1" t="s">
        <v>1372</v>
      </c>
    </row>
    <row r="1137" spans="2:2">
      <c r="B1137" s="1" t="s">
        <v>1371</v>
      </c>
    </row>
    <row r="1138" spans="2:2">
      <c r="B1138" s="1" t="s">
        <v>1370</v>
      </c>
    </row>
    <row r="1139" spans="2:2">
      <c r="B1139" s="1" t="s">
        <v>1369</v>
      </c>
    </row>
    <row r="1140" spans="2:2">
      <c r="B1140" s="1" t="s">
        <v>1368</v>
      </c>
    </row>
    <row r="1141" spans="2:2">
      <c r="B1141" s="1" t="s">
        <v>1367</v>
      </c>
    </row>
    <row r="1142" spans="2:2">
      <c r="B1142" s="1" t="s">
        <v>1366</v>
      </c>
    </row>
    <row r="1143" spans="2:2">
      <c r="B1143" s="1" t="s">
        <v>1365</v>
      </c>
    </row>
    <row r="1144" spans="2:2">
      <c r="B1144" s="1" t="s">
        <v>1364</v>
      </c>
    </row>
    <row r="1145" spans="2:2">
      <c r="B1145" s="1" t="s">
        <v>1363</v>
      </c>
    </row>
    <row r="1146" spans="2:2">
      <c r="B1146" s="1" t="s">
        <v>1362</v>
      </c>
    </row>
    <row r="1147" spans="2:2">
      <c r="B1147" s="1" t="s">
        <v>1361</v>
      </c>
    </row>
    <row r="1148" spans="2:2">
      <c r="B1148" s="1" t="s">
        <v>1360</v>
      </c>
    </row>
    <row r="1149" spans="2:2">
      <c r="B1149" s="1" t="s">
        <v>1359</v>
      </c>
    </row>
    <row r="1150" spans="2:2">
      <c r="B1150" s="1" t="s">
        <v>1358</v>
      </c>
    </row>
    <row r="1151" spans="2:2">
      <c r="B1151" s="1" t="s">
        <v>1357</v>
      </c>
    </row>
    <row r="1152" spans="2:2">
      <c r="B1152" s="1" t="s">
        <v>1356</v>
      </c>
    </row>
    <row r="1153" spans="2:2">
      <c r="B1153" s="1" t="s">
        <v>1355</v>
      </c>
    </row>
    <row r="1154" spans="2:2">
      <c r="B1154" s="1" t="s">
        <v>1354</v>
      </c>
    </row>
    <row r="1155" spans="2:2">
      <c r="B1155" s="1" t="s">
        <v>1353</v>
      </c>
    </row>
    <row r="1156" spans="2:2">
      <c r="B1156" s="1" t="s">
        <v>1352</v>
      </c>
    </row>
    <row r="1157" spans="2:2">
      <c r="B1157" s="1" t="s">
        <v>1351</v>
      </c>
    </row>
    <row r="1158" spans="2:2">
      <c r="B1158" s="1" t="s">
        <v>1350</v>
      </c>
    </row>
    <row r="1159" spans="2:2">
      <c r="B1159" s="1" t="s">
        <v>1349</v>
      </c>
    </row>
    <row r="1160" spans="2:2">
      <c r="B1160" s="1" t="s">
        <v>1348</v>
      </c>
    </row>
    <row r="1161" spans="2:2">
      <c r="B1161" s="1" t="s">
        <v>1347</v>
      </c>
    </row>
    <row r="1162" spans="2:2">
      <c r="B1162" s="1" t="s">
        <v>1346</v>
      </c>
    </row>
    <row r="1163" spans="2:2">
      <c r="B1163" s="1" t="s">
        <v>1345</v>
      </c>
    </row>
    <row r="1164" spans="2:2">
      <c r="B1164" s="1" t="s">
        <v>1344</v>
      </c>
    </row>
    <row r="1165" spans="2:2">
      <c r="B1165" s="1" t="s">
        <v>1343</v>
      </c>
    </row>
    <row r="1166" spans="2:2">
      <c r="B1166" s="1" t="s">
        <v>1342</v>
      </c>
    </row>
    <row r="1167" spans="2:2">
      <c r="B1167" s="1" t="s">
        <v>4487</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4498</v>
      </c>
    </row>
    <row r="1222" spans="2:2">
      <c r="B1222" s="1" t="s">
        <v>1288</v>
      </c>
    </row>
    <row r="1223" spans="2:2">
      <c r="B1223" s="1" t="s">
        <v>1287</v>
      </c>
    </row>
    <row r="1224" spans="2:2">
      <c r="B1224" s="1" t="s">
        <v>1286</v>
      </c>
    </row>
    <row r="1225" spans="2:2">
      <c r="B1225" s="1" t="s">
        <v>1285</v>
      </c>
    </row>
    <row r="1226" spans="2:2">
      <c r="B1226" s="1" t="s">
        <v>4499</v>
      </c>
    </row>
    <row r="1227" spans="2:2">
      <c r="B1227" s="1" t="s">
        <v>1284</v>
      </c>
    </row>
    <row r="1228" spans="2:2">
      <c r="B1228" s="1" t="s">
        <v>1283</v>
      </c>
    </row>
    <row r="1229" spans="2:2">
      <c r="B1229" s="1" t="s">
        <v>1282</v>
      </c>
    </row>
    <row r="1230" spans="2:2">
      <c r="B1230" s="1" t="s">
        <v>1281</v>
      </c>
    </row>
    <row r="1231" spans="2:2">
      <c r="B1231" s="1" t="s">
        <v>1280</v>
      </c>
    </row>
    <row r="1232" spans="2:2">
      <c r="B1232" s="1" t="s">
        <v>1279</v>
      </c>
    </row>
    <row r="1233" spans="2:2">
      <c r="B1233" s="1" t="s">
        <v>1278</v>
      </c>
    </row>
    <row r="1234" spans="2:2">
      <c r="B1234" s="1" t="s">
        <v>1277</v>
      </c>
    </row>
    <row r="1235" spans="2:2">
      <c r="B1235" s="1" t="s">
        <v>1276</v>
      </c>
    </row>
    <row r="1236" spans="2:2">
      <c r="B1236" s="1" t="s">
        <v>1275</v>
      </c>
    </row>
    <row r="1237" spans="2:2">
      <c r="B1237" s="1" t="s">
        <v>1274</v>
      </c>
    </row>
    <row r="1238" spans="2:2">
      <c r="B1238" s="1" t="s">
        <v>1273</v>
      </c>
    </row>
    <row r="1239" spans="2:2">
      <c r="B1239" s="1" t="s">
        <v>1272</v>
      </c>
    </row>
    <row r="1240" spans="2:2">
      <c r="B1240" s="1" t="s">
        <v>1271</v>
      </c>
    </row>
    <row r="1241" spans="2:2">
      <c r="B1241" s="1" t="s">
        <v>1270</v>
      </c>
    </row>
    <row r="1242" spans="2:2">
      <c r="B1242" s="1" t="s">
        <v>1269</v>
      </c>
    </row>
    <row r="1243" spans="2:2">
      <c r="B1243" s="1" t="s">
        <v>1268</v>
      </c>
    </row>
    <row r="1244" spans="2:2">
      <c r="B1244" s="1" t="s">
        <v>1267</v>
      </c>
    </row>
    <row r="1245" spans="2:2">
      <c r="B1245" s="1" t="s">
        <v>1266</v>
      </c>
    </row>
    <row r="1246" spans="2:2">
      <c r="B1246" s="1" t="s">
        <v>1265</v>
      </c>
    </row>
    <row r="1247" spans="2:2">
      <c r="B1247" s="1" t="s">
        <v>1264</v>
      </c>
    </row>
    <row r="1248" spans="2:2">
      <c r="B1248" s="1" t="s">
        <v>1263</v>
      </c>
    </row>
    <row r="1249" spans="2:2">
      <c r="B1249" s="1" t="s">
        <v>1262</v>
      </c>
    </row>
    <row r="1250" spans="2:2">
      <c r="B1250" s="1" t="s">
        <v>1261</v>
      </c>
    </row>
    <row r="1251" spans="2:2">
      <c r="B1251" s="1" t="s">
        <v>1260</v>
      </c>
    </row>
    <row r="1252" spans="2:2">
      <c r="B1252" s="1" t="s">
        <v>1259</v>
      </c>
    </row>
    <row r="1253" spans="2:2">
      <c r="B1253" s="1" t="s">
        <v>1258</v>
      </c>
    </row>
    <row r="1254" spans="2:2">
      <c r="B1254" s="1" t="s">
        <v>1257</v>
      </c>
    </row>
    <row r="1255" spans="2:2">
      <c r="B1255" s="1" t="s">
        <v>1256</v>
      </c>
    </row>
    <row r="1256" spans="2:2">
      <c r="B1256" s="1" t="s">
        <v>1255</v>
      </c>
    </row>
    <row r="1257" spans="2:2">
      <c r="B1257" s="1" t="s">
        <v>1254</v>
      </c>
    </row>
    <row r="1258" spans="2:2">
      <c r="B1258" s="1" t="s">
        <v>1253</v>
      </c>
    </row>
    <row r="1259" spans="2:2">
      <c r="B1259" s="1" t="s">
        <v>1252</v>
      </c>
    </row>
    <row r="1260" spans="2:2">
      <c r="B1260" s="1" t="s">
        <v>1251</v>
      </c>
    </row>
    <row r="1261" spans="2:2">
      <c r="B1261" s="1" t="s">
        <v>1250</v>
      </c>
    </row>
    <row r="1262" spans="2:2">
      <c r="B1262" s="1" t="s">
        <v>1249</v>
      </c>
    </row>
    <row r="1263" spans="2:2">
      <c r="B1263" s="1" t="s">
        <v>1248</v>
      </c>
    </row>
    <row r="1264" spans="2:2">
      <c r="B1264" s="1" t="s">
        <v>1247</v>
      </c>
    </row>
    <row r="1265" spans="2:30">
      <c r="B1265" s="1" t="s">
        <v>1246</v>
      </c>
    </row>
    <row r="1266" spans="2:30">
      <c r="B1266" s="1" t="s">
        <v>1245</v>
      </c>
    </row>
    <row r="1267" spans="2:30">
      <c r="B1267" s="1" t="s">
        <v>1244</v>
      </c>
    </row>
    <row r="1268" spans="2:30">
      <c r="B1268" s="1" t="s">
        <v>1243</v>
      </c>
    </row>
    <row r="1269" spans="2:30">
      <c r="B1269" s="1" t="s">
        <v>166</v>
      </c>
    </row>
    <row r="1270" spans="2:30">
      <c r="B1270" s="1" t="s">
        <v>1242</v>
      </c>
      <c r="AD1270" s="27"/>
    </row>
    <row r="1271" spans="2:30">
      <c r="B1271" s="1" t="s">
        <v>1241</v>
      </c>
    </row>
    <row r="1272" spans="2:30">
      <c r="B1272" s="1" t="s">
        <v>1240</v>
      </c>
    </row>
    <row r="1273" spans="2:30">
      <c r="B1273" s="1" t="s">
        <v>1239</v>
      </c>
    </row>
    <row r="1274" spans="2:30">
      <c r="B1274" s="1" t="s">
        <v>1238</v>
      </c>
    </row>
    <row r="1275" spans="2:30">
      <c r="B1275" s="1" t="s">
        <v>1237</v>
      </c>
    </row>
    <row r="1276" spans="2:30">
      <c r="B1276" s="1" t="s">
        <v>1236</v>
      </c>
    </row>
    <row r="1277" spans="2:30">
      <c r="B1277" s="1" t="s">
        <v>1235</v>
      </c>
    </row>
    <row r="1278" spans="2:30">
      <c r="B1278" s="1" t="s">
        <v>1234</v>
      </c>
    </row>
    <row r="1279" spans="2:30">
      <c r="B1279" s="1" t="s">
        <v>1233</v>
      </c>
    </row>
    <row r="1280" spans="2:30">
      <c r="B1280" s="1" t="s">
        <v>1232</v>
      </c>
    </row>
    <row r="1281" spans="2:2">
      <c r="B1281" s="1" t="s">
        <v>1231</v>
      </c>
    </row>
    <row r="1282" spans="2:2">
      <c r="B1282" s="1" t="s">
        <v>1230</v>
      </c>
    </row>
    <row r="1283" spans="2:2">
      <c r="B1283" s="1" t="s">
        <v>1229</v>
      </c>
    </row>
    <row r="1284" spans="2:2">
      <c r="B1284" s="1" t="s">
        <v>1228</v>
      </c>
    </row>
    <row r="1285" spans="2:2">
      <c r="B1285" s="1" t="s">
        <v>1227</v>
      </c>
    </row>
    <row r="1286" spans="2:2">
      <c r="B1286" s="1" t="s">
        <v>1226</v>
      </c>
    </row>
    <row r="1287" spans="2:2">
      <c r="B1287" s="1" t="s">
        <v>1225</v>
      </c>
    </row>
    <row r="1288" spans="2:2">
      <c r="B1288" s="1" t="s">
        <v>1224</v>
      </c>
    </row>
    <row r="1289" spans="2:2">
      <c r="B1289" s="1" t="s">
        <v>1223</v>
      </c>
    </row>
    <row r="1290" spans="2:2">
      <c r="B1290" s="1" t="s">
        <v>1222</v>
      </c>
    </row>
    <row r="1291" spans="2:2">
      <c r="B1291" s="1" t="s">
        <v>1221</v>
      </c>
    </row>
    <row r="1292" spans="2:2">
      <c r="B1292" s="1" t="s">
        <v>1220</v>
      </c>
    </row>
    <row r="1293" spans="2:2">
      <c r="B1293" s="1" t="s">
        <v>1219</v>
      </c>
    </row>
    <row r="1294" spans="2:2">
      <c r="B1294" s="1" t="s">
        <v>1218</v>
      </c>
    </row>
    <row r="1295" spans="2:2">
      <c r="B1295" s="1" t="s">
        <v>1217</v>
      </c>
    </row>
    <row r="1296" spans="2:2">
      <c r="B1296" s="1" t="s">
        <v>1216</v>
      </c>
    </row>
    <row r="1297" spans="2:2">
      <c r="B1297" s="1" t="s">
        <v>1215</v>
      </c>
    </row>
    <row r="1298" spans="2:2">
      <c r="B1298" s="1" t="s">
        <v>1214</v>
      </c>
    </row>
    <row r="1299" spans="2:2">
      <c r="B1299" s="1" t="s">
        <v>1213</v>
      </c>
    </row>
    <row r="1300" spans="2:2">
      <c r="B1300" s="1" t="s">
        <v>1212</v>
      </c>
    </row>
    <row r="1301" spans="2:2">
      <c r="B1301" s="1" t="s">
        <v>1211</v>
      </c>
    </row>
    <row r="1302" spans="2:2">
      <c r="B1302" s="1" t="s">
        <v>1210</v>
      </c>
    </row>
    <row r="1303" spans="2:2">
      <c r="B1303" s="1" t="s">
        <v>1209</v>
      </c>
    </row>
    <row r="1304" spans="2:2">
      <c r="B1304" s="1" t="s">
        <v>1208</v>
      </c>
    </row>
    <row r="1305" spans="2:2">
      <c r="B1305" s="1" t="s">
        <v>1207</v>
      </c>
    </row>
    <row r="1306" spans="2:2">
      <c r="B1306" s="1" t="s">
        <v>1206</v>
      </c>
    </row>
    <row r="1307" spans="2:2">
      <c r="B1307" s="1" t="s">
        <v>1205</v>
      </c>
    </row>
    <row r="1308" spans="2:2">
      <c r="B1308" s="1" t="s">
        <v>1204</v>
      </c>
    </row>
    <row r="1309" spans="2:2">
      <c r="B1309" s="1" t="s">
        <v>4462</v>
      </c>
    </row>
    <row r="1310" spans="2:2">
      <c r="B1310" s="1" t="s">
        <v>4466</v>
      </c>
    </row>
    <row r="1311" spans="2:2">
      <c r="B1311" s="1" t="s">
        <v>4468</v>
      </c>
    </row>
    <row r="1312" spans="2:2">
      <c r="B1312" s="1" t="s">
        <v>4469</v>
      </c>
    </row>
    <row r="1313" spans="2:2">
      <c r="B1313" s="1" t="s">
        <v>4470</v>
      </c>
    </row>
    <row r="1314" spans="2:2">
      <c r="B1314" s="1" t="s">
        <v>4471</v>
      </c>
    </row>
    <row r="1315" spans="2:2">
      <c r="B1315" s="1" t="s">
        <v>4472</v>
      </c>
    </row>
    <row r="1316" spans="2:2">
      <c r="B1316" s="1" t="s">
        <v>4473</v>
      </c>
    </row>
    <row r="1317" spans="2:2">
      <c r="B1317" s="1" t="s">
        <v>4474</v>
      </c>
    </row>
    <row r="1318" spans="2:2">
      <c r="B1318" s="1" t="s">
        <v>4475</v>
      </c>
    </row>
    <row r="1319" spans="2:2">
      <c r="B1319" s="1" t="s">
        <v>4477</v>
      </c>
    </row>
    <row r="1320" spans="2:2">
      <c r="B1320" s="1" t="s">
        <v>4478</v>
      </c>
    </row>
    <row r="1321" spans="2:2">
      <c r="B1321" s="1" t="s">
        <v>4479</v>
      </c>
    </row>
    <row r="1322" spans="2:2">
      <c r="B1322" s="1" t="s">
        <v>4480</v>
      </c>
    </row>
    <row r="1323" spans="2:2">
      <c r="B1323" s="1" t="s">
        <v>4481</v>
      </c>
    </row>
    <row r="1324" spans="2:2">
      <c r="B1324" s="1" t="s">
        <v>4482</v>
      </c>
    </row>
    <row r="1325" spans="2:2">
      <c r="B1325" s="1" t="s">
        <v>4483</v>
      </c>
    </row>
    <row r="1326" spans="2:2">
      <c r="B1326" s="1" t="s">
        <v>4490</v>
      </c>
    </row>
    <row r="1327" spans="2:2">
      <c r="B1327" s="1" t="s">
        <v>4491</v>
      </c>
    </row>
    <row r="1328" spans="2:2">
      <c r="B1328" s="1" t="s">
        <v>4492</v>
      </c>
    </row>
    <row r="1329" spans="2:3">
      <c r="B1329" s="1" t="s">
        <v>4493</v>
      </c>
    </row>
    <row r="1330" spans="2:3">
      <c r="B1330" s="1" t="s">
        <v>1985</v>
      </c>
    </row>
    <row r="1331" spans="2:3">
      <c r="B1331" s="1" t="s">
        <v>4494</v>
      </c>
    </row>
    <row r="1332" spans="2:3">
      <c r="B1332" s="1" t="s">
        <v>4495</v>
      </c>
    </row>
    <row r="1333" spans="2:3">
      <c r="B1333" s="1" t="s">
        <v>4496</v>
      </c>
    </row>
    <row r="1334" spans="2:3">
      <c r="B1334" s="1" t="s">
        <v>4497</v>
      </c>
      <c r="C1334" s="26" t="s">
        <v>2190</v>
      </c>
    </row>
    <row r="1335" spans="2:3">
      <c r="B1335" s="1" t="s">
        <v>4501</v>
      </c>
      <c r="C1335" s="26" t="s">
        <v>4502</v>
      </c>
    </row>
    <row r="1336" spans="2:3">
      <c r="B1336" s="1" t="s">
        <v>4504</v>
      </c>
    </row>
    <row r="1337" spans="2:3">
      <c r="B1337" s="1" t="s">
        <v>4505</v>
      </c>
    </row>
    <row r="1338" spans="2:3">
      <c r="B1338" s="1" t="s">
        <v>4506</v>
      </c>
    </row>
    <row r="1339" spans="2:3">
      <c r="B1339" s="1" t="s">
        <v>4507</v>
      </c>
    </row>
    <row r="1340" spans="2:3">
      <c r="B1340" s="1" t="s">
        <v>4509</v>
      </c>
    </row>
    <row r="1341" spans="2:3">
      <c r="B1341" s="1" t="s">
        <v>4510</v>
      </c>
    </row>
    <row r="1342" spans="2:3">
      <c r="B1342" s="1" t="s">
        <v>4548</v>
      </c>
    </row>
    <row r="1343" spans="2:3">
      <c r="B1343" s="1" t="s">
        <v>4580</v>
      </c>
    </row>
    <row r="1344" spans="2:3">
      <c r="B1344" s="1" t="s">
        <v>4581</v>
      </c>
    </row>
    <row r="1345" spans="2:28">
      <c r="B1345" s="1" t="s">
        <v>4583</v>
      </c>
    </row>
    <row r="1346" spans="2:28" ht="15">
      <c r="B1346" s="1" t="s">
        <v>4670</v>
      </c>
      <c r="I1346" s="1" t="s">
        <v>4672</v>
      </c>
      <c r="L1346" s="1">
        <v>2020</v>
      </c>
      <c r="AA1346" s="1" t="s">
        <v>2094</v>
      </c>
      <c r="AB1346" s="64" t="s">
        <v>4671</v>
      </c>
    </row>
  </sheetData>
  <autoFilter ref="A2:L391" xr:uid="{DC9C89C9-C58C-431A-80D5-5C7D568EC13B}"/>
  <hyperlinks>
    <hyperlink ref="A1" location="Main!A1" display="Main" xr:uid="{7DC47930-6FDD-2A40-A215-ADB7D7D212D9}"/>
    <hyperlink ref="M79" r:id="rId1" xr:uid="{37B348D1-62FB-CB42-8FDE-DB2286F85AF4}"/>
    <hyperlink ref="M359" r:id="rId2" xr:uid="{63A7BC90-DBBE-514D-9915-3C6B5CB87487}"/>
    <hyperlink ref="M43" r:id="rId3" xr:uid="{F34DB0AF-F289-024D-AF53-614380091A79}"/>
    <hyperlink ref="AC4" r:id="rId4" location="gid=503924035" xr:uid="{EB939790-927D-6F49-9F17-5978E943E6F0}"/>
    <hyperlink ref="AC3" r:id="rId5" xr:uid="{72758097-3595-0D4C-8A1A-A922DD9B3ACA}"/>
    <hyperlink ref="AB277" r:id="rId6" xr:uid="{ED4C4901-26B0-DD47-8A57-E9851FDE4E45}"/>
    <hyperlink ref="AB306" r:id="rId7" xr:uid="{2DAB4514-E808-DB40-9A64-A8C67F3ECD93}"/>
    <hyperlink ref="AB106" r:id="rId8" xr:uid="{AB3930FA-F679-A344-BA29-64D2D2FEC47E}"/>
    <hyperlink ref="AB107" r:id="rId9" xr:uid="{6CE92E7C-8B8B-A342-AB1F-A673F4460D55}"/>
    <hyperlink ref="AB276" r:id="rId10" xr:uid="{E179990D-B264-E64C-8A3F-16A0D4E9B53C}"/>
    <hyperlink ref="AB73" r:id="rId11" xr:uid="{8C90E27D-4F9D-5D4E-8EA0-BE3C7413319F}"/>
    <hyperlink ref="AB278" r:id="rId12" xr:uid="{B959BFB5-FA17-4049-9F1C-D181B14C9BAC}"/>
    <hyperlink ref="AB19" r:id="rId13" xr:uid="{D3F3CAAC-B165-8641-B49B-D1D231AC1BB5}"/>
    <hyperlink ref="AB24" r:id="rId14" xr:uid="{0D93FA7F-DF31-464B-B7DB-6643E2D277F9}"/>
    <hyperlink ref="AB30" r:id="rId15" xr:uid="{764D5E85-2FA7-3F4A-847E-36641C8801B6}"/>
    <hyperlink ref="AB33" r:id="rId16" xr:uid="{920F94BA-DE8E-5146-98C8-1B194655CBEE}"/>
    <hyperlink ref="AB23" r:id="rId17" xr:uid="{E93BB48A-3B55-A94A-BF1D-F1DB95DB5FE8}"/>
    <hyperlink ref="AB36" r:id="rId18" xr:uid="{031CC666-5E7E-9B40-9CDA-8EDFDCC1E307}"/>
    <hyperlink ref="AB29" r:id="rId19" xr:uid="{72FD1EF1-B4ED-0941-9B52-50EE94060A4E}"/>
    <hyperlink ref="AB18" r:id="rId20" xr:uid="{5ED8BADD-3E21-1647-B238-2661DB750F6A}"/>
    <hyperlink ref="AB31" r:id="rId21" xr:uid="{BFBA0651-87AB-954B-9475-1E4DBB347C42}"/>
    <hyperlink ref="AB345" r:id="rId22" xr:uid="{A8B20ECF-8056-E242-9021-7197D22C0B38}"/>
    <hyperlink ref="AB326" r:id="rId23" xr:uid="{2D8D9379-6E23-AD4C-A876-0968872143E5}"/>
    <hyperlink ref="AB338" r:id="rId24" xr:uid="{022F52CA-9B2E-1044-A61A-10BCCE89F5FA}"/>
    <hyperlink ref="AB332" r:id="rId25" xr:uid="{C6B6BF51-25A9-D149-ADD8-8643DC8033F2}"/>
    <hyperlink ref="AB381" r:id="rId26" xr:uid="{58B96F6A-4A47-594B-AA9F-64985A0568AD}"/>
    <hyperlink ref="AB78" r:id="rId27" xr:uid="{F6F3BAEB-0D08-9A41-AA5D-8FC4FAEE90C4}"/>
    <hyperlink ref="AB164" r:id="rId28" xr:uid="{AF414F64-2DC8-B34A-A112-4B02EDC8CC31}"/>
    <hyperlink ref="AB335" r:id="rId29" xr:uid="{1443711D-B9DB-714F-ADE4-0E99FF7F5888}"/>
    <hyperlink ref="AB34" r:id="rId30" xr:uid="{0E1B45F4-A047-DC46-BBEA-367B4042C6F5}"/>
    <hyperlink ref="AB377" r:id="rId31" xr:uid="{95F915AF-5880-204B-94D3-5AE3004DEF67}"/>
    <hyperlink ref="AB147" r:id="rId32" xr:uid="{720ED47E-6D0B-9D46-A96E-D501FDBC5DEC}"/>
    <hyperlink ref="AB136" r:id="rId33" xr:uid="{7B645E94-5A15-6D40-AC9E-C5EDCCE27A44}"/>
    <hyperlink ref="AB169" r:id="rId34" xr:uid="{06A5BC78-FA4C-1D4F-AB34-ADA02902E774}"/>
    <hyperlink ref="AB16" r:id="rId35" xr:uid="{F13C139A-0782-844D-B0AD-57F47BFEC853}"/>
    <hyperlink ref="AB307" r:id="rId36" xr:uid="{78942238-C074-2F4E-993D-1790D1BAB63C}"/>
    <hyperlink ref="AB108" r:id="rId37" xr:uid="{171EBBA1-AB06-4341-B724-8DD665D29B80}"/>
    <hyperlink ref="AB9" r:id="rId38" xr:uid="{EBFFA5AE-9580-C441-8CBA-814F45F518A6}"/>
    <hyperlink ref="AB339" r:id="rId39" xr:uid="{0C119BC3-D578-2941-AE8A-3F57B9639DE1}"/>
    <hyperlink ref="AB54" r:id="rId40" xr:uid="{6BF6AEA6-6D03-6B4E-83CE-101A2D8F2EAD}"/>
    <hyperlink ref="AB28" r:id="rId41" xr:uid="{C1FD3CDF-9167-074F-AF1C-4ABFE7C01B56}"/>
    <hyperlink ref="AB62" r:id="rId42" xr:uid="{E81664D1-DEF0-324B-B3FE-7F80B17C89A0}"/>
    <hyperlink ref="AB50" r:id="rId43" xr:uid="{18983DD3-B944-F34D-BD3E-3547A0838F94}"/>
    <hyperlink ref="AB21" r:id="rId44" xr:uid="{4390AFC5-4DA5-5B4F-80CE-6A61C4C29D2F}"/>
    <hyperlink ref="AB26" r:id="rId45" xr:uid="{9C818224-4DC6-D34D-9304-6F79AAEA9CDB}"/>
    <hyperlink ref="AB63" r:id="rId46" xr:uid="{72EBC7D9-5D60-C944-8533-1D90793FF099}"/>
    <hyperlink ref="AB333" r:id="rId47" xr:uid="{4E63B0C1-3987-4D40-9857-B61C3A4446FD}"/>
    <hyperlink ref="AB46" r:id="rId48" xr:uid="{8B81CD89-B13C-E246-A976-CBFA55B11F26}"/>
    <hyperlink ref="AB75" r:id="rId49" xr:uid="{E698049E-CA87-2440-A514-617669A5F2DE}"/>
    <hyperlink ref="AB330" r:id="rId50" xr:uid="{EF08B206-7BC2-B347-B3C3-099A76A6C98B}"/>
    <hyperlink ref="AB37" r:id="rId51" xr:uid="{57F72F8F-C3C2-2340-BB94-064E315D07EA}"/>
    <hyperlink ref="AB74" r:id="rId52" xr:uid="{4FE35350-6B01-CE4D-9AA6-C9547D5251C7}"/>
    <hyperlink ref="AB42" r:id="rId53" xr:uid="{822DE1CE-F100-6140-A115-CC1D7D91EB06}"/>
    <hyperlink ref="AB48" r:id="rId54" xr:uid="{5C527B46-95F8-3949-A59B-0C85E4B8FD01}"/>
    <hyperlink ref="AC6" r:id="rId55" xr:uid="{B5F71F58-3D63-C446-8E3D-52937BE67F19}"/>
    <hyperlink ref="AB38" r:id="rId56" xr:uid="{786DD53F-75EA-C54E-8222-9C3C805CDED3}"/>
    <hyperlink ref="AB343" r:id="rId57" xr:uid="{CC40D851-813C-B745-BB91-B1FBA1A75411}"/>
    <hyperlink ref="AB315" r:id="rId58" xr:uid="{718F0717-0D80-D749-AFAC-503136FD614D}"/>
    <hyperlink ref="AB47" r:id="rId59" xr:uid="{3B3A7990-C704-2F48-8F13-639726F48493}"/>
    <hyperlink ref="AB53" r:id="rId60" xr:uid="{8D834950-57B6-1C42-9BD8-9A11223A1EE7}"/>
    <hyperlink ref="AB323" r:id="rId61" xr:uid="{6DEE1342-B5DE-8A4A-9202-3E064FA3552E}"/>
    <hyperlink ref="AB395" r:id="rId62" xr:uid="{0F558832-98B6-A04D-9F3E-A9DD31237A57}"/>
    <hyperlink ref="AB396" r:id="rId63" xr:uid="{8432CAA1-9EA3-3445-B38D-B2C1FB98CAFF}"/>
    <hyperlink ref="AB397" r:id="rId64" xr:uid="{D822643C-567F-9B4F-A9B7-4AA9131C4992}"/>
    <hyperlink ref="AB398" r:id="rId65" xr:uid="{8AEC09E9-BAFC-1747-A44C-E3AC8638062E}"/>
    <hyperlink ref="AB399" r:id="rId66" xr:uid="{C049C314-E5E6-124D-986D-B4ABAA8971A5}"/>
    <hyperlink ref="AB400" r:id="rId67" xr:uid="{41E3F6C5-FE57-7F4C-ABC1-0A929B321F55}"/>
    <hyperlink ref="AB401" r:id="rId68" xr:uid="{EF76843A-20C1-0C40-A724-B82D6732F343}"/>
    <hyperlink ref="AB402" r:id="rId69" xr:uid="{2F3CAC6A-88CD-4446-B4C7-33F81E485CD2}"/>
    <hyperlink ref="AB403" r:id="rId70" xr:uid="{B2CA3E12-3DD8-8042-A982-B5CC5EFFFF91}"/>
    <hyperlink ref="AB404" r:id="rId71" xr:uid="{6C539E22-DAF2-5E4E-9D5C-1E03772465DA}"/>
    <hyperlink ref="AB342"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95"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2" r:id="rId108" xr:uid="{21FDF57F-F07F-094B-A2E4-BED4F719F594}"/>
    <hyperlink ref="AB35" r:id="rId109" xr:uid="{AC762AC4-0727-1B4F-B144-DF9EB3F24517}"/>
    <hyperlink ref="AB39" r:id="rId110" xr:uid="{8888E035-8F99-5941-8628-08B4C8962CDB}"/>
    <hyperlink ref="AB40" r:id="rId111" xr:uid="{AD5B981B-F2A5-2145-AC1F-9DDCEB0F8CE2}"/>
    <hyperlink ref="AB41" r:id="rId112" xr:uid="{8216AD65-7A39-F64F-8848-092966213C2C}"/>
    <hyperlink ref="AB43" r:id="rId113" xr:uid="{1BBED3C7-7FB5-F04A-8776-A2610F38ECF5}"/>
    <hyperlink ref="AB203" r:id="rId114" xr:uid="{44EEF2A2-0D97-2340-A353-E6DBC2DA382F}"/>
    <hyperlink ref="AB55" r:id="rId115" xr:uid="{7BE63379-BF9A-7E4B-97DB-FF614886D4FB}"/>
    <hyperlink ref="AB1346" r:id="rId116" xr:uid="{1FE48E92-AC62-274A-893A-145FF5FC4532}"/>
  </hyperlinks>
  <pageMargins left="0.7" right="0.7" top="0.75" bottom="0.75" header="0.3" footer="0.3"/>
  <pageSetup orientation="portrait" r:id="rId117"/>
  <legacyDrawing r:id="rId1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115"/>
  <sheetViews>
    <sheetView zoomScale="145" zoomScaleNormal="145" workbookViewId="0">
      <pane xSplit="2" ySplit="2" topLeftCell="C3089" activePane="bottomRight" state="frozen"/>
      <selection pane="topRight" activeCell="C1" sqref="C1"/>
      <selection pane="bottomLeft" activeCell="A3" sqref="A3"/>
      <selection pane="bottomRight" activeCell="D3114" sqref="D3114"/>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SUM(F47:F79)</f>
        <v>994.83333333333337</v>
      </c>
      <c r="G46" s="14">
        <f>G58</f>
        <v>45062</v>
      </c>
      <c r="I46" s="12">
        <v>32400</v>
      </c>
      <c r="J46" s="22">
        <f>+F46/I46</f>
        <v>3.0704732510288067E-2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G80" s="4"/>
    </row>
    <row r="81" spans="1:18" s="12" customFormat="1">
      <c r="A81" s="12">
        <v>4</v>
      </c>
      <c r="B81" s="12" t="s">
        <v>1181</v>
      </c>
      <c r="C81" s="13" t="s">
        <v>986</v>
      </c>
      <c r="D81" s="13" t="s">
        <v>985</v>
      </c>
      <c r="E81" s="15"/>
      <c r="F81" s="15">
        <f>SUM(F82:F104)</f>
        <v>863.93722943722946</v>
      </c>
      <c r="G81" s="14">
        <f>G99</f>
        <v>44851</v>
      </c>
      <c r="I81" s="12">
        <v>58000</v>
      </c>
      <c r="J81" s="23">
        <f>+F81/I81</f>
        <v>1.4895469473055681E-2</v>
      </c>
      <c r="K81" s="12">
        <v>2001</v>
      </c>
      <c r="M81" s="13">
        <v>0</v>
      </c>
      <c r="N81" s="13">
        <v>0</v>
      </c>
      <c r="O81" s="15">
        <f>SUM(F85,F92,F93,F95)</f>
        <v>23.333333333333332</v>
      </c>
      <c r="P81" s="15">
        <f>SUM(F84,F87,F90,F91)</f>
        <v>260.81818181818181</v>
      </c>
      <c r="Q81" s="15">
        <f>SUM(F88,F89,F94,F98)</f>
        <v>99.285714285714292</v>
      </c>
      <c r="R81" s="15">
        <f>SUM(F82,F83,F96,F97)</f>
        <v>179</v>
      </c>
    </row>
    <row r="82" spans="1:18">
      <c r="C82" s="2" t="s">
        <v>9</v>
      </c>
      <c r="D82" s="2" t="s">
        <v>815</v>
      </c>
      <c r="E82" s="3">
        <v>325</v>
      </c>
      <c r="F82" s="3">
        <v>65</v>
      </c>
      <c r="G82" s="4">
        <v>44299</v>
      </c>
    </row>
    <row r="83" spans="1:18">
      <c r="C83" s="2" t="s">
        <v>8</v>
      </c>
      <c r="D83" s="2" t="s">
        <v>815</v>
      </c>
      <c r="E83" s="3">
        <v>155</v>
      </c>
      <c r="F83" s="3">
        <v>50</v>
      </c>
      <c r="G83" s="4">
        <v>44166</v>
      </c>
    </row>
    <row r="84" spans="1:18">
      <c r="C84" s="2" t="s">
        <v>7</v>
      </c>
      <c r="D84" s="2" t="s">
        <v>969</v>
      </c>
      <c r="E84" s="3">
        <v>130</v>
      </c>
      <c r="F84" s="3">
        <v>60</v>
      </c>
      <c r="G84" s="4">
        <v>44607</v>
      </c>
    </row>
    <row r="85" spans="1:18">
      <c r="C85" s="2" t="s">
        <v>5</v>
      </c>
      <c r="D85" s="2" t="s">
        <v>1113</v>
      </c>
      <c r="E85" s="3">
        <v>28</v>
      </c>
      <c r="F85" s="3">
        <v>6</v>
      </c>
      <c r="G85" s="4">
        <v>44649</v>
      </c>
    </row>
    <row r="86" spans="1:18">
      <c r="C86" s="2" t="s">
        <v>18</v>
      </c>
      <c r="D86" s="2" t="s">
        <v>1087</v>
      </c>
      <c r="E86" s="3">
        <v>85</v>
      </c>
      <c r="F86" s="3">
        <v>55</v>
      </c>
      <c r="G86" s="4">
        <v>44501</v>
      </c>
    </row>
    <row r="87" spans="1:18">
      <c r="C87" s="2" t="s">
        <v>7</v>
      </c>
      <c r="D87" s="2" t="s">
        <v>1159</v>
      </c>
      <c r="E87" s="3">
        <v>2500</v>
      </c>
      <c r="F87" s="3">
        <f>2000/11</f>
        <v>181.81818181818181</v>
      </c>
      <c r="G87" s="4">
        <v>44363</v>
      </c>
    </row>
    <row r="88" spans="1:18">
      <c r="C88" s="2" t="s">
        <v>18</v>
      </c>
      <c r="D88" s="2" t="s">
        <v>1023</v>
      </c>
      <c r="E88" s="3">
        <v>100</v>
      </c>
      <c r="F88" s="3">
        <v>10</v>
      </c>
      <c r="G88" s="4">
        <v>44754</v>
      </c>
    </row>
    <row r="89" spans="1:18">
      <c r="C89" s="2" t="s">
        <v>18</v>
      </c>
      <c r="D89" s="2" t="s">
        <v>810</v>
      </c>
      <c r="E89" s="3">
        <v>50</v>
      </c>
      <c r="F89" s="3">
        <v>25</v>
      </c>
      <c r="G89" s="4">
        <v>44496</v>
      </c>
    </row>
    <row r="90" spans="1:18">
      <c r="C90" s="2" t="s">
        <v>7</v>
      </c>
      <c r="D90" s="2" t="s">
        <v>877</v>
      </c>
      <c r="E90" s="3">
        <v>50</v>
      </c>
      <c r="F90" s="3">
        <v>7</v>
      </c>
      <c r="G90" s="4">
        <v>44628</v>
      </c>
    </row>
    <row r="91" spans="1:18">
      <c r="C91" s="2" t="s">
        <v>7</v>
      </c>
      <c r="D91" s="2" t="s">
        <v>1026</v>
      </c>
      <c r="E91" s="3">
        <v>30</v>
      </c>
      <c r="F91" s="3">
        <v>12</v>
      </c>
      <c r="G91" s="4">
        <v>44539</v>
      </c>
    </row>
    <row r="92" spans="1:18">
      <c r="C92" s="2" t="s">
        <v>5</v>
      </c>
      <c r="D92" s="2" t="s">
        <v>1003</v>
      </c>
      <c r="E92" s="3">
        <v>25</v>
      </c>
      <c r="F92" s="3">
        <v>10</v>
      </c>
      <c r="G92" s="4">
        <v>44615</v>
      </c>
    </row>
    <row r="93" spans="1:18">
      <c r="C93" s="2" t="s">
        <v>5</v>
      </c>
      <c r="D93" s="2" t="s">
        <v>680</v>
      </c>
      <c r="E93" s="3">
        <v>14</v>
      </c>
      <c r="F93" s="3">
        <v>5</v>
      </c>
      <c r="G93" s="4">
        <v>44705</v>
      </c>
    </row>
    <row r="94" spans="1:18">
      <c r="C94" s="2" t="s">
        <v>18</v>
      </c>
      <c r="D94" s="2" t="s">
        <v>896</v>
      </c>
      <c r="E94" s="3">
        <v>200</v>
      </c>
      <c r="F94" s="3">
        <v>50</v>
      </c>
      <c r="G94" s="4">
        <v>44377</v>
      </c>
    </row>
    <row r="95" spans="1:18">
      <c r="C95" s="2" t="s">
        <v>5</v>
      </c>
      <c r="D95" s="2" t="s">
        <v>731</v>
      </c>
      <c r="E95" s="3">
        <v>11</v>
      </c>
      <c r="F95" s="3">
        <f>7/3</f>
        <v>2.3333333333333335</v>
      </c>
      <c r="G95" s="4">
        <v>44483</v>
      </c>
    </row>
    <row r="96" spans="1:18">
      <c r="C96" s="2" t="s">
        <v>513</v>
      </c>
      <c r="D96" s="2" t="s">
        <v>498</v>
      </c>
      <c r="E96" s="3">
        <v>250</v>
      </c>
      <c r="F96" s="3">
        <v>50</v>
      </c>
      <c r="G96" s="4">
        <v>44376</v>
      </c>
    </row>
    <row r="97" spans="1:18">
      <c r="C97" s="2" t="s">
        <v>9</v>
      </c>
      <c r="D97" s="2" t="s">
        <v>498</v>
      </c>
      <c r="E97" s="3">
        <v>206</v>
      </c>
      <c r="F97" s="3">
        <v>14</v>
      </c>
      <c r="G97" s="4">
        <v>43725</v>
      </c>
    </row>
    <row r="98" spans="1:18">
      <c r="C98" s="2" t="s">
        <v>18</v>
      </c>
      <c r="D98" s="2" t="s">
        <v>381</v>
      </c>
      <c r="E98" s="3">
        <v>130</v>
      </c>
      <c r="F98" s="3">
        <f>100/7</f>
        <v>14.285714285714286</v>
      </c>
      <c r="G98" s="4">
        <v>44323</v>
      </c>
    </row>
    <row r="99" spans="1:18">
      <c r="C99" s="2" t="s">
        <v>5</v>
      </c>
      <c r="D99" s="2" t="s">
        <v>288</v>
      </c>
      <c r="E99" s="3">
        <v>32</v>
      </c>
      <c r="F99" s="3">
        <v>11</v>
      </c>
      <c r="G99" s="4">
        <v>44851</v>
      </c>
    </row>
    <row r="100" spans="1:18">
      <c r="C100" s="2" t="s">
        <v>5</v>
      </c>
      <c r="D100" s="2" t="s">
        <v>288</v>
      </c>
      <c r="E100" s="3">
        <v>26</v>
      </c>
      <c r="F100" s="3">
        <v>13</v>
      </c>
      <c r="G100" s="4">
        <v>44453</v>
      </c>
    </row>
    <row r="101" spans="1:18">
      <c r="C101" s="2" t="s">
        <v>8</v>
      </c>
      <c r="D101" s="2" t="s">
        <v>260</v>
      </c>
      <c r="E101" s="3">
        <v>600</v>
      </c>
      <c r="F101" s="3">
        <v>100</v>
      </c>
      <c r="G101" s="4">
        <v>44502</v>
      </c>
    </row>
    <row r="102" spans="1:18">
      <c r="C102" s="2" t="s">
        <v>9</v>
      </c>
      <c r="D102" s="2" t="s">
        <v>159</v>
      </c>
      <c r="E102" s="3">
        <v>400</v>
      </c>
      <c r="F102" s="3">
        <v>80</v>
      </c>
      <c r="G102" s="4">
        <v>44413</v>
      </c>
    </row>
    <row r="103" spans="1:18">
      <c r="C103" s="2" t="s">
        <v>8</v>
      </c>
      <c r="D103" s="2" t="s">
        <v>159</v>
      </c>
      <c r="E103" s="3">
        <v>100</v>
      </c>
      <c r="F103" s="3">
        <f>75/6</f>
        <v>12.5</v>
      </c>
      <c r="G103" s="4">
        <v>44067</v>
      </c>
    </row>
    <row r="104" spans="1:18">
      <c r="C104" s="2" t="s">
        <v>9</v>
      </c>
      <c r="D104" s="2" t="s">
        <v>57</v>
      </c>
      <c r="E104" s="3">
        <v>250</v>
      </c>
      <c r="F104" s="3">
        <f>150/5</f>
        <v>30</v>
      </c>
      <c r="G104" s="4">
        <v>44350</v>
      </c>
      <c r="I104" s="1">
        <v>7000</v>
      </c>
      <c r="J104" s="1">
        <v>7000</v>
      </c>
    </row>
    <row r="105" spans="1:18">
      <c r="G105" s="4"/>
    </row>
    <row r="106" spans="1:18" s="12" customFormat="1">
      <c r="A106" s="12">
        <v>5</v>
      </c>
      <c r="B106" s="12" t="s">
        <v>1180</v>
      </c>
      <c r="C106" s="13" t="s">
        <v>986</v>
      </c>
      <c r="D106" s="13" t="s">
        <v>985</v>
      </c>
      <c r="E106" s="15"/>
      <c r="F106" s="15">
        <f>SUM(F107:F111)</f>
        <v>744.15151515151513</v>
      </c>
      <c r="G106" s="14">
        <f>+G107</f>
        <v>44363</v>
      </c>
      <c r="I106" s="13" t="s">
        <v>1</v>
      </c>
      <c r="J106" s="13" t="s">
        <v>1</v>
      </c>
      <c r="K106" s="13" t="s">
        <v>1</v>
      </c>
      <c r="M106" s="13">
        <v>0</v>
      </c>
      <c r="N106" s="13">
        <v>0</v>
      </c>
      <c r="O106" s="15">
        <f>F108</f>
        <v>500</v>
      </c>
      <c r="P106" s="15">
        <f>F107</f>
        <v>181.81818181818181</v>
      </c>
      <c r="Q106" s="13">
        <v>0</v>
      </c>
      <c r="R106" s="15">
        <f>F109</f>
        <v>25</v>
      </c>
    </row>
    <row r="107" spans="1:18">
      <c r="C107" s="2" t="s">
        <v>7</v>
      </c>
      <c r="D107" s="2" t="s">
        <v>1159</v>
      </c>
      <c r="E107" s="3">
        <v>2500</v>
      </c>
      <c r="F107" s="3">
        <f>2000/11</f>
        <v>181.81818181818181</v>
      </c>
      <c r="G107" s="4">
        <v>44363</v>
      </c>
    </row>
    <row r="108" spans="1:18">
      <c r="C108" s="2" t="s">
        <v>5</v>
      </c>
      <c r="D108" s="2" t="s">
        <v>1159</v>
      </c>
      <c r="E108" s="3">
        <v>3000</v>
      </c>
      <c r="F108" s="3">
        <v>500</v>
      </c>
      <c r="G108" s="4">
        <v>43892</v>
      </c>
    </row>
    <row r="109" spans="1:18">
      <c r="C109" s="2" t="s">
        <v>8</v>
      </c>
      <c r="D109" s="2" t="s">
        <v>530</v>
      </c>
      <c r="E109" s="3">
        <v>100</v>
      </c>
      <c r="F109" s="3">
        <v>25</v>
      </c>
      <c r="G109" s="4">
        <v>44419</v>
      </c>
    </row>
    <row r="110" spans="1:18">
      <c r="C110" s="2" t="s">
        <v>7</v>
      </c>
      <c r="D110" s="2" t="s">
        <v>317</v>
      </c>
      <c r="E110" s="3">
        <v>40</v>
      </c>
      <c r="F110" s="3">
        <v>4</v>
      </c>
      <c r="G110" s="4">
        <v>43419</v>
      </c>
    </row>
    <row r="111" spans="1:18">
      <c r="C111" s="2" t="s">
        <v>8</v>
      </c>
      <c r="D111" s="2" t="s">
        <v>218</v>
      </c>
      <c r="E111" s="3">
        <v>700</v>
      </c>
      <c r="F111" s="3">
        <f>400/12</f>
        <v>33.333333333333336</v>
      </c>
      <c r="G111" s="4">
        <v>44218</v>
      </c>
    </row>
    <row r="112" spans="1:18">
      <c r="G112" s="4"/>
    </row>
    <row r="113" spans="1:18" s="12" customFormat="1">
      <c r="A113" s="12">
        <v>5</v>
      </c>
      <c r="B113" s="12" t="s">
        <v>1179</v>
      </c>
      <c r="C113" s="13" t="s">
        <v>986</v>
      </c>
      <c r="D113" s="13" t="s">
        <v>985</v>
      </c>
      <c r="E113" s="15"/>
      <c r="F113" s="15">
        <f>SUM(F114:F118)</f>
        <v>744.31818181818176</v>
      </c>
      <c r="G113" s="14">
        <f>G116</f>
        <v>44819</v>
      </c>
      <c r="I113" s="12">
        <v>92000</v>
      </c>
      <c r="J113" s="22">
        <f>+F113/I113</f>
        <v>8.090415019762846E-3</v>
      </c>
      <c r="K113" s="12">
        <v>1999</v>
      </c>
      <c r="M113" s="13">
        <v>0</v>
      </c>
      <c r="N113" s="13">
        <v>0</v>
      </c>
      <c r="O113" s="15">
        <f>SUM(F115:F116)</f>
        <v>503</v>
      </c>
      <c r="P113" s="15">
        <f>SUM(F114)</f>
        <v>181.81818181818181</v>
      </c>
      <c r="Q113" s="13">
        <v>0</v>
      </c>
      <c r="R113" s="15">
        <f>SUM(F117)</f>
        <v>22</v>
      </c>
    </row>
    <row r="114" spans="1:18">
      <c r="C114" s="2" t="s">
        <v>7</v>
      </c>
      <c r="D114" s="2" t="s">
        <v>1159</v>
      </c>
      <c r="E114" s="3">
        <v>2500</v>
      </c>
      <c r="F114" s="3">
        <f>2000/11</f>
        <v>181.81818181818181</v>
      </c>
      <c r="G114" s="4">
        <v>44363</v>
      </c>
    </row>
    <row r="115" spans="1:18">
      <c r="C115" s="2" t="s">
        <v>5</v>
      </c>
      <c r="D115" s="2" t="s">
        <v>1159</v>
      </c>
      <c r="E115" s="3">
        <v>3000</v>
      </c>
      <c r="F115" s="3">
        <v>500</v>
      </c>
      <c r="G115" s="4">
        <v>43892</v>
      </c>
    </row>
    <row r="116" spans="1:18">
      <c r="C116" s="2" t="s">
        <v>5</v>
      </c>
      <c r="D116" s="2" t="s">
        <v>1036</v>
      </c>
      <c r="E116" s="3">
        <v>10.6</v>
      </c>
      <c r="F116" s="3">
        <v>3</v>
      </c>
      <c r="G116" s="4">
        <v>44819</v>
      </c>
    </row>
    <row r="117" spans="1:18">
      <c r="C117" s="2" t="s">
        <v>55</v>
      </c>
      <c r="D117" s="2" t="s">
        <v>498</v>
      </c>
      <c r="E117" s="3">
        <v>270</v>
      </c>
      <c r="F117" s="3">
        <v>22</v>
      </c>
      <c r="G117" s="4">
        <v>44152</v>
      </c>
    </row>
    <row r="118" spans="1:18">
      <c r="C118" s="2" t="s">
        <v>9</v>
      </c>
      <c r="D118" s="2" t="s">
        <v>49</v>
      </c>
      <c r="E118" s="3">
        <v>248</v>
      </c>
      <c r="F118" s="3">
        <f>150/4</f>
        <v>37.5</v>
      </c>
      <c r="G118" s="4">
        <v>43678</v>
      </c>
    </row>
    <row r="119" spans="1:18">
      <c r="G119" s="4"/>
    </row>
    <row r="120" spans="1:18" s="12" customFormat="1">
      <c r="A120" s="12">
        <v>6</v>
      </c>
      <c r="B120" s="12" t="s">
        <v>1178</v>
      </c>
      <c r="C120" s="13" t="s">
        <v>986</v>
      </c>
      <c r="D120" s="13" t="s">
        <v>985</v>
      </c>
      <c r="E120" s="15"/>
      <c r="F120" s="15">
        <f>SUM(F121:F125)</f>
        <v>716.31818181818176</v>
      </c>
      <c r="G120" s="14">
        <f>G124</f>
        <v>44502</v>
      </c>
      <c r="I120" s="13" t="s">
        <v>1</v>
      </c>
      <c r="J120" s="13" t="s">
        <v>1</v>
      </c>
      <c r="K120" s="13" t="s">
        <v>1</v>
      </c>
      <c r="M120" s="13">
        <v>0</v>
      </c>
      <c r="N120" s="13">
        <v>0</v>
      </c>
      <c r="O120" s="15">
        <f>F122</f>
        <v>250</v>
      </c>
      <c r="P120" s="15">
        <f>F121</f>
        <v>181.81818181818181</v>
      </c>
      <c r="Q120" s="13">
        <v>0</v>
      </c>
      <c r="R120" s="15">
        <f>F123</f>
        <v>22</v>
      </c>
    </row>
    <row r="121" spans="1:18">
      <c r="C121" s="2" t="s">
        <v>7</v>
      </c>
      <c r="D121" s="2" t="s">
        <v>1159</v>
      </c>
      <c r="E121" s="3">
        <v>2500</v>
      </c>
      <c r="F121" s="3">
        <f>2000/11</f>
        <v>181.81818181818181</v>
      </c>
      <c r="G121" s="4">
        <v>44363</v>
      </c>
    </row>
    <row r="122" spans="1:18">
      <c r="C122" s="2" t="s">
        <v>5</v>
      </c>
      <c r="D122" s="2" t="s">
        <v>1159</v>
      </c>
      <c r="E122" s="3">
        <v>3000</v>
      </c>
      <c r="F122" s="3">
        <v>250</v>
      </c>
      <c r="G122" s="4">
        <v>43963</v>
      </c>
    </row>
    <row r="123" spans="1:18">
      <c r="C123" s="2" t="s">
        <v>55</v>
      </c>
      <c r="D123" s="2" t="s">
        <v>498</v>
      </c>
      <c r="E123" s="3">
        <v>270</v>
      </c>
      <c r="F123" s="3">
        <v>22</v>
      </c>
      <c r="G123" s="4">
        <v>44152</v>
      </c>
    </row>
    <row r="124" spans="1:18">
      <c r="C124" s="2" t="s">
        <v>8</v>
      </c>
      <c r="D124" s="2" t="s">
        <v>260</v>
      </c>
      <c r="E124" s="3">
        <v>600</v>
      </c>
      <c r="F124" s="3">
        <f>500/8</f>
        <v>62.5</v>
      </c>
      <c r="G124" s="4">
        <v>44502</v>
      </c>
    </row>
    <row r="125" spans="1:18">
      <c r="C125" s="2" t="s">
        <v>18</v>
      </c>
      <c r="D125" s="2" t="s">
        <v>260</v>
      </c>
      <c r="E125" s="3">
        <v>500</v>
      </c>
      <c r="F125" s="3">
        <v>200</v>
      </c>
      <c r="G125" s="4">
        <v>44144</v>
      </c>
    </row>
    <row r="126" spans="1:18">
      <c r="G126" s="4"/>
    </row>
    <row r="127" spans="1:18" s="12" customFormat="1">
      <c r="A127" s="12">
        <v>7</v>
      </c>
      <c r="B127" s="12" t="s">
        <v>1177</v>
      </c>
      <c r="C127" s="13" t="s">
        <v>986</v>
      </c>
      <c r="D127" s="13" t="s">
        <v>985</v>
      </c>
      <c r="E127" s="15"/>
      <c r="F127" s="15">
        <f>SUM(F128:F132)</f>
        <v>704.81818181818176</v>
      </c>
      <c r="G127" s="14">
        <f>+G130</f>
        <v>45020</v>
      </c>
      <c r="I127" s="13" t="s">
        <v>1</v>
      </c>
      <c r="J127" s="13" t="s">
        <v>1</v>
      </c>
      <c r="K127" s="13" t="s">
        <v>1</v>
      </c>
      <c r="M127" s="13">
        <v>0</v>
      </c>
      <c r="N127" s="13">
        <v>0</v>
      </c>
      <c r="O127" s="15">
        <f>F129</f>
        <v>500</v>
      </c>
      <c r="P127" s="15">
        <f>F128</f>
        <v>181.81818181818181</v>
      </c>
      <c r="Q127" s="15">
        <f>SUM(F130:F131)</f>
        <v>17</v>
      </c>
      <c r="R127" s="13">
        <v>0</v>
      </c>
    </row>
    <row r="128" spans="1:18">
      <c r="C128" s="2" t="s">
        <v>7</v>
      </c>
      <c r="D128" s="2" t="s">
        <v>1159</v>
      </c>
      <c r="E128" s="3">
        <v>2500</v>
      </c>
      <c r="F128" s="3">
        <f>2000/11</f>
        <v>181.81818181818181</v>
      </c>
      <c r="G128" s="4">
        <v>44363</v>
      </c>
    </row>
    <row r="129" spans="1:18">
      <c r="C129" s="2" t="s">
        <v>5</v>
      </c>
      <c r="D129" s="2" t="s">
        <v>1159</v>
      </c>
      <c r="E129" s="3">
        <v>3000</v>
      </c>
      <c r="F129" s="3">
        <v>500</v>
      </c>
      <c r="G129" s="4">
        <v>43892</v>
      </c>
    </row>
    <row r="130" spans="1:18">
      <c r="C130" s="2" t="s">
        <v>18</v>
      </c>
      <c r="D130" s="2" t="s">
        <v>432</v>
      </c>
      <c r="E130" s="3">
        <v>75</v>
      </c>
      <c r="F130" s="3">
        <v>7</v>
      </c>
      <c r="G130" s="4">
        <v>45020</v>
      </c>
    </row>
    <row r="131" spans="1:18">
      <c r="C131" s="2" t="s">
        <v>18</v>
      </c>
      <c r="D131" s="2" t="s">
        <v>432</v>
      </c>
      <c r="E131" s="3">
        <v>80</v>
      </c>
      <c r="F131" s="3">
        <v>10</v>
      </c>
      <c r="G131" s="4">
        <v>44404</v>
      </c>
    </row>
    <row r="132" spans="1:18">
      <c r="C132" s="2" t="s">
        <v>5</v>
      </c>
      <c r="D132" s="2" t="s">
        <v>320</v>
      </c>
      <c r="E132" s="3">
        <v>57</v>
      </c>
      <c r="F132" s="3">
        <v>6</v>
      </c>
      <c r="G132" s="4">
        <v>44508</v>
      </c>
    </row>
    <row r="133" spans="1:18">
      <c r="G133" s="4"/>
    </row>
    <row r="134" spans="1:18" s="12" customFormat="1">
      <c r="A134" s="12">
        <v>8</v>
      </c>
      <c r="B134" s="12" t="s">
        <v>1176</v>
      </c>
      <c r="C134" s="13" t="s">
        <v>986</v>
      </c>
      <c r="D134" s="13" t="s">
        <v>985</v>
      </c>
      <c r="E134" s="15"/>
      <c r="F134" s="15">
        <f>SUM(F135:F143)</f>
        <v>654.84199134199127</v>
      </c>
      <c r="G134" s="14">
        <f>G137</f>
        <v>44860</v>
      </c>
      <c r="I134" s="2" t="s">
        <v>1</v>
      </c>
      <c r="J134" s="2" t="s">
        <v>1</v>
      </c>
      <c r="K134" s="2" t="s">
        <v>1</v>
      </c>
      <c r="M134" s="13">
        <v>0</v>
      </c>
      <c r="N134" s="13">
        <v>0</v>
      </c>
      <c r="O134" s="15">
        <f>F136</f>
        <v>250</v>
      </c>
      <c r="P134" s="15">
        <f>SUM(F135,F137,F138,F139)</f>
        <v>235.81818181818181</v>
      </c>
      <c r="Q134" s="13">
        <v>0</v>
      </c>
      <c r="R134" s="13">
        <v>0</v>
      </c>
    </row>
    <row r="135" spans="1:18">
      <c r="C135" s="2" t="s">
        <v>7</v>
      </c>
      <c r="D135" s="2" t="s">
        <v>1159</v>
      </c>
      <c r="E135" s="3">
        <v>2500</v>
      </c>
      <c r="F135" s="3">
        <f>2000/11</f>
        <v>181.81818181818181</v>
      </c>
      <c r="G135" s="4">
        <v>44363</v>
      </c>
    </row>
    <row r="136" spans="1:18">
      <c r="C136" s="2" t="s">
        <v>5</v>
      </c>
      <c r="D136" s="2" t="s">
        <v>1159</v>
      </c>
      <c r="E136" s="3">
        <v>3000</v>
      </c>
      <c r="F136" s="3">
        <v>250</v>
      </c>
      <c r="G136" s="4">
        <v>43963</v>
      </c>
    </row>
    <row r="137" spans="1:18">
      <c r="C137" s="2" t="s">
        <v>7</v>
      </c>
      <c r="D137" s="2" t="s">
        <v>1095</v>
      </c>
      <c r="E137" s="3">
        <v>37</v>
      </c>
      <c r="F137" s="3">
        <v>4</v>
      </c>
      <c r="G137" s="4">
        <v>44860</v>
      </c>
    </row>
    <row r="138" spans="1:18">
      <c r="C138" s="2" t="s">
        <v>7</v>
      </c>
      <c r="D138" s="2" t="s">
        <v>1095</v>
      </c>
      <c r="E138" s="3">
        <v>30</v>
      </c>
      <c r="F138" s="3">
        <v>30</v>
      </c>
      <c r="G138" s="4">
        <v>44706</v>
      </c>
    </row>
    <row r="139" spans="1:18">
      <c r="C139" s="2" t="s">
        <v>7</v>
      </c>
      <c r="D139" s="2" t="s">
        <v>1095</v>
      </c>
      <c r="E139" s="3">
        <v>80</v>
      </c>
      <c r="F139" s="3">
        <v>20</v>
      </c>
      <c r="G139" s="4">
        <v>44327</v>
      </c>
    </row>
    <row r="140" spans="1:18">
      <c r="C140" s="2" t="s">
        <v>8</v>
      </c>
      <c r="D140" s="2" t="s">
        <v>260</v>
      </c>
      <c r="E140" s="3">
        <v>600</v>
      </c>
      <c r="F140" s="3">
        <f>500/8</f>
        <v>62.5</v>
      </c>
      <c r="G140" s="4">
        <v>44502</v>
      </c>
    </row>
    <row r="141" spans="1:18">
      <c r="C141" s="2" t="s">
        <v>18</v>
      </c>
      <c r="D141" s="2" t="s">
        <v>260</v>
      </c>
      <c r="E141" s="3">
        <v>500</v>
      </c>
      <c r="F141" s="3">
        <f>300/4</f>
        <v>75</v>
      </c>
      <c r="G141" s="4">
        <v>44144</v>
      </c>
    </row>
    <row r="142" spans="1:18">
      <c r="C142" s="2" t="s">
        <v>8</v>
      </c>
      <c r="D142" s="2" t="s">
        <v>181</v>
      </c>
      <c r="E142" s="3">
        <v>130</v>
      </c>
      <c r="F142" s="3">
        <v>22</v>
      </c>
      <c r="G142" s="4">
        <v>42080</v>
      </c>
      <c r="I142" s="1">
        <v>570</v>
      </c>
    </row>
    <row r="143" spans="1:18">
      <c r="C143" s="2" t="s">
        <v>9</v>
      </c>
      <c r="D143" s="2" t="s">
        <v>23</v>
      </c>
      <c r="E143" s="3">
        <v>222</v>
      </c>
      <c r="F143" s="3">
        <f>200/21</f>
        <v>9.5238095238095237</v>
      </c>
      <c r="G143" s="4">
        <v>44194</v>
      </c>
      <c r="I143" s="1">
        <v>2500</v>
      </c>
      <c r="J143" s="1">
        <v>2500</v>
      </c>
    </row>
    <row r="144" spans="1:18">
      <c r="G144" s="4"/>
    </row>
    <row r="145" spans="1:11">
      <c r="A145" s="1">
        <v>9</v>
      </c>
      <c r="B145" s="12" t="s">
        <v>1175</v>
      </c>
      <c r="C145" s="13" t="s">
        <v>986</v>
      </c>
      <c r="D145" s="13" t="s">
        <v>985</v>
      </c>
      <c r="F145" s="15">
        <f>SUM(F146:F180)</f>
        <v>537.19761904761913</v>
      </c>
      <c r="G145" s="14">
        <f>G153</f>
        <v>45090</v>
      </c>
      <c r="I145" s="12">
        <v>18000</v>
      </c>
      <c r="J145" s="22">
        <f>+F145/I145</f>
        <v>2.9844312169312173E-2</v>
      </c>
      <c r="K145" s="12">
        <v>2000</v>
      </c>
    </row>
    <row r="146" spans="1:11">
      <c r="C146" s="73" t="s">
        <v>4</v>
      </c>
      <c r="D146" s="2" t="s">
        <v>951</v>
      </c>
      <c r="E146" s="3">
        <v>100</v>
      </c>
      <c r="F146" s="3">
        <v>25</v>
      </c>
      <c r="G146" s="4">
        <v>44846</v>
      </c>
    </row>
    <row r="147" spans="1:11">
      <c r="C147" s="2" t="s">
        <v>18</v>
      </c>
      <c r="D147" s="2" t="s">
        <v>890</v>
      </c>
      <c r="E147" s="3">
        <v>85</v>
      </c>
      <c r="F147" s="3">
        <v>6</v>
      </c>
      <c r="G147" s="4">
        <v>44417</v>
      </c>
    </row>
    <row r="148" spans="1:11">
      <c r="C148" s="2" t="s">
        <v>7</v>
      </c>
      <c r="D148" s="2" t="s">
        <v>890</v>
      </c>
      <c r="E148" s="3">
        <v>35</v>
      </c>
      <c r="F148" s="3">
        <v>10</v>
      </c>
      <c r="G148" s="4">
        <v>44293</v>
      </c>
    </row>
    <row r="149" spans="1:11">
      <c r="C149" s="2" t="s">
        <v>18</v>
      </c>
      <c r="D149" s="2" t="s">
        <v>1064</v>
      </c>
      <c r="E149" s="3">
        <v>100</v>
      </c>
      <c r="F149" s="3">
        <v>15</v>
      </c>
      <c r="G149" s="4">
        <v>44699</v>
      </c>
    </row>
    <row r="150" spans="1:11">
      <c r="C150" s="2" t="s">
        <v>7</v>
      </c>
      <c r="D150" s="2" t="s">
        <v>1064</v>
      </c>
      <c r="E150" s="3">
        <v>100</v>
      </c>
      <c r="F150" s="3">
        <f>25/3</f>
        <v>8.3333333333333339</v>
      </c>
      <c r="G150" s="4">
        <v>44286</v>
      </c>
    </row>
    <row r="151" spans="1:11">
      <c r="C151" s="2" t="s">
        <v>5</v>
      </c>
      <c r="D151" s="2" t="s">
        <v>1086</v>
      </c>
      <c r="E151" s="3">
        <v>65</v>
      </c>
      <c r="F151" s="3">
        <v>35</v>
      </c>
      <c r="G151" s="4">
        <v>44984</v>
      </c>
    </row>
    <row r="152" spans="1:11">
      <c r="C152" s="2" t="s">
        <v>7</v>
      </c>
      <c r="D152" s="2" t="s">
        <v>1029</v>
      </c>
      <c r="E152" s="3">
        <v>43</v>
      </c>
      <c r="F152" s="3">
        <v>13</v>
      </c>
      <c r="G152" s="4">
        <v>44978</v>
      </c>
    </row>
    <row r="153" spans="1:11">
      <c r="C153" s="2" t="s">
        <v>4</v>
      </c>
      <c r="D153" s="2" t="s">
        <v>717</v>
      </c>
      <c r="E153" s="3">
        <v>113</v>
      </c>
      <c r="F153" s="3">
        <v>19</v>
      </c>
      <c r="G153" s="4">
        <v>45090</v>
      </c>
    </row>
    <row r="154" spans="1:11">
      <c r="C154" s="2" t="s">
        <v>5</v>
      </c>
      <c r="D154" s="2" t="s">
        <v>693</v>
      </c>
      <c r="E154" s="3">
        <v>15</v>
      </c>
      <c r="F154" s="3">
        <v>3</v>
      </c>
      <c r="G154" s="4">
        <v>44838</v>
      </c>
    </row>
    <row r="155" spans="1:11">
      <c r="C155" s="2" t="s">
        <v>18</v>
      </c>
      <c r="D155" s="2" t="s">
        <v>896</v>
      </c>
      <c r="E155" s="3">
        <v>200</v>
      </c>
      <c r="F155" s="3">
        <v>20</v>
      </c>
      <c r="G155" s="4">
        <v>44377</v>
      </c>
    </row>
    <row r="156" spans="1:11">
      <c r="C156" s="2" t="s">
        <v>7</v>
      </c>
      <c r="D156" s="2" t="s">
        <v>896</v>
      </c>
      <c r="E156" s="3">
        <v>75</v>
      </c>
      <c r="F156" s="3">
        <v>5</v>
      </c>
      <c r="G156" s="4">
        <v>43783</v>
      </c>
    </row>
    <row r="157" spans="1:11">
      <c r="C157" s="2" t="s">
        <v>5</v>
      </c>
      <c r="D157" s="2" t="s">
        <v>896</v>
      </c>
      <c r="E157" s="3">
        <v>30</v>
      </c>
      <c r="F157" s="3">
        <v>10</v>
      </c>
      <c r="G157" s="4">
        <v>43573</v>
      </c>
    </row>
    <row r="158" spans="1:11">
      <c r="C158" s="2" t="s">
        <v>4</v>
      </c>
      <c r="D158" s="2" t="s">
        <v>1036</v>
      </c>
      <c r="E158" s="3">
        <v>1.5</v>
      </c>
      <c r="F158" s="3">
        <v>1</v>
      </c>
      <c r="G158" s="4">
        <v>44098</v>
      </c>
    </row>
    <row r="159" spans="1:11">
      <c r="C159" s="2" t="s">
        <v>8</v>
      </c>
      <c r="D159" s="2" t="s">
        <v>530</v>
      </c>
      <c r="E159" s="3">
        <v>100</v>
      </c>
      <c r="F159" s="3">
        <f>50/4</f>
        <v>12.5</v>
      </c>
      <c r="G159" s="4">
        <v>44419</v>
      </c>
    </row>
    <row r="160" spans="1:11">
      <c r="C160" s="2" t="s">
        <v>18</v>
      </c>
      <c r="D160" s="2" t="s">
        <v>530</v>
      </c>
      <c r="E160" s="3">
        <v>60</v>
      </c>
      <c r="F160" s="3">
        <v>5</v>
      </c>
      <c r="G160" s="4">
        <v>43606</v>
      </c>
    </row>
    <row r="161" spans="3:12">
      <c r="C161" s="2" t="s">
        <v>7</v>
      </c>
      <c r="D161" s="2" t="s">
        <v>530</v>
      </c>
      <c r="E161" s="3">
        <v>30</v>
      </c>
      <c r="F161" s="3">
        <v>5</v>
      </c>
      <c r="G161" s="4">
        <v>43396</v>
      </c>
    </row>
    <row r="162" spans="3:12">
      <c r="C162" s="2" t="s">
        <v>5</v>
      </c>
      <c r="D162" s="2" t="s">
        <v>530</v>
      </c>
      <c r="E162" s="3">
        <v>7</v>
      </c>
      <c r="F162" s="3">
        <v>3</v>
      </c>
      <c r="G162" s="4">
        <v>42885</v>
      </c>
    </row>
    <row r="163" spans="3:12">
      <c r="C163" s="2" t="s">
        <v>7</v>
      </c>
      <c r="D163" s="2" t="s">
        <v>535</v>
      </c>
      <c r="E163" s="3">
        <v>32</v>
      </c>
      <c r="F163" s="3">
        <v>3</v>
      </c>
      <c r="G163" s="4">
        <v>44364</v>
      </c>
    </row>
    <row r="164" spans="3:12">
      <c r="C164" s="2" t="s">
        <v>5</v>
      </c>
      <c r="D164" s="2" t="s">
        <v>535</v>
      </c>
      <c r="E164" s="3">
        <v>10.199999999999999</v>
      </c>
      <c r="F164" s="3">
        <v>3</v>
      </c>
      <c r="G164" s="4">
        <v>43732</v>
      </c>
    </row>
    <row r="165" spans="3:12">
      <c r="C165" s="2" t="s">
        <v>4</v>
      </c>
      <c r="D165" s="2" t="s">
        <v>535</v>
      </c>
      <c r="E165" s="3">
        <v>3</v>
      </c>
      <c r="F165" s="3">
        <v>0.75</v>
      </c>
      <c r="G165" s="4">
        <v>43374</v>
      </c>
    </row>
    <row r="166" spans="3:12">
      <c r="C166" s="2" t="s">
        <v>4</v>
      </c>
      <c r="D166" s="2" t="s">
        <v>354</v>
      </c>
      <c r="E166" s="3">
        <v>3.5</v>
      </c>
      <c r="F166" s="3">
        <f>E166/10</f>
        <v>0.35</v>
      </c>
      <c r="G166" s="4">
        <v>43046</v>
      </c>
      <c r="L166" s="1">
        <v>0</v>
      </c>
    </row>
    <row r="167" spans="3:12">
      <c r="C167" s="2" t="s">
        <v>55</v>
      </c>
      <c r="D167" s="2" t="s">
        <v>49</v>
      </c>
      <c r="E167" s="3">
        <v>100</v>
      </c>
      <c r="F167" s="3">
        <f>75/7</f>
        <v>10.714285714285714</v>
      </c>
      <c r="G167" s="4">
        <v>44515</v>
      </c>
      <c r="I167" s="1">
        <v>4100</v>
      </c>
      <c r="J167" s="1">
        <v>4100</v>
      </c>
    </row>
    <row r="168" spans="3:12">
      <c r="C168" s="2" t="s">
        <v>9</v>
      </c>
      <c r="D168" s="2" t="s">
        <v>49</v>
      </c>
      <c r="E168" s="3">
        <v>248</v>
      </c>
      <c r="F168" s="3">
        <v>98</v>
      </c>
      <c r="G168" s="4">
        <v>43678</v>
      </c>
      <c r="I168" s="5">
        <v>1700</v>
      </c>
      <c r="J168" s="1">
        <v>4100</v>
      </c>
    </row>
    <row r="169" spans="3:12">
      <c r="C169" s="2" t="s">
        <v>8</v>
      </c>
      <c r="D169" s="2" t="s">
        <v>49</v>
      </c>
      <c r="E169" s="3">
        <v>145</v>
      </c>
      <c r="F169" s="3">
        <v>30</v>
      </c>
      <c r="G169" s="4">
        <v>43228</v>
      </c>
      <c r="I169" s="5">
        <v>855</v>
      </c>
      <c r="J169" s="1">
        <v>4100</v>
      </c>
    </row>
    <row r="170" spans="3:12">
      <c r="C170" s="2" t="s">
        <v>18</v>
      </c>
      <c r="D170" s="2" t="s">
        <v>49</v>
      </c>
      <c r="E170" s="3">
        <v>60</v>
      </c>
      <c r="F170" s="3">
        <v>40</v>
      </c>
      <c r="G170" s="4">
        <v>42964</v>
      </c>
      <c r="I170" s="5"/>
      <c r="J170" s="1">
        <v>4100</v>
      </c>
    </row>
    <row r="171" spans="3:12">
      <c r="C171" s="2" t="s">
        <v>18</v>
      </c>
      <c r="D171" s="2" t="s">
        <v>49</v>
      </c>
      <c r="E171" s="3">
        <v>50</v>
      </c>
      <c r="F171" s="3">
        <f>20/2</f>
        <v>10</v>
      </c>
      <c r="G171" s="4">
        <v>42509</v>
      </c>
      <c r="I171" s="5"/>
      <c r="J171" s="1">
        <v>4100</v>
      </c>
    </row>
    <row r="172" spans="3:12">
      <c r="C172" s="2" t="s">
        <v>7</v>
      </c>
      <c r="D172" s="2" t="s">
        <v>49</v>
      </c>
      <c r="E172" s="3">
        <v>30</v>
      </c>
      <c r="F172" s="3">
        <v>10</v>
      </c>
      <c r="G172" s="4">
        <v>41808</v>
      </c>
      <c r="I172" s="5"/>
      <c r="J172" s="1">
        <v>4100</v>
      </c>
    </row>
    <row r="173" spans="3:12">
      <c r="C173" s="2" t="s">
        <v>5</v>
      </c>
      <c r="D173" s="2" t="s">
        <v>49</v>
      </c>
      <c r="E173" s="3">
        <v>10.7</v>
      </c>
      <c r="F173" s="3">
        <v>5.7</v>
      </c>
      <c r="G173" s="4">
        <v>41076</v>
      </c>
      <c r="I173" s="5"/>
      <c r="J173" s="1">
        <v>4100</v>
      </c>
    </row>
    <row r="174" spans="3:12">
      <c r="C174" s="2" t="s">
        <v>18</v>
      </c>
      <c r="D174" s="2" t="s">
        <v>197</v>
      </c>
      <c r="E174" s="3">
        <v>235</v>
      </c>
      <c r="F174" s="3">
        <f>85/2</f>
        <v>42.5</v>
      </c>
      <c r="G174" s="4">
        <v>44384</v>
      </c>
      <c r="I174" s="5"/>
    </row>
    <row r="175" spans="3:12">
      <c r="C175" s="2" t="s">
        <v>7</v>
      </c>
      <c r="D175" s="2" t="s">
        <v>197</v>
      </c>
      <c r="E175" s="3">
        <v>43</v>
      </c>
      <c r="F175" s="3">
        <f>+E175/5</f>
        <v>8.6</v>
      </c>
      <c r="G175" s="4">
        <v>44077</v>
      </c>
      <c r="I175" s="5"/>
    </row>
    <row r="176" spans="3:12">
      <c r="C176" s="2" t="s">
        <v>5</v>
      </c>
      <c r="D176" s="2" t="s">
        <v>197</v>
      </c>
      <c r="E176" s="3">
        <v>15</v>
      </c>
      <c r="F176" s="3">
        <v>10</v>
      </c>
      <c r="G176" s="4">
        <v>43479</v>
      </c>
      <c r="I176" s="5"/>
    </row>
    <row r="177" spans="1:18">
      <c r="C177" s="2" t="s">
        <v>9</v>
      </c>
      <c r="D177" s="2" t="s">
        <v>54</v>
      </c>
      <c r="E177" s="3">
        <v>220</v>
      </c>
      <c r="F177" s="3">
        <v>28</v>
      </c>
      <c r="G177" s="4">
        <v>44357</v>
      </c>
      <c r="I177" s="5">
        <v>1900</v>
      </c>
      <c r="J177" s="5">
        <v>1900</v>
      </c>
    </row>
    <row r="178" spans="1:18">
      <c r="C178" s="2" t="s">
        <v>8</v>
      </c>
      <c r="D178" s="2" t="s">
        <v>54</v>
      </c>
      <c r="E178" s="3">
        <v>125</v>
      </c>
      <c r="F178" s="3">
        <v>18.75</v>
      </c>
      <c r="G178" s="4">
        <v>44131</v>
      </c>
      <c r="I178" s="5">
        <v>875</v>
      </c>
      <c r="J178" s="5">
        <v>1900</v>
      </c>
    </row>
    <row r="179" spans="1:18">
      <c r="C179" s="2" t="s">
        <v>18</v>
      </c>
      <c r="D179" s="2" t="s">
        <v>54</v>
      </c>
      <c r="E179" s="3">
        <v>28</v>
      </c>
      <c r="F179" s="3">
        <v>7</v>
      </c>
      <c r="G179" s="4">
        <v>43579</v>
      </c>
      <c r="I179" s="5"/>
      <c r="J179" s="5">
        <v>1900</v>
      </c>
    </row>
    <row r="180" spans="1:18">
      <c r="C180" s="2" t="s">
        <v>7</v>
      </c>
      <c r="D180" s="2" t="s">
        <v>1086</v>
      </c>
      <c r="E180" s="3">
        <v>100</v>
      </c>
      <c r="F180" s="3">
        <f>60/4</f>
        <v>15</v>
      </c>
      <c r="G180" s="4">
        <v>45106</v>
      </c>
      <c r="I180" s="5"/>
      <c r="J180" s="5"/>
    </row>
    <row r="181" spans="1:18">
      <c r="C181" s="2" t="s">
        <v>8</v>
      </c>
      <c r="D181" s="2" t="s">
        <v>2186</v>
      </c>
      <c r="E181" s="3">
        <v>200</v>
      </c>
      <c r="F181" s="3">
        <v>20</v>
      </c>
      <c r="G181" s="4">
        <v>44237</v>
      </c>
      <c r="I181" s="5"/>
      <c r="J181" s="5"/>
    </row>
    <row r="182" spans="1:18">
      <c r="G182" s="4"/>
    </row>
    <row r="183" spans="1:18" s="12" customFormat="1">
      <c r="A183" s="12">
        <v>10</v>
      </c>
      <c r="B183" s="12" t="s">
        <v>1174</v>
      </c>
      <c r="C183" s="13" t="s">
        <v>986</v>
      </c>
      <c r="D183" s="13" t="s">
        <v>985</v>
      </c>
      <c r="E183" s="15"/>
      <c r="F183" s="15">
        <f>+F184+F185</f>
        <v>431.81818181818181</v>
      </c>
      <c r="G183" s="14">
        <f>+G184</f>
        <v>44363</v>
      </c>
      <c r="I183" s="13" t="s">
        <v>1</v>
      </c>
      <c r="J183" s="13" t="s">
        <v>1</v>
      </c>
      <c r="K183" s="13" t="s">
        <v>1</v>
      </c>
      <c r="M183" s="13"/>
      <c r="N183" s="13"/>
      <c r="O183" s="13"/>
      <c r="P183" s="13"/>
      <c r="Q183" s="13"/>
      <c r="R183" s="13"/>
    </row>
    <row r="184" spans="1:18">
      <c r="C184" s="2" t="s">
        <v>7</v>
      </c>
      <c r="D184" s="2" t="s">
        <v>1159</v>
      </c>
      <c r="E184" s="3">
        <v>2500</v>
      </c>
      <c r="F184" s="3">
        <f>2000/11</f>
        <v>181.81818181818181</v>
      </c>
      <c r="G184" s="4">
        <v>44363</v>
      </c>
    </row>
    <row r="185" spans="1:18">
      <c r="C185" s="2" t="s">
        <v>5</v>
      </c>
      <c r="D185" s="2" t="s">
        <v>1159</v>
      </c>
      <c r="E185" s="3">
        <v>3000</v>
      </c>
      <c r="F185" s="3">
        <v>250</v>
      </c>
      <c r="G185" s="4">
        <v>43963</v>
      </c>
    </row>
    <row r="186" spans="1:18">
      <c r="G186" s="4"/>
    </row>
    <row r="187" spans="1:18">
      <c r="A187" s="1">
        <v>11</v>
      </c>
      <c r="B187" s="12" t="s">
        <v>1173</v>
      </c>
      <c r="C187" s="13" t="s">
        <v>986</v>
      </c>
      <c r="D187" s="13" t="s">
        <v>985</v>
      </c>
      <c r="E187" s="15"/>
      <c r="F187" s="15">
        <f>SUM(F188:F211)</f>
        <v>422.36666666666673</v>
      </c>
      <c r="G187" s="14">
        <f>G195</f>
        <v>45056</v>
      </c>
      <c r="I187" s="12">
        <v>25000</v>
      </c>
      <c r="J187" s="23">
        <f>+F187/I187</f>
        <v>1.6894666666666669E-2</v>
      </c>
      <c r="K187" s="12">
        <v>1977</v>
      </c>
    </row>
    <row r="188" spans="1:18">
      <c r="C188" s="2" t="s">
        <v>1145</v>
      </c>
      <c r="D188" s="2" t="s">
        <v>844</v>
      </c>
      <c r="E188" s="3">
        <v>100</v>
      </c>
      <c r="F188" s="3">
        <f>40/3</f>
        <v>13.333333333333334</v>
      </c>
      <c r="G188" s="4">
        <v>44537</v>
      </c>
    </row>
    <row r="189" spans="1:18">
      <c r="C189" s="2" t="s">
        <v>7</v>
      </c>
      <c r="D189" s="2" t="s">
        <v>844</v>
      </c>
      <c r="E189" s="3">
        <v>40</v>
      </c>
      <c r="F189" s="3">
        <v>20</v>
      </c>
      <c r="G189" s="4">
        <v>44125</v>
      </c>
    </row>
    <row r="190" spans="1:18">
      <c r="C190" s="2" t="s">
        <v>5</v>
      </c>
      <c r="D190" s="2" t="s">
        <v>844</v>
      </c>
      <c r="E190" s="3">
        <v>20</v>
      </c>
      <c r="F190" s="3">
        <f>12/6</f>
        <v>2</v>
      </c>
      <c r="G190" s="4">
        <v>43816</v>
      </c>
    </row>
    <row r="191" spans="1:18">
      <c r="C191" s="2" t="s">
        <v>5</v>
      </c>
      <c r="D191" s="2" t="s">
        <v>1172</v>
      </c>
      <c r="E191" s="3">
        <v>25.6</v>
      </c>
      <c r="F191" s="3">
        <v>20</v>
      </c>
      <c r="G191" s="4">
        <v>45013</v>
      </c>
    </row>
    <row r="192" spans="1:18">
      <c r="C192" s="2" t="s">
        <v>7</v>
      </c>
      <c r="D192" s="2" t="s">
        <v>808</v>
      </c>
      <c r="E192" s="3">
        <v>50</v>
      </c>
      <c r="F192" s="3">
        <f>30/5</f>
        <v>6</v>
      </c>
      <c r="G192" s="4">
        <v>45036</v>
      </c>
    </row>
    <row r="193" spans="3:10">
      <c r="C193" s="2" t="s">
        <v>5</v>
      </c>
      <c r="D193" s="2" t="s">
        <v>808</v>
      </c>
      <c r="E193" s="3">
        <v>16.5</v>
      </c>
      <c r="F193" s="3">
        <v>6</v>
      </c>
      <c r="G193" s="4">
        <v>44614</v>
      </c>
    </row>
    <row r="194" spans="3:10">
      <c r="C194" s="2" t="s">
        <v>4</v>
      </c>
      <c r="D194" s="2" t="s">
        <v>697</v>
      </c>
      <c r="E194" s="3">
        <v>30</v>
      </c>
      <c r="F194" s="3">
        <v>15</v>
      </c>
      <c r="G194" s="4">
        <v>44601</v>
      </c>
    </row>
    <row r="195" spans="3:10">
      <c r="C195" s="2" t="s">
        <v>4</v>
      </c>
      <c r="D195" s="2" t="s">
        <v>841</v>
      </c>
      <c r="E195" s="3">
        <v>4.5</v>
      </c>
      <c r="F195" s="3">
        <v>2</v>
      </c>
      <c r="G195" s="4">
        <v>45056</v>
      </c>
    </row>
    <row r="196" spans="3:10">
      <c r="C196" s="2" t="s">
        <v>285</v>
      </c>
      <c r="D196" s="2" t="s">
        <v>788</v>
      </c>
      <c r="E196" s="3">
        <v>4.5</v>
      </c>
      <c r="F196" s="3">
        <v>1</v>
      </c>
      <c r="G196" s="4">
        <v>44691</v>
      </c>
    </row>
    <row r="197" spans="3:10">
      <c r="C197" s="2" t="s">
        <v>4</v>
      </c>
      <c r="D197" s="2" t="s">
        <v>665</v>
      </c>
      <c r="E197" s="3">
        <v>12.8</v>
      </c>
      <c r="F197" s="3">
        <v>5</v>
      </c>
      <c r="G197" s="4">
        <v>44601</v>
      </c>
    </row>
    <row r="198" spans="3:10">
      <c r="C198" s="2" t="s">
        <v>4</v>
      </c>
      <c r="D198" s="2" t="s">
        <v>783</v>
      </c>
      <c r="E198" s="3">
        <v>10</v>
      </c>
      <c r="F198" s="3">
        <v>1</v>
      </c>
      <c r="G198" s="4">
        <v>44858</v>
      </c>
    </row>
    <row r="199" spans="3:10">
      <c r="C199" s="2" t="s">
        <v>4</v>
      </c>
      <c r="D199" s="2" t="s">
        <v>783</v>
      </c>
      <c r="E199" s="3">
        <v>4.5999999999999996</v>
      </c>
      <c r="F199" s="3">
        <v>2</v>
      </c>
      <c r="G199" s="4">
        <v>44530</v>
      </c>
    </row>
    <row r="200" spans="3:10">
      <c r="C200" s="2" t="s">
        <v>55</v>
      </c>
      <c r="D200" s="2" t="s">
        <v>498</v>
      </c>
      <c r="E200" s="3">
        <v>270</v>
      </c>
      <c r="F200" s="3">
        <v>22</v>
      </c>
      <c r="G200" s="4">
        <v>44152</v>
      </c>
    </row>
    <row r="201" spans="3:10">
      <c r="C201" s="2" t="s">
        <v>9</v>
      </c>
      <c r="D201" s="2" t="s">
        <v>498</v>
      </c>
      <c r="E201" s="3">
        <v>206</v>
      </c>
      <c r="F201" s="3">
        <v>14</v>
      </c>
      <c r="G201" s="4">
        <v>43725</v>
      </c>
    </row>
    <row r="202" spans="3:10">
      <c r="C202" s="2" t="s">
        <v>8</v>
      </c>
      <c r="D202" s="2" t="s">
        <v>498</v>
      </c>
      <c r="E202" s="3">
        <v>100</v>
      </c>
      <c r="F202" s="3">
        <v>15</v>
      </c>
      <c r="G202" s="4">
        <v>43397</v>
      </c>
    </row>
    <row r="203" spans="3:10">
      <c r="C203" s="2" t="s">
        <v>18</v>
      </c>
      <c r="D203" s="2" t="s">
        <v>498</v>
      </c>
      <c r="E203" s="3">
        <v>67.2</v>
      </c>
      <c r="F203" s="3">
        <v>37.200000000000003</v>
      </c>
      <c r="G203" s="4">
        <v>42943</v>
      </c>
    </row>
    <row r="204" spans="3:10">
      <c r="C204" s="2" t="s">
        <v>7</v>
      </c>
      <c r="D204" s="2" t="s">
        <v>484</v>
      </c>
      <c r="E204" s="3">
        <v>90</v>
      </c>
      <c r="F204" s="3">
        <v>6</v>
      </c>
      <c r="G204" s="4">
        <v>44398</v>
      </c>
    </row>
    <row r="205" spans="3:10">
      <c r="C205" s="2" t="s">
        <v>5</v>
      </c>
      <c r="D205" s="2" t="s">
        <v>484</v>
      </c>
      <c r="E205" s="3">
        <v>22.8</v>
      </c>
      <c r="F205" s="3">
        <v>6.4</v>
      </c>
      <c r="G205" s="4">
        <v>43160</v>
      </c>
      <c r="J205" s="5"/>
    </row>
    <row r="206" spans="3:10">
      <c r="C206" s="2" t="s">
        <v>9</v>
      </c>
      <c r="D206" s="2" t="s">
        <v>393</v>
      </c>
      <c r="E206" s="3">
        <v>400</v>
      </c>
      <c r="F206" s="3">
        <v>200</v>
      </c>
      <c r="G206" s="4">
        <v>44608</v>
      </c>
      <c r="J206" s="5"/>
    </row>
    <row r="207" spans="3:10">
      <c r="C207" s="2" t="s">
        <v>5</v>
      </c>
      <c r="D207" s="2" t="s">
        <v>296</v>
      </c>
      <c r="E207" s="3">
        <v>30</v>
      </c>
      <c r="F207" s="3">
        <v>10</v>
      </c>
      <c r="G207" s="4">
        <v>44474</v>
      </c>
      <c r="J207" s="5"/>
    </row>
    <row r="208" spans="3:10">
      <c r="C208" s="2" t="s">
        <v>4</v>
      </c>
      <c r="D208" s="2" t="s">
        <v>296</v>
      </c>
      <c r="E208" s="3">
        <v>15</v>
      </c>
      <c r="F208" s="3">
        <f>10/4</f>
        <v>2.5</v>
      </c>
      <c r="G208" s="4">
        <v>43775</v>
      </c>
      <c r="J208" s="5"/>
    </row>
    <row r="209" spans="1:18">
      <c r="C209" s="2" t="s">
        <v>4</v>
      </c>
      <c r="D209" s="2" t="s">
        <v>1078</v>
      </c>
      <c r="E209" s="3">
        <v>4.3</v>
      </c>
      <c r="F209" s="3">
        <f>E209/3</f>
        <v>1.4333333333333333</v>
      </c>
      <c r="G209" s="4">
        <v>42821</v>
      </c>
      <c r="J209" s="5"/>
    </row>
    <row r="210" spans="1:18">
      <c r="C210" s="2" t="s">
        <v>7</v>
      </c>
      <c r="D210" s="2" t="s">
        <v>133</v>
      </c>
      <c r="E210" s="3">
        <v>23.5</v>
      </c>
      <c r="F210" s="3">
        <f>14/4</f>
        <v>3.5</v>
      </c>
      <c r="G210" s="4">
        <v>45008</v>
      </c>
      <c r="J210" s="5"/>
    </row>
    <row r="211" spans="1:18">
      <c r="C211" s="2" t="s">
        <v>5</v>
      </c>
      <c r="D211" s="2" t="s">
        <v>133</v>
      </c>
      <c r="E211" s="3">
        <v>16</v>
      </c>
      <c r="F211" s="3">
        <v>11</v>
      </c>
      <c r="G211" s="4">
        <v>44434</v>
      </c>
      <c r="J211" s="5"/>
    </row>
    <row r="212" spans="1:18">
      <c r="G212" s="4"/>
    </row>
    <row r="213" spans="1:18" s="12" customFormat="1">
      <c r="A213" s="12">
        <v>12</v>
      </c>
      <c r="B213" s="12" t="s">
        <v>1171</v>
      </c>
      <c r="C213" s="13" t="s">
        <v>986</v>
      </c>
      <c r="D213" s="13" t="s">
        <v>985</v>
      </c>
      <c r="E213" s="15"/>
      <c r="F213" s="15">
        <f>SUM(F214:F223)</f>
        <v>391.5555555555556</v>
      </c>
      <c r="G213" s="14">
        <f>G216</f>
        <v>44274</v>
      </c>
    </row>
    <row r="214" spans="1:18">
      <c r="C214" s="2" t="s">
        <v>5</v>
      </c>
      <c r="D214" s="2" t="s">
        <v>439</v>
      </c>
      <c r="E214" s="3">
        <v>15</v>
      </c>
      <c r="F214" s="3">
        <v>3</v>
      </c>
      <c r="G214" s="4">
        <v>42690</v>
      </c>
      <c r="M214" s="1"/>
      <c r="N214" s="1"/>
      <c r="O214" s="1"/>
      <c r="P214" s="1"/>
      <c r="Q214" s="1"/>
      <c r="R214" s="1"/>
    </row>
    <row r="215" spans="1:18">
      <c r="C215" s="2" t="s">
        <v>18</v>
      </c>
      <c r="D215" s="2" t="s">
        <v>252</v>
      </c>
      <c r="E215" s="3">
        <v>820</v>
      </c>
      <c r="F215" s="3">
        <v>220</v>
      </c>
      <c r="G215" s="4">
        <v>43223</v>
      </c>
      <c r="M215" s="1"/>
      <c r="N215" s="1"/>
      <c r="O215" s="1"/>
      <c r="P215" s="1"/>
      <c r="Q215" s="1"/>
      <c r="R215" s="1"/>
    </row>
    <row r="216" spans="1:18">
      <c r="C216" s="2" t="s">
        <v>18</v>
      </c>
      <c r="D216" s="2" t="s">
        <v>203</v>
      </c>
      <c r="E216" s="3">
        <v>500</v>
      </c>
      <c r="F216" s="3">
        <f>200/9</f>
        <v>22.222222222222221</v>
      </c>
      <c r="G216" s="4">
        <v>44274</v>
      </c>
      <c r="M216" s="1"/>
      <c r="N216" s="1"/>
      <c r="O216" s="1"/>
      <c r="P216" s="1"/>
      <c r="Q216" s="1"/>
      <c r="R216" s="1"/>
    </row>
    <row r="217" spans="1:18">
      <c r="C217" s="2" t="s">
        <v>7</v>
      </c>
      <c r="D217" s="2" t="s">
        <v>203</v>
      </c>
      <c r="E217" s="3">
        <v>120</v>
      </c>
      <c r="F217" s="3">
        <f>30/3</f>
        <v>10</v>
      </c>
      <c r="G217" s="4">
        <v>43391</v>
      </c>
      <c r="M217" s="1"/>
      <c r="N217" s="1"/>
      <c r="O217" s="1"/>
      <c r="P217" s="1"/>
      <c r="Q217" s="1"/>
      <c r="R217" s="1"/>
    </row>
    <row r="218" spans="1:18">
      <c r="C218" s="2" t="s">
        <v>9</v>
      </c>
      <c r="D218" s="2" t="s">
        <v>153</v>
      </c>
      <c r="E218" s="3">
        <f>300</f>
        <v>300</v>
      </c>
      <c r="F218" s="6" t="s">
        <v>1170</v>
      </c>
      <c r="G218" s="4">
        <v>44271</v>
      </c>
      <c r="M218" s="1"/>
      <c r="N218" s="1"/>
      <c r="O218" s="1"/>
      <c r="P218" s="1"/>
      <c r="Q218" s="1"/>
      <c r="R218" s="1"/>
    </row>
    <row r="219" spans="1:18">
      <c r="C219" s="2" t="s">
        <v>18</v>
      </c>
      <c r="D219" s="2" t="s">
        <v>82</v>
      </c>
      <c r="E219" s="3">
        <v>257</v>
      </c>
      <c r="F219" s="6">
        <f>107/3</f>
        <v>35.666666666666664</v>
      </c>
      <c r="G219" s="4">
        <v>44201</v>
      </c>
      <c r="M219" s="1"/>
      <c r="N219" s="1"/>
      <c r="O219" s="1"/>
      <c r="P219" s="1"/>
      <c r="Q219" s="1"/>
      <c r="R219" s="1"/>
    </row>
    <row r="220" spans="1:18">
      <c r="C220" s="2" t="s">
        <v>7</v>
      </c>
      <c r="D220" s="2" t="s">
        <v>82</v>
      </c>
      <c r="E220" s="3">
        <v>100</v>
      </c>
      <c r="F220" s="6">
        <v>20</v>
      </c>
      <c r="G220" s="4">
        <v>43958</v>
      </c>
      <c r="M220" s="1"/>
      <c r="N220" s="1"/>
      <c r="O220" s="1"/>
      <c r="P220" s="1"/>
      <c r="Q220" s="1"/>
      <c r="R220" s="1"/>
    </row>
    <row r="221" spans="1:18">
      <c r="C221" s="2" t="s">
        <v>5</v>
      </c>
      <c r="D221" s="2" t="s">
        <v>82</v>
      </c>
      <c r="E221" s="3">
        <v>43</v>
      </c>
      <c r="F221" s="6">
        <f>+E221/6</f>
        <v>7.166666666666667</v>
      </c>
      <c r="G221" s="4">
        <v>43622</v>
      </c>
      <c r="M221" s="1"/>
      <c r="N221" s="1"/>
      <c r="O221" s="1"/>
      <c r="P221" s="1"/>
      <c r="Q221" s="1"/>
      <c r="R221" s="1"/>
    </row>
    <row r="222" spans="1:18">
      <c r="C222" s="2" t="s">
        <v>4</v>
      </c>
      <c r="D222" s="2" t="s">
        <v>82</v>
      </c>
      <c r="E222" s="3">
        <v>19</v>
      </c>
      <c r="F222" s="6">
        <v>19</v>
      </c>
      <c r="G222" s="4">
        <v>43319</v>
      </c>
      <c r="M222" s="1"/>
      <c r="N222" s="1"/>
      <c r="O222" s="1"/>
      <c r="P222" s="1"/>
      <c r="Q222" s="1"/>
      <c r="R222" s="1"/>
    </row>
    <row r="223" spans="1:18">
      <c r="C223" s="2" t="s">
        <v>5</v>
      </c>
      <c r="D223" s="2" t="s">
        <v>31</v>
      </c>
      <c r="E223" s="3">
        <f>1600/7</f>
        <v>228.57142857142858</v>
      </c>
      <c r="F223" s="6">
        <f>109/2</f>
        <v>54.5</v>
      </c>
      <c r="G223" s="4">
        <v>45078</v>
      </c>
      <c r="I223" s="1">
        <v>1000</v>
      </c>
      <c r="J223" s="1">
        <v>1000</v>
      </c>
      <c r="M223" s="1"/>
      <c r="N223" s="1"/>
      <c r="O223" s="1"/>
      <c r="P223" s="1"/>
      <c r="Q223" s="1"/>
      <c r="R223" s="1"/>
    </row>
    <row r="224" spans="1:18">
      <c r="G224" s="4"/>
      <c r="M224" s="1"/>
      <c r="N224" s="1"/>
      <c r="O224" s="1"/>
      <c r="P224" s="1"/>
      <c r="Q224" s="1"/>
      <c r="R224" s="1"/>
    </row>
    <row r="225" spans="1:11">
      <c r="A225" s="1">
        <v>13</v>
      </c>
      <c r="B225" s="12" t="s">
        <v>1169</v>
      </c>
      <c r="C225" s="13" t="s">
        <v>986</v>
      </c>
      <c r="D225" s="13" t="s">
        <v>985</v>
      </c>
      <c r="E225" s="15"/>
      <c r="F225" s="15">
        <f>SUM(F226:F245)</f>
        <v>383.59999999999997</v>
      </c>
      <c r="G225" s="14">
        <f>G226</f>
        <v>44999</v>
      </c>
      <c r="I225" s="12">
        <v>3500</v>
      </c>
      <c r="J225" s="22">
        <f>+F225/I225</f>
        <v>0.10959999999999999</v>
      </c>
      <c r="K225" s="12">
        <v>1965</v>
      </c>
    </row>
    <row r="226" spans="1:11">
      <c r="C226" s="2" t="s">
        <v>7</v>
      </c>
      <c r="D226" s="2" t="s">
        <v>965</v>
      </c>
      <c r="E226" s="3">
        <v>350</v>
      </c>
      <c r="F226" s="3">
        <v>20</v>
      </c>
      <c r="G226" s="4">
        <v>44999</v>
      </c>
    </row>
    <row r="227" spans="1:11">
      <c r="C227" s="2" t="s">
        <v>5</v>
      </c>
      <c r="D227" s="2" t="s">
        <v>965</v>
      </c>
      <c r="E227" s="3">
        <v>65</v>
      </c>
      <c r="F227" s="3">
        <v>25</v>
      </c>
      <c r="G227" s="4">
        <v>44679</v>
      </c>
    </row>
    <row r="228" spans="1:11">
      <c r="C228" s="2" t="s">
        <v>4</v>
      </c>
      <c r="D228" s="2" t="s">
        <v>1168</v>
      </c>
      <c r="E228" s="3">
        <v>225</v>
      </c>
      <c r="F228" s="3">
        <v>150</v>
      </c>
      <c r="G228" s="4">
        <v>44694</v>
      </c>
    </row>
    <row r="229" spans="1:11">
      <c r="C229" s="2" t="s">
        <v>18</v>
      </c>
      <c r="D229" s="2" t="s">
        <v>890</v>
      </c>
      <c r="E229" s="3">
        <v>85</v>
      </c>
      <c r="F229" s="3">
        <v>6</v>
      </c>
      <c r="G229" s="4">
        <v>44417</v>
      </c>
    </row>
    <row r="230" spans="1:11">
      <c r="C230" s="2" t="s">
        <v>7</v>
      </c>
      <c r="D230" s="2" t="s">
        <v>890</v>
      </c>
      <c r="E230" s="3">
        <v>35</v>
      </c>
      <c r="F230" s="3">
        <f>25/6</f>
        <v>4.166666666666667</v>
      </c>
      <c r="G230" s="4">
        <v>44293</v>
      </c>
    </row>
    <row r="231" spans="1:11">
      <c r="C231" s="2" t="s">
        <v>5</v>
      </c>
      <c r="D231" s="2" t="s">
        <v>890</v>
      </c>
      <c r="E231" s="3">
        <v>12</v>
      </c>
      <c r="F231" s="3">
        <v>6</v>
      </c>
      <c r="G231" s="4">
        <v>44026</v>
      </c>
    </row>
    <row r="232" spans="1:11">
      <c r="C232" s="2" t="s">
        <v>4</v>
      </c>
      <c r="D232" s="2" t="s">
        <v>890</v>
      </c>
      <c r="E232" s="3">
        <v>3.3</v>
      </c>
      <c r="F232" s="3">
        <v>1</v>
      </c>
      <c r="G232" s="4">
        <v>44026</v>
      </c>
    </row>
    <row r="233" spans="1:11">
      <c r="C233" s="2" t="s">
        <v>7</v>
      </c>
      <c r="D233" s="2" t="s">
        <v>1029</v>
      </c>
      <c r="E233" s="3">
        <v>43</v>
      </c>
      <c r="F233" s="3">
        <v>6</v>
      </c>
      <c r="G233" s="4">
        <v>44978</v>
      </c>
    </row>
    <row r="234" spans="1:11">
      <c r="C234" s="2" t="s">
        <v>5</v>
      </c>
      <c r="D234" s="2" t="s">
        <v>1029</v>
      </c>
      <c r="E234" s="3">
        <v>26</v>
      </c>
      <c r="F234" s="3">
        <f>13/2</f>
        <v>6.5</v>
      </c>
      <c r="G234" s="4">
        <v>44453</v>
      </c>
    </row>
    <row r="235" spans="1:11">
      <c r="C235" s="2" t="s">
        <v>4</v>
      </c>
      <c r="D235" s="2" t="s">
        <v>1029</v>
      </c>
      <c r="E235" s="3">
        <v>6.3</v>
      </c>
      <c r="F235" s="3">
        <v>3</v>
      </c>
      <c r="G235" s="4">
        <v>44217</v>
      </c>
    </row>
    <row r="236" spans="1:11">
      <c r="C236" s="2" t="s">
        <v>4</v>
      </c>
      <c r="D236" s="2" t="s">
        <v>701</v>
      </c>
      <c r="E236" s="3">
        <v>30</v>
      </c>
      <c r="F236" s="3">
        <v>5</v>
      </c>
      <c r="G236" s="4">
        <v>44742</v>
      </c>
    </row>
    <row r="237" spans="1:11">
      <c r="C237" s="2" t="s">
        <v>7</v>
      </c>
      <c r="D237" s="2" t="s">
        <v>873</v>
      </c>
      <c r="E237" s="3">
        <v>25</v>
      </c>
      <c r="F237" s="3">
        <v>3</v>
      </c>
      <c r="G237" s="4">
        <v>44636</v>
      </c>
    </row>
    <row r="238" spans="1:11">
      <c r="C238" s="2" t="s">
        <v>5</v>
      </c>
      <c r="D238" s="2" t="s">
        <v>873</v>
      </c>
      <c r="E238" s="3">
        <v>12.2</v>
      </c>
      <c r="F238" s="3">
        <v>2</v>
      </c>
      <c r="G238" s="4">
        <v>44179</v>
      </c>
    </row>
    <row r="239" spans="1:11">
      <c r="C239" s="2" t="s">
        <v>4</v>
      </c>
      <c r="D239" s="2" t="s">
        <v>873</v>
      </c>
      <c r="E239" s="3">
        <v>5.0999999999999996</v>
      </c>
      <c r="F239" s="3">
        <v>3</v>
      </c>
      <c r="G239" s="4">
        <v>44046</v>
      </c>
    </row>
    <row r="240" spans="1:11">
      <c r="C240" s="2" t="s">
        <v>5</v>
      </c>
      <c r="D240" s="2" t="s">
        <v>902</v>
      </c>
      <c r="E240" s="3">
        <v>20</v>
      </c>
      <c r="F240" s="3">
        <v>7.5</v>
      </c>
      <c r="G240" s="4">
        <v>45009</v>
      </c>
    </row>
    <row r="241" spans="1:11">
      <c r="C241" s="2" t="s">
        <v>5</v>
      </c>
      <c r="D241" s="2" t="s">
        <v>700</v>
      </c>
      <c r="E241" s="3">
        <v>29</v>
      </c>
      <c r="F241" s="3">
        <v>10</v>
      </c>
      <c r="G241" s="4">
        <v>44691</v>
      </c>
    </row>
    <row r="242" spans="1:11">
      <c r="C242" s="2" t="s">
        <v>4</v>
      </c>
      <c r="D242" s="2" t="s">
        <v>660</v>
      </c>
      <c r="E242" s="3">
        <v>8</v>
      </c>
      <c r="F242" s="3">
        <v>3</v>
      </c>
      <c r="G242" s="4">
        <v>44677</v>
      </c>
    </row>
    <row r="243" spans="1:11">
      <c r="C243" s="2" t="s">
        <v>4</v>
      </c>
      <c r="D243" s="2" t="s">
        <v>1078</v>
      </c>
      <c r="E243" s="3">
        <v>4.3</v>
      </c>
      <c r="F243" s="3">
        <f>E243/3</f>
        <v>1.4333333333333333</v>
      </c>
      <c r="G243" s="4">
        <v>42821</v>
      </c>
    </row>
    <row r="244" spans="1:11">
      <c r="C244" s="2" t="s">
        <v>18</v>
      </c>
      <c r="D244" s="2" t="s">
        <v>260</v>
      </c>
      <c r="E244" s="3">
        <v>500</v>
      </c>
      <c r="F244" s="3">
        <v>75</v>
      </c>
      <c r="G244" s="4">
        <v>44144</v>
      </c>
    </row>
    <row r="245" spans="1:11">
      <c r="C245" s="2" t="s">
        <v>5</v>
      </c>
      <c r="D245" s="2" t="s">
        <v>260</v>
      </c>
      <c r="E245" s="3">
        <v>92</v>
      </c>
      <c r="F245" s="3">
        <f>E245/2</f>
        <v>46</v>
      </c>
      <c r="G245" s="4">
        <v>43130</v>
      </c>
    </row>
    <row r="247" spans="1:11">
      <c r="A247" s="1">
        <v>14</v>
      </c>
      <c r="B247" s="12" t="s">
        <v>1167</v>
      </c>
      <c r="C247" s="13" t="s">
        <v>986</v>
      </c>
      <c r="D247" s="13" t="s">
        <v>985</v>
      </c>
      <c r="F247" s="15">
        <f>+F248+F249</f>
        <v>381.81818181818181</v>
      </c>
      <c r="G247" s="14">
        <f>+G248</f>
        <v>44363</v>
      </c>
      <c r="I247" s="2" t="s">
        <v>1</v>
      </c>
      <c r="J247" s="2" t="s">
        <v>1</v>
      </c>
      <c r="K247" s="2" t="s">
        <v>1</v>
      </c>
    </row>
    <row r="248" spans="1:11">
      <c r="C248" s="2" t="s">
        <v>7</v>
      </c>
      <c r="D248" s="2" t="s">
        <v>1159</v>
      </c>
      <c r="E248" s="3">
        <v>2500</v>
      </c>
      <c r="F248" s="3">
        <f>2000/11</f>
        <v>181.81818181818181</v>
      </c>
      <c r="G248" s="4">
        <v>44363</v>
      </c>
    </row>
    <row r="249" spans="1:11">
      <c r="C249" s="2" t="s">
        <v>5</v>
      </c>
      <c r="D249" s="2" t="s">
        <v>1159</v>
      </c>
      <c r="E249" s="3">
        <v>3000</v>
      </c>
      <c r="F249" s="3">
        <f>800/4</f>
        <v>200</v>
      </c>
      <c r="G249" s="4">
        <v>43892</v>
      </c>
    </row>
    <row r="250" spans="1:11">
      <c r="G250" s="4"/>
    </row>
    <row r="251" spans="1:11">
      <c r="A251" s="1">
        <v>15</v>
      </c>
      <c r="B251" s="12" t="s">
        <v>1166</v>
      </c>
      <c r="C251" s="13" t="s">
        <v>986</v>
      </c>
      <c r="D251" s="13" t="s">
        <v>985</v>
      </c>
      <c r="F251" s="15">
        <f>+F252+F253</f>
        <v>381.81818181818181</v>
      </c>
      <c r="G251" s="14">
        <f>+G252</f>
        <v>44363</v>
      </c>
      <c r="I251" s="2" t="s">
        <v>1</v>
      </c>
      <c r="J251" s="2" t="s">
        <v>1</v>
      </c>
      <c r="K251" s="2" t="s">
        <v>1</v>
      </c>
    </row>
    <row r="252" spans="1:11">
      <c r="C252" s="2" t="s">
        <v>7</v>
      </c>
      <c r="D252" s="2" t="s">
        <v>1159</v>
      </c>
      <c r="E252" s="3">
        <v>2500</v>
      </c>
      <c r="F252" s="3">
        <f>2000/11</f>
        <v>181.81818181818181</v>
      </c>
      <c r="G252" s="4">
        <v>44363</v>
      </c>
    </row>
    <row r="253" spans="1:11">
      <c r="C253" s="2" t="s">
        <v>5</v>
      </c>
      <c r="D253" s="2" t="s">
        <v>1159</v>
      </c>
      <c r="E253" s="3">
        <v>3000</v>
      </c>
      <c r="F253" s="3">
        <f>800/4</f>
        <v>200</v>
      </c>
      <c r="G253" s="4">
        <v>43892</v>
      </c>
    </row>
    <row r="254" spans="1:11">
      <c r="G254" s="4"/>
    </row>
    <row r="255" spans="1:11">
      <c r="A255" s="1">
        <v>16</v>
      </c>
      <c r="B255" s="12" t="s">
        <v>1165</v>
      </c>
      <c r="C255" s="13" t="s">
        <v>986</v>
      </c>
      <c r="D255" s="13" t="s">
        <v>985</v>
      </c>
      <c r="E255" s="15"/>
      <c r="F255" s="15">
        <f>SUM(F256:F271)</f>
        <v>371.70833333333331</v>
      </c>
      <c r="G255" s="14">
        <f>G259</f>
        <v>45062</v>
      </c>
      <c r="I255" s="1">
        <v>8600</v>
      </c>
      <c r="J255" s="21">
        <f>+F255/I255</f>
        <v>4.3221899224806203E-2</v>
      </c>
      <c r="K255" s="1">
        <v>2000</v>
      </c>
    </row>
    <row r="256" spans="1:11">
      <c r="C256" s="2" t="s">
        <v>7</v>
      </c>
      <c r="D256" s="2" t="s">
        <v>965</v>
      </c>
      <c r="E256" s="3">
        <v>350</v>
      </c>
      <c r="F256" s="3">
        <v>75</v>
      </c>
      <c r="G256" s="4">
        <v>44999</v>
      </c>
    </row>
    <row r="257" spans="3:10">
      <c r="C257" s="2" t="s">
        <v>18</v>
      </c>
      <c r="D257" s="2" t="s">
        <v>1064</v>
      </c>
      <c r="E257" s="3">
        <v>100</v>
      </c>
      <c r="F257" s="3">
        <v>15</v>
      </c>
      <c r="G257" s="4">
        <v>44699</v>
      </c>
    </row>
    <row r="258" spans="3:10">
      <c r="C258" s="2" t="s">
        <v>7</v>
      </c>
      <c r="D258" s="2" t="s">
        <v>1064</v>
      </c>
      <c r="E258" s="3">
        <v>40</v>
      </c>
      <c r="F258" s="3">
        <v>15</v>
      </c>
      <c r="G258" s="4">
        <v>44286</v>
      </c>
    </row>
    <row r="259" spans="3:10">
      <c r="C259" s="2" t="s">
        <v>4</v>
      </c>
      <c r="D259" s="2" t="s">
        <v>1164</v>
      </c>
      <c r="E259" s="3">
        <v>50</v>
      </c>
      <c r="F259" s="3">
        <v>25</v>
      </c>
      <c r="G259" s="4">
        <v>45062</v>
      </c>
    </row>
    <row r="260" spans="3:10">
      <c r="C260" s="2" t="s">
        <v>5</v>
      </c>
      <c r="D260" s="2" t="s">
        <v>388</v>
      </c>
      <c r="E260" s="3">
        <v>86</v>
      </c>
      <c r="F260" s="3">
        <v>36</v>
      </c>
      <c r="G260" s="4">
        <v>44488</v>
      </c>
    </row>
    <row r="261" spans="3:10">
      <c r="C261" s="2" t="s">
        <v>7</v>
      </c>
      <c r="D261" s="2" t="s">
        <v>367</v>
      </c>
      <c r="E261" s="3">
        <v>27.5</v>
      </c>
      <c r="F261" s="3">
        <f>E261/4</f>
        <v>6.875</v>
      </c>
      <c r="G261" s="4">
        <v>44181</v>
      </c>
    </row>
    <row r="262" spans="3:10">
      <c r="C262" s="2" t="s">
        <v>5</v>
      </c>
      <c r="D262" s="2" t="s">
        <v>367</v>
      </c>
      <c r="E262" s="3">
        <v>10.7</v>
      </c>
      <c r="F262" s="3">
        <v>4</v>
      </c>
      <c r="G262" s="4">
        <v>43250</v>
      </c>
    </row>
    <row r="263" spans="3:10">
      <c r="C263" s="2" t="s">
        <v>55</v>
      </c>
      <c r="D263" s="2" t="s">
        <v>49</v>
      </c>
      <c r="E263" s="3">
        <v>100</v>
      </c>
      <c r="F263" s="3">
        <v>11</v>
      </c>
      <c r="G263" s="4">
        <v>44515</v>
      </c>
      <c r="I263" s="1">
        <v>4100</v>
      </c>
      <c r="J263" s="1">
        <v>4100</v>
      </c>
    </row>
    <row r="264" spans="3:10">
      <c r="C264" s="2" t="s">
        <v>8</v>
      </c>
      <c r="D264" s="2" t="s">
        <v>49</v>
      </c>
      <c r="E264" s="3">
        <v>145</v>
      </c>
      <c r="F264" s="3">
        <v>14.166666666666666</v>
      </c>
      <c r="G264" s="4">
        <v>43228</v>
      </c>
      <c r="I264" s="1">
        <v>855</v>
      </c>
      <c r="J264" s="1">
        <v>4100</v>
      </c>
    </row>
    <row r="265" spans="3:10">
      <c r="C265" s="2" t="s">
        <v>18</v>
      </c>
      <c r="D265" s="2" t="s">
        <v>49</v>
      </c>
      <c r="E265" s="3">
        <v>50</v>
      </c>
      <c r="F265" s="3">
        <v>15</v>
      </c>
      <c r="G265" s="4">
        <v>42509</v>
      </c>
      <c r="J265" s="1">
        <v>4100</v>
      </c>
    </row>
    <row r="266" spans="3:10">
      <c r="C266" s="2" t="s">
        <v>8</v>
      </c>
      <c r="D266" s="2" t="s">
        <v>15</v>
      </c>
      <c r="E266" s="3">
        <v>220</v>
      </c>
      <c r="F266" s="3">
        <v>30</v>
      </c>
      <c r="G266" s="4">
        <v>44502</v>
      </c>
      <c r="I266" s="1">
        <v>794</v>
      </c>
      <c r="J266" s="1">
        <v>794</v>
      </c>
    </row>
    <row r="267" spans="3:10">
      <c r="C267" s="2" t="s">
        <v>8</v>
      </c>
      <c r="D267" s="2" t="s">
        <v>15</v>
      </c>
      <c r="E267" s="3">
        <v>220</v>
      </c>
      <c r="F267" s="3">
        <v>26.666666666666668</v>
      </c>
      <c r="G267" s="4">
        <v>44322</v>
      </c>
      <c r="I267" s="1">
        <v>780</v>
      </c>
      <c r="J267" s="1">
        <v>780</v>
      </c>
    </row>
    <row r="268" spans="3:10">
      <c r="C268" s="2" t="s">
        <v>18</v>
      </c>
      <c r="D268" s="2" t="s">
        <v>15</v>
      </c>
      <c r="E268" s="3">
        <v>60</v>
      </c>
      <c r="F268" s="3">
        <v>10</v>
      </c>
      <c r="G268" s="4">
        <v>43528</v>
      </c>
    </row>
    <row r="269" spans="3:10">
      <c r="C269" s="2" t="s">
        <v>7</v>
      </c>
      <c r="D269" s="2" t="s">
        <v>15</v>
      </c>
      <c r="E269" s="3">
        <v>28</v>
      </c>
      <c r="F269" s="3">
        <v>10</v>
      </c>
      <c r="G269" s="4">
        <v>43031</v>
      </c>
    </row>
    <row r="270" spans="3:10">
      <c r="C270" s="2" t="s">
        <v>9</v>
      </c>
      <c r="D270" s="2" t="s">
        <v>54</v>
      </c>
      <c r="E270" s="3">
        <v>220</v>
      </c>
      <c r="F270" s="3">
        <v>28</v>
      </c>
      <c r="G270" s="4">
        <v>44357</v>
      </c>
      <c r="I270" s="1">
        <v>1900</v>
      </c>
      <c r="J270" s="1">
        <v>1900</v>
      </c>
    </row>
    <row r="271" spans="3:10">
      <c r="C271" s="2" t="s">
        <v>8</v>
      </c>
      <c r="D271" s="2" t="s">
        <v>54</v>
      </c>
      <c r="E271" s="3">
        <v>125</v>
      </c>
      <c r="F271" s="3">
        <v>50</v>
      </c>
      <c r="G271" s="4">
        <v>44131</v>
      </c>
      <c r="I271" s="1">
        <v>875</v>
      </c>
      <c r="J271" s="1">
        <v>1900</v>
      </c>
    </row>
    <row r="272" spans="3:10">
      <c r="G272" s="4"/>
    </row>
    <row r="273" spans="1:11">
      <c r="A273" s="1">
        <v>17</v>
      </c>
      <c r="B273" s="12" t="s">
        <v>1163</v>
      </c>
      <c r="C273" s="13" t="s">
        <v>986</v>
      </c>
      <c r="D273" s="13" t="s">
        <v>985</v>
      </c>
      <c r="E273" s="15"/>
      <c r="F273" s="15">
        <f>SUM(F274:F296)</f>
        <v>365.5</v>
      </c>
      <c r="G273" s="14">
        <f>G291</f>
        <v>45041</v>
      </c>
      <c r="I273" s="1">
        <v>70000</v>
      </c>
      <c r="J273" s="20">
        <f>+F273/I273</f>
        <v>5.2214285714285713E-3</v>
      </c>
      <c r="K273" s="1">
        <v>1999</v>
      </c>
    </row>
    <row r="274" spans="1:11">
      <c r="C274" s="2" t="s">
        <v>9</v>
      </c>
      <c r="D274" s="2" t="s">
        <v>815</v>
      </c>
      <c r="E274" s="3">
        <v>325</v>
      </c>
      <c r="F274" s="3">
        <v>18.5</v>
      </c>
      <c r="G274" s="4">
        <v>44299</v>
      </c>
    </row>
    <row r="275" spans="1:11">
      <c r="C275" s="2" t="s">
        <v>18</v>
      </c>
      <c r="D275" s="2" t="s">
        <v>815</v>
      </c>
      <c r="E275" s="3">
        <v>100</v>
      </c>
      <c r="F275" s="3">
        <f>65/5</f>
        <v>13</v>
      </c>
      <c r="G275" s="4">
        <v>43682</v>
      </c>
    </row>
    <row r="276" spans="1:11">
      <c r="C276" s="2" t="s">
        <v>4</v>
      </c>
      <c r="D276" s="2" t="s">
        <v>951</v>
      </c>
      <c r="E276" s="3">
        <v>100</v>
      </c>
      <c r="F276" s="3">
        <v>25</v>
      </c>
      <c r="G276" s="4">
        <v>44846</v>
      </c>
      <c r="I276" s="1" t="s">
        <v>4484</v>
      </c>
    </row>
    <row r="277" spans="1:11">
      <c r="C277" s="2" t="s">
        <v>18</v>
      </c>
      <c r="D277" s="2" t="s">
        <v>940</v>
      </c>
      <c r="E277" s="3">
        <v>100</v>
      </c>
      <c r="F277" s="3">
        <v>9</v>
      </c>
      <c r="G277" s="4">
        <v>44690</v>
      </c>
      <c r="I277" s="1" t="s">
        <v>4485</v>
      </c>
      <c r="J277" s="1" t="s">
        <v>4486</v>
      </c>
    </row>
    <row r="278" spans="1:11">
      <c r="C278" s="2" t="s">
        <v>5</v>
      </c>
      <c r="D278" s="2" t="s">
        <v>775</v>
      </c>
      <c r="E278" s="3">
        <v>125</v>
      </c>
      <c r="F278" s="3">
        <v>15</v>
      </c>
      <c r="G278" s="4">
        <v>44852</v>
      </c>
    </row>
    <row r="279" spans="1:11">
      <c r="C279" s="2" t="s">
        <v>18</v>
      </c>
      <c r="D279" s="2" t="s">
        <v>979</v>
      </c>
      <c r="E279" s="3">
        <v>135</v>
      </c>
      <c r="F279" s="3">
        <v>25</v>
      </c>
      <c r="G279" s="4">
        <v>44500</v>
      </c>
    </row>
    <row r="280" spans="1:11">
      <c r="C280" s="2" t="s">
        <v>7</v>
      </c>
      <c r="D280" s="2" t="s">
        <v>979</v>
      </c>
      <c r="E280" s="3">
        <v>45</v>
      </c>
      <c r="F280" s="3">
        <v>10</v>
      </c>
      <c r="G280" s="4">
        <v>44228</v>
      </c>
    </row>
    <row r="281" spans="1:11">
      <c r="C281" s="2" t="s">
        <v>18</v>
      </c>
      <c r="D281" s="2" t="s">
        <v>974</v>
      </c>
      <c r="E281" s="3">
        <v>50</v>
      </c>
      <c r="F281" s="3">
        <v>6</v>
      </c>
      <c r="G281" s="4">
        <v>44900</v>
      </c>
    </row>
    <row r="282" spans="1:11">
      <c r="C282" s="2" t="s">
        <v>7</v>
      </c>
      <c r="D282" s="2" t="s">
        <v>974</v>
      </c>
      <c r="E282" s="3">
        <v>35</v>
      </c>
      <c r="F282" s="3">
        <v>20</v>
      </c>
      <c r="G282" s="4">
        <v>44543</v>
      </c>
    </row>
    <row r="283" spans="1:11">
      <c r="C283" s="2" t="s">
        <v>18</v>
      </c>
      <c r="D283" s="2" t="s">
        <v>810</v>
      </c>
      <c r="E283" s="3">
        <v>50</v>
      </c>
      <c r="F283" s="3">
        <v>8</v>
      </c>
      <c r="G283" s="4">
        <v>44496</v>
      </c>
    </row>
    <row r="284" spans="1:11">
      <c r="C284" s="2" t="s">
        <v>7</v>
      </c>
      <c r="D284" s="2" t="s">
        <v>810</v>
      </c>
      <c r="E284" s="3">
        <v>22</v>
      </c>
      <c r="F284" s="3">
        <v>12</v>
      </c>
      <c r="G284" s="4">
        <v>44153</v>
      </c>
    </row>
    <row r="285" spans="1:11">
      <c r="C285" s="2" t="s">
        <v>7</v>
      </c>
      <c r="D285" s="2" t="s">
        <v>877</v>
      </c>
      <c r="E285" s="3">
        <v>50</v>
      </c>
      <c r="F285" s="3">
        <v>7</v>
      </c>
      <c r="G285" s="4">
        <v>44628</v>
      </c>
    </row>
    <row r="286" spans="1:11">
      <c r="C286" s="2" t="s">
        <v>7</v>
      </c>
      <c r="D286" s="2" t="s">
        <v>1029</v>
      </c>
      <c r="E286" s="3">
        <v>43</v>
      </c>
      <c r="F286" s="3">
        <v>6</v>
      </c>
      <c r="G286" s="4">
        <v>44978</v>
      </c>
    </row>
    <row r="287" spans="1:11">
      <c r="C287" s="2" t="s">
        <v>5</v>
      </c>
      <c r="D287" s="2" t="s">
        <v>1029</v>
      </c>
      <c r="E287" s="3">
        <v>26</v>
      </c>
      <c r="F287" s="3">
        <v>13</v>
      </c>
      <c r="G287" s="4">
        <v>44453</v>
      </c>
    </row>
    <row r="288" spans="1:11">
      <c r="C288" s="2" t="s">
        <v>7</v>
      </c>
      <c r="D288" s="2" t="s">
        <v>908</v>
      </c>
      <c r="E288" s="3">
        <v>40</v>
      </c>
      <c r="F288" s="3">
        <v>20</v>
      </c>
      <c r="G288" s="4">
        <v>44728</v>
      </c>
    </row>
    <row r="289" spans="1:11">
      <c r="C289" s="2" t="s">
        <v>7</v>
      </c>
      <c r="D289" s="2" t="s">
        <v>884</v>
      </c>
      <c r="E289" s="3">
        <v>30</v>
      </c>
      <c r="F289" s="3">
        <f>20/3</f>
        <v>6.666666666666667</v>
      </c>
      <c r="G289" s="4">
        <v>44510</v>
      </c>
    </row>
    <row r="290" spans="1:11">
      <c r="C290" s="2" t="s">
        <v>5</v>
      </c>
      <c r="D290" s="2" t="s">
        <v>884</v>
      </c>
      <c r="E290" s="3">
        <v>21.4</v>
      </c>
      <c r="F290" s="3">
        <v>5</v>
      </c>
      <c r="G290" s="4">
        <v>44232</v>
      </c>
    </row>
    <row r="291" spans="1:11">
      <c r="C291" s="2" t="s">
        <v>7</v>
      </c>
      <c r="D291" s="2" t="s">
        <v>921</v>
      </c>
      <c r="E291" s="3">
        <v>97.4</v>
      </c>
      <c r="F291" s="3">
        <f>47/6</f>
        <v>7.833333333333333</v>
      </c>
      <c r="G291" s="4">
        <v>45041</v>
      </c>
    </row>
    <row r="292" spans="1:11">
      <c r="C292" s="2" t="s">
        <v>7</v>
      </c>
      <c r="D292" s="2" t="s">
        <v>921</v>
      </c>
      <c r="E292" s="3">
        <v>80</v>
      </c>
      <c r="F292" s="3">
        <v>40</v>
      </c>
      <c r="G292" s="4">
        <v>44539</v>
      </c>
    </row>
    <row r="293" spans="1:11">
      <c r="C293" s="2" t="s">
        <v>7</v>
      </c>
      <c r="D293" s="2" t="s">
        <v>293</v>
      </c>
      <c r="E293" s="3">
        <v>35</v>
      </c>
      <c r="F293" s="3">
        <v>5</v>
      </c>
      <c r="G293" s="4">
        <v>44309</v>
      </c>
    </row>
    <row r="294" spans="1:11">
      <c r="C294" s="2" t="s">
        <v>8</v>
      </c>
      <c r="D294" s="2" t="s">
        <v>247</v>
      </c>
      <c r="E294" s="3">
        <v>81</v>
      </c>
      <c r="F294" s="3">
        <f>E294/6</f>
        <v>13.5</v>
      </c>
      <c r="G294" s="4">
        <v>43418</v>
      </c>
      <c r="I294" s="1">
        <v>1700</v>
      </c>
      <c r="J294" s="1">
        <v>3800</v>
      </c>
    </row>
    <row r="295" spans="1:11">
      <c r="C295" s="2" t="s">
        <v>9</v>
      </c>
      <c r="D295" s="2" t="s">
        <v>57</v>
      </c>
      <c r="E295" s="3">
        <v>250</v>
      </c>
      <c r="F295" s="3">
        <v>30</v>
      </c>
      <c r="G295" s="4">
        <v>44350</v>
      </c>
      <c r="I295" s="1">
        <v>7000</v>
      </c>
      <c r="J295" s="1">
        <v>7000</v>
      </c>
    </row>
    <row r="296" spans="1:11">
      <c r="C296" s="2" t="s">
        <v>8</v>
      </c>
      <c r="D296" s="2" t="s">
        <v>57</v>
      </c>
      <c r="E296" s="3">
        <v>200</v>
      </c>
      <c r="F296" s="3">
        <v>50</v>
      </c>
      <c r="G296" s="4">
        <v>44055</v>
      </c>
      <c r="I296" s="1">
        <v>2000</v>
      </c>
      <c r="J296" s="1">
        <v>7000</v>
      </c>
    </row>
    <row r="297" spans="1:11">
      <c r="G297" s="4"/>
      <c r="I297" s="12"/>
      <c r="J297" s="12"/>
      <c r="K297" s="12"/>
    </row>
    <row r="298" spans="1:11">
      <c r="A298" s="1">
        <v>18</v>
      </c>
      <c r="B298" s="12" t="s">
        <v>1162</v>
      </c>
      <c r="C298" s="13" t="s">
        <v>986</v>
      </c>
      <c r="D298" s="13" t="s">
        <v>985</v>
      </c>
      <c r="E298" s="15"/>
      <c r="F298" s="15">
        <f>SUM(F299:F330)</f>
        <v>352.08441558441558</v>
      </c>
      <c r="G298" s="14">
        <f>G317</f>
        <v>45104</v>
      </c>
      <c r="I298" s="12">
        <v>85000</v>
      </c>
      <c r="J298" s="22">
        <f>+F298/I298</f>
        <v>4.1421695951107717E-3</v>
      </c>
      <c r="K298" s="12">
        <v>1972</v>
      </c>
    </row>
    <row r="299" spans="1:11">
      <c r="C299" s="2" t="s">
        <v>18</v>
      </c>
      <c r="D299" s="2" t="s">
        <v>940</v>
      </c>
      <c r="E299" s="3">
        <v>100</v>
      </c>
      <c r="F299" s="3">
        <v>9</v>
      </c>
      <c r="G299" s="4">
        <v>44690</v>
      </c>
    </row>
    <row r="300" spans="1:11">
      <c r="C300" s="2" t="s">
        <v>18</v>
      </c>
      <c r="D300" s="2" t="s">
        <v>1064</v>
      </c>
      <c r="E300" s="3">
        <v>100</v>
      </c>
      <c r="F300" s="3">
        <v>40</v>
      </c>
      <c r="G300" s="4">
        <v>44699</v>
      </c>
    </row>
    <row r="301" spans="1:11" ht="14">
      <c r="C301" s="2" t="s">
        <v>18</v>
      </c>
      <c r="D301" s="2" t="s">
        <v>1023</v>
      </c>
      <c r="E301" s="3">
        <v>100</v>
      </c>
      <c r="F301" s="3">
        <v>10</v>
      </c>
      <c r="G301" s="4">
        <v>44754</v>
      </c>
      <c r="I301" s="1" t="s">
        <v>4455</v>
      </c>
      <c r="J301" s="33" t="s">
        <v>4458</v>
      </c>
    </row>
    <row r="302" spans="1:11" ht="14">
      <c r="C302" s="2" t="s">
        <v>7</v>
      </c>
      <c r="D302" s="2" t="s">
        <v>1023</v>
      </c>
      <c r="E302" s="3">
        <v>35</v>
      </c>
      <c r="F302" s="3">
        <f>E302/2</f>
        <v>17.5</v>
      </c>
      <c r="G302" s="4">
        <v>44172</v>
      </c>
      <c r="I302" s="1" t="s">
        <v>4456</v>
      </c>
      <c r="J302" s="33" t="s">
        <v>4457</v>
      </c>
    </row>
    <row r="303" spans="1:11">
      <c r="C303" s="2" t="s">
        <v>5</v>
      </c>
      <c r="D303" s="2" t="s">
        <v>1023</v>
      </c>
      <c r="E303" s="3">
        <v>20</v>
      </c>
      <c r="F303" s="3">
        <v>8</v>
      </c>
      <c r="G303" s="4">
        <v>43949</v>
      </c>
      <c r="I303" s="1" t="s">
        <v>4459</v>
      </c>
      <c r="K303" s="1" t="s">
        <v>4460</v>
      </c>
    </row>
    <row r="304" spans="1:11">
      <c r="C304" s="2" t="s">
        <v>4</v>
      </c>
      <c r="D304" s="2" t="s">
        <v>1023</v>
      </c>
      <c r="E304" s="3">
        <v>5</v>
      </c>
      <c r="F304" s="3">
        <v>1</v>
      </c>
      <c r="G304" s="4">
        <v>43438</v>
      </c>
    </row>
    <row r="305" spans="3:12">
      <c r="C305" s="2" t="s">
        <v>4</v>
      </c>
      <c r="D305" s="2" t="s">
        <v>712</v>
      </c>
      <c r="E305" s="3">
        <v>7.2</v>
      </c>
      <c r="F305" s="3">
        <v>1</v>
      </c>
      <c r="G305" s="4">
        <v>44508</v>
      </c>
    </row>
    <row r="306" spans="3:12">
      <c r="C306" s="2" t="s">
        <v>5</v>
      </c>
      <c r="D306" s="2" t="s">
        <v>695</v>
      </c>
      <c r="E306" s="3">
        <v>21</v>
      </c>
      <c r="F306" s="3">
        <v>10</v>
      </c>
      <c r="G306" s="4">
        <v>45027</v>
      </c>
    </row>
    <row r="307" spans="3:12">
      <c r="C307" s="2" t="s">
        <v>7</v>
      </c>
      <c r="D307" s="2" t="s">
        <v>1026</v>
      </c>
      <c r="E307" s="3">
        <v>30</v>
      </c>
      <c r="F307" s="3">
        <v>6</v>
      </c>
      <c r="G307" s="4">
        <v>44539</v>
      </c>
    </row>
    <row r="308" spans="3:12">
      <c r="C308" s="2" t="s">
        <v>5</v>
      </c>
      <c r="D308" s="2" t="s">
        <v>1026</v>
      </c>
      <c r="E308" s="3">
        <v>11</v>
      </c>
      <c r="F308" s="3">
        <v>6</v>
      </c>
      <c r="G308" s="4">
        <v>43862</v>
      </c>
    </row>
    <row r="309" spans="3:12">
      <c r="C309" s="2" t="s">
        <v>4</v>
      </c>
      <c r="D309" s="2" t="s">
        <v>1026</v>
      </c>
      <c r="E309" s="3">
        <v>3</v>
      </c>
      <c r="F309" s="3">
        <v>1.5</v>
      </c>
      <c r="G309" s="4">
        <v>43525</v>
      </c>
    </row>
    <row r="310" spans="3:12">
      <c r="C310" s="2" t="s">
        <v>5</v>
      </c>
      <c r="D310" s="2" t="s">
        <v>1092</v>
      </c>
      <c r="E310" s="3">
        <v>12.5</v>
      </c>
      <c r="F310" s="3">
        <v>3</v>
      </c>
      <c r="G310" s="4">
        <v>44978</v>
      </c>
    </row>
    <row r="311" spans="3:12">
      <c r="C311" s="2" t="s">
        <v>5</v>
      </c>
      <c r="D311" s="2" t="s">
        <v>1092</v>
      </c>
      <c r="E311" s="3">
        <v>5.3</v>
      </c>
      <c r="F311" s="3">
        <v>2.5</v>
      </c>
      <c r="G311" s="4">
        <v>44978</v>
      </c>
    </row>
    <row r="312" spans="3:12">
      <c r="C312" s="2" t="s">
        <v>4</v>
      </c>
      <c r="D312" s="2" t="s">
        <v>665</v>
      </c>
      <c r="E312" s="3">
        <v>12.8</v>
      </c>
      <c r="F312" s="3">
        <v>2</v>
      </c>
      <c r="G312" s="4">
        <v>44601</v>
      </c>
    </row>
    <row r="313" spans="3:12">
      <c r="C313" s="2" t="s">
        <v>5</v>
      </c>
      <c r="D313" s="2" t="s">
        <v>731</v>
      </c>
      <c r="E313" s="3">
        <v>11</v>
      </c>
      <c r="F313" s="3">
        <f>7/3</f>
        <v>2.3333333333333335</v>
      </c>
      <c r="G313" s="4">
        <v>44483</v>
      </c>
    </row>
    <row r="314" spans="3:12">
      <c r="C314" s="2" t="s">
        <v>4</v>
      </c>
      <c r="D314" s="2" t="s">
        <v>731</v>
      </c>
      <c r="E314" s="3">
        <v>2.9</v>
      </c>
      <c r="F314" s="3">
        <v>0.5</v>
      </c>
      <c r="G314" s="4">
        <v>44272</v>
      </c>
    </row>
    <row r="315" spans="3:12">
      <c r="C315" s="2" t="s">
        <v>7</v>
      </c>
      <c r="D315" s="2" t="s">
        <v>1161</v>
      </c>
      <c r="E315" s="3">
        <v>18</v>
      </c>
      <c r="F315" s="3">
        <v>9</v>
      </c>
      <c r="G315" s="4">
        <v>44831</v>
      </c>
    </row>
    <row r="316" spans="3:12">
      <c r="C316" s="2" t="s">
        <v>5</v>
      </c>
      <c r="D316" s="2" t="s">
        <v>1161</v>
      </c>
      <c r="E316" s="3">
        <v>18.5</v>
      </c>
      <c r="F316" s="3">
        <v>9</v>
      </c>
      <c r="G316" s="4">
        <v>44658</v>
      </c>
    </row>
    <row r="317" spans="3:12">
      <c r="C317" s="2" t="s">
        <v>4</v>
      </c>
      <c r="D317" s="2" t="s">
        <v>478</v>
      </c>
      <c r="E317" s="3">
        <v>6</v>
      </c>
      <c r="F317" s="3">
        <v>2</v>
      </c>
      <c r="G317" s="4">
        <v>45104</v>
      </c>
    </row>
    <row r="318" spans="3:12">
      <c r="C318" s="2" t="s">
        <v>5</v>
      </c>
      <c r="D318" s="2" t="s">
        <v>325</v>
      </c>
      <c r="E318" s="3">
        <v>16</v>
      </c>
      <c r="F318" s="3">
        <v>6</v>
      </c>
      <c r="G318" s="4">
        <v>43783</v>
      </c>
      <c r="L318" s="1">
        <f>+F318*5</f>
        <v>30</v>
      </c>
    </row>
    <row r="319" spans="3:12">
      <c r="C319" s="2" t="s">
        <v>7</v>
      </c>
      <c r="D319" s="2" t="s">
        <v>325</v>
      </c>
      <c r="E319" s="3">
        <v>55</v>
      </c>
      <c r="F319" s="3">
        <v>5</v>
      </c>
      <c r="G319" s="4">
        <v>44200</v>
      </c>
    </row>
    <row r="320" spans="3:12">
      <c r="C320" s="2" t="s">
        <v>18</v>
      </c>
      <c r="D320" s="2" t="s">
        <v>325</v>
      </c>
      <c r="E320" s="3">
        <v>91</v>
      </c>
      <c r="F320" s="3">
        <v>8.75</v>
      </c>
      <c r="G320" s="4">
        <v>44867</v>
      </c>
    </row>
    <row r="321" spans="1:11">
      <c r="C321" s="2" t="s">
        <v>5</v>
      </c>
      <c r="D321" s="2" t="s">
        <v>166</v>
      </c>
      <c r="E321" s="3">
        <v>112</v>
      </c>
      <c r="F321" s="3">
        <v>9</v>
      </c>
      <c r="G321" s="4">
        <v>43115</v>
      </c>
    </row>
    <row r="322" spans="1:11">
      <c r="C322" s="2" t="s">
        <v>18</v>
      </c>
      <c r="D322" s="2" t="s">
        <v>76</v>
      </c>
      <c r="E322" s="3">
        <v>60</v>
      </c>
      <c r="F322" s="3">
        <f>E322/5</f>
        <v>12</v>
      </c>
      <c r="G322" s="4">
        <v>42736</v>
      </c>
      <c r="I322" s="1">
        <v>800</v>
      </c>
      <c r="J322" s="1">
        <v>3800</v>
      </c>
    </row>
    <row r="323" spans="1:11">
      <c r="C323" s="2" t="s">
        <v>9</v>
      </c>
      <c r="D323" s="2" t="s">
        <v>57</v>
      </c>
      <c r="E323" s="3">
        <v>250</v>
      </c>
      <c r="F323" s="3">
        <f>150/5</f>
        <v>30</v>
      </c>
      <c r="G323" s="4">
        <v>44350</v>
      </c>
      <c r="I323" s="1">
        <v>7000</v>
      </c>
      <c r="J323" s="1">
        <v>7000</v>
      </c>
    </row>
    <row r="324" spans="1:11">
      <c r="C324" s="2" t="s">
        <v>8</v>
      </c>
      <c r="D324" s="2" t="s">
        <v>57</v>
      </c>
      <c r="E324" s="3">
        <v>200</v>
      </c>
      <c r="F324" s="3">
        <v>18.75</v>
      </c>
      <c r="G324" s="4">
        <v>44055</v>
      </c>
      <c r="I324" s="1">
        <v>2000</v>
      </c>
      <c r="J324" s="1">
        <v>7000</v>
      </c>
    </row>
    <row r="325" spans="1:11">
      <c r="C325" s="2" t="s">
        <v>18</v>
      </c>
      <c r="D325" s="2" t="s">
        <v>57</v>
      </c>
      <c r="E325" s="3">
        <v>65</v>
      </c>
      <c r="F325" s="3">
        <v>20</v>
      </c>
      <c r="G325" s="4">
        <v>43802</v>
      </c>
      <c r="I325" s="1">
        <v>685</v>
      </c>
      <c r="J325" s="1">
        <v>7000</v>
      </c>
    </row>
    <row r="326" spans="1:11">
      <c r="C326" s="2" t="s">
        <v>9</v>
      </c>
      <c r="D326" s="2" t="s">
        <v>23</v>
      </c>
      <c r="E326" s="3">
        <v>222</v>
      </c>
      <c r="F326" s="3">
        <f>200/21</f>
        <v>9.5238095238095237</v>
      </c>
      <c r="G326" s="4">
        <v>44194</v>
      </c>
      <c r="I326" s="1">
        <v>2500</v>
      </c>
      <c r="J326" s="1">
        <v>0</v>
      </c>
    </row>
    <row r="327" spans="1:11">
      <c r="C327" s="2" t="s">
        <v>8</v>
      </c>
      <c r="D327" s="2" t="s">
        <v>23</v>
      </c>
      <c r="E327" s="3">
        <v>200</v>
      </c>
      <c r="F327" s="3">
        <v>12.727272727272727</v>
      </c>
      <c r="G327" s="4">
        <v>43452</v>
      </c>
      <c r="I327" s="1">
        <v>1500</v>
      </c>
      <c r="J327" s="1">
        <v>0</v>
      </c>
    </row>
    <row r="328" spans="1:11">
      <c r="C328" s="2" t="s">
        <v>18</v>
      </c>
      <c r="D328" s="2" t="s">
        <v>23</v>
      </c>
      <c r="E328" s="3">
        <v>50</v>
      </c>
      <c r="F328" s="3">
        <v>10</v>
      </c>
      <c r="G328" s="4">
        <v>43051</v>
      </c>
      <c r="J328" s="1">
        <v>0</v>
      </c>
    </row>
    <row r="329" spans="1:11">
      <c r="C329" s="2" t="s">
        <v>1</v>
      </c>
      <c r="D329" s="2" t="s">
        <v>0</v>
      </c>
      <c r="E329" s="3">
        <v>300</v>
      </c>
      <c r="F329" s="3">
        <v>50</v>
      </c>
      <c r="G329" s="4">
        <v>45044</v>
      </c>
      <c r="I329" s="1">
        <v>28700</v>
      </c>
      <c r="J329" s="1">
        <v>28700</v>
      </c>
    </row>
    <row r="330" spans="1:11">
      <c r="C330" s="2" t="s">
        <v>8</v>
      </c>
      <c r="D330" s="2" t="s">
        <v>2186</v>
      </c>
      <c r="E330" s="3">
        <v>200</v>
      </c>
      <c r="F330" s="3">
        <v>20</v>
      </c>
      <c r="G330" s="4">
        <v>44237</v>
      </c>
    </row>
    <row r="331" spans="1:11">
      <c r="G331" s="4"/>
    </row>
    <row r="332" spans="1:11">
      <c r="A332" s="1">
        <v>19</v>
      </c>
      <c r="B332" s="12" t="s">
        <v>1160</v>
      </c>
      <c r="C332" s="13" t="s">
        <v>986</v>
      </c>
      <c r="D332" s="13" t="s">
        <v>985</v>
      </c>
      <c r="E332" s="15"/>
      <c r="F332" s="15">
        <f>SUM(F333:F341)</f>
        <v>324.46897546897549</v>
      </c>
      <c r="G332" s="14">
        <f>+G334</f>
        <v>44893</v>
      </c>
      <c r="I332" s="2" t="s">
        <v>1</v>
      </c>
      <c r="J332" s="2" t="s">
        <v>1</v>
      </c>
      <c r="K332" s="2" t="s">
        <v>1</v>
      </c>
    </row>
    <row r="333" spans="1:11">
      <c r="C333" s="2" t="s">
        <v>7</v>
      </c>
      <c r="D333" s="2" t="s">
        <v>1159</v>
      </c>
      <c r="E333" s="3">
        <v>2500</v>
      </c>
      <c r="F333" s="3">
        <f>2000/11</f>
        <v>181.81818181818181</v>
      </c>
      <c r="G333" s="4">
        <v>44363</v>
      </c>
    </row>
    <row r="334" spans="1:11">
      <c r="C334" s="2" t="s">
        <v>5</v>
      </c>
      <c r="D334" s="2" t="s">
        <v>791</v>
      </c>
      <c r="E334" s="3">
        <v>33</v>
      </c>
      <c r="F334" s="3">
        <v>10</v>
      </c>
      <c r="G334" s="4">
        <v>44893</v>
      </c>
    </row>
    <row r="335" spans="1:11">
      <c r="C335" s="2" t="s">
        <v>7</v>
      </c>
      <c r="D335" s="2" t="s">
        <v>484</v>
      </c>
      <c r="E335" s="3">
        <v>90</v>
      </c>
      <c r="F335" s="3">
        <v>15</v>
      </c>
      <c r="G335" s="4">
        <v>44398</v>
      </c>
    </row>
    <row r="336" spans="1:11">
      <c r="C336" s="2" t="s">
        <v>18</v>
      </c>
      <c r="D336" s="2" t="s">
        <v>432</v>
      </c>
      <c r="E336" s="3">
        <v>80</v>
      </c>
      <c r="F336" s="3">
        <v>10</v>
      </c>
      <c r="G336" s="4">
        <v>44404</v>
      </c>
    </row>
    <row r="337" spans="1:11">
      <c r="C337" s="2" t="s">
        <v>8</v>
      </c>
      <c r="D337" s="2" t="s">
        <v>215</v>
      </c>
      <c r="E337" s="3">
        <v>676</v>
      </c>
      <c r="F337" s="3">
        <f>500/7</f>
        <v>71.428571428571431</v>
      </c>
      <c r="G337" s="4">
        <v>44299</v>
      </c>
      <c r="I337" s="1">
        <v>4400</v>
      </c>
    </row>
    <row r="338" spans="1:11">
      <c r="C338" s="2" t="s">
        <v>18</v>
      </c>
      <c r="D338" s="2" t="s">
        <v>203</v>
      </c>
      <c r="E338" s="3">
        <v>500</v>
      </c>
      <c r="F338" s="3">
        <f>200/9</f>
        <v>22.222222222222221</v>
      </c>
      <c r="G338" s="4">
        <v>44274</v>
      </c>
    </row>
    <row r="339" spans="1:11">
      <c r="C339" s="2" t="s">
        <v>5</v>
      </c>
      <c r="D339" s="2" t="s">
        <v>153</v>
      </c>
      <c r="E339" s="3">
        <v>3</v>
      </c>
      <c r="F339" s="6" t="s">
        <v>1072</v>
      </c>
      <c r="G339" s="4">
        <v>41879</v>
      </c>
      <c r="I339" s="1">
        <v>11</v>
      </c>
    </row>
    <row r="340" spans="1:11">
      <c r="C340" s="2" t="s">
        <v>7</v>
      </c>
      <c r="D340" s="2" t="s">
        <v>113</v>
      </c>
      <c r="E340" s="3">
        <v>37</v>
      </c>
      <c r="F340" s="6">
        <v>6.5</v>
      </c>
      <c r="G340" s="4">
        <v>43783</v>
      </c>
      <c r="I340" s="1">
        <v>113</v>
      </c>
    </row>
    <row r="341" spans="1:11">
      <c r="C341" s="2" t="s">
        <v>5</v>
      </c>
      <c r="D341" s="2" t="s">
        <v>113</v>
      </c>
      <c r="E341" s="3">
        <v>15</v>
      </c>
      <c r="F341" s="6">
        <f>E341/2</f>
        <v>7.5</v>
      </c>
      <c r="G341" s="4">
        <v>43262</v>
      </c>
    </row>
    <row r="342" spans="1:11">
      <c r="G342" s="4"/>
    </row>
    <row r="343" spans="1:11">
      <c r="A343" s="1">
        <v>20</v>
      </c>
      <c r="B343" s="12" t="s">
        <v>1158</v>
      </c>
      <c r="C343" s="13" t="s">
        <v>986</v>
      </c>
      <c r="D343" s="13" t="s">
        <v>985</v>
      </c>
      <c r="E343" s="15"/>
      <c r="F343" s="15">
        <f>SUM(F344:F360)</f>
        <v>310.5</v>
      </c>
      <c r="G343" s="14">
        <f>G344</f>
        <v>44852</v>
      </c>
      <c r="I343" s="12">
        <v>90000</v>
      </c>
      <c r="J343" s="22">
        <f>+F343/I343</f>
        <v>3.4499999999999999E-3</v>
      </c>
      <c r="K343" s="12">
        <v>1995</v>
      </c>
    </row>
    <row r="344" spans="1:11">
      <c r="C344" s="2" t="s">
        <v>5</v>
      </c>
      <c r="D344" s="2" t="s">
        <v>775</v>
      </c>
      <c r="E344" s="3">
        <v>125</v>
      </c>
      <c r="F344" s="3">
        <v>35</v>
      </c>
      <c r="G344" s="4">
        <v>44852</v>
      </c>
    </row>
    <row r="345" spans="1:11">
      <c r="C345" s="2" t="s">
        <v>18</v>
      </c>
      <c r="D345" s="2" t="s">
        <v>979</v>
      </c>
      <c r="E345" s="3">
        <v>135</v>
      </c>
      <c r="F345" s="3">
        <v>25</v>
      </c>
      <c r="G345" s="4">
        <v>44482</v>
      </c>
    </row>
    <row r="346" spans="1:11">
      <c r="C346" s="2" t="s">
        <v>7</v>
      </c>
      <c r="D346" s="2" t="s">
        <v>979</v>
      </c>
      <c r="E346" s="3">
        <v>45</v>
      </c>
      <c r="F346" s="3">
        <v>15</v>
      </c>
      <c r="G346" s="4">
        <v>44228</v>
      </c>
    </row>
    <row r="347" spans="1:11">
      <c r="C347" s="2" t="s">
        <v>5</v>
      </c>
      <c r="D347" s="2" t="s">
        <v>946</v>
      </c>
      <c r="E347" s="3">
        <v>30</v>
      </c>
      <c r="F347" s="3">
        <v>10</v>
      </c>
      <c r="G347" s="4">
        <v>44656</v>
      </c>
    </row>
    <row r="348" spans="1:11">
      <c r="C348" s="2" t="s">
        <v>7</v>
      </c>
      <c r="D348" s="2" t="s">
        <v>747</v>
      </c>
      <c r="E348" s="3">
        <v>25</v>
      </c>
      <c r="F348" s="3">
        <v>10</v>
      </c>
      <c r="G348" s="4">
        <v>44755</v>
      </c>
    </row>
    <row r="349" spans="1:11">
      <c r="C349" s="2" t="s">
        <v>5</v>
      </c>
      <c r="D349" s="2" t="s">
        <v>747</v>
      </c>
      <c r="E349" s="3">
        <v>21</v>
      </c>
      <c r="F349" s="3">
        <v>7</v>
      </c>
      <c r="G349" s="4">
        <v>44489</v>
      </c>
    </row>
    <row r="350" spans="1:11">
      <c r="C350" s="2" t="s">
        <v>5</v>
      </c>
      <c r="D350" s="2" t="s">
        <v>737</v>
      </c>
      <c r="E350" s="3">
        <v>20</v>
      </c>
      <c r="F350" s="3">
        <v>7</v>
      </c>
      <c r="G350" s="4">
        <v>44676</v>
      </c>
    </row>
    <row r="351" spans="1:11">
      <c r="C351" s="2" t="s">
        <v>5</v>
      </c>
      <c r="D351" s="2" t="s">
        <v>837</v>
      </c>
      <c r="E351" s="3">
        <v>20</v>
      </c>
      <c r="F351" s="3">
        <v>5</v>
      </c>
      <c r="G351" s="4">
        <v>44602</v>
      </c>
    </row>
    <row r="352" spans="1:11">
      <c r="C352" s="2" t="s">
        <v>5</v>
      </c>
      <c r="D352" s="2" t="s">
        <v>1157</v>
      </c>
      <c r="E352" s="3">
        <v>20</v>
      </c>
      <c r="F352" s="3">
        <v>10</v>
      </c>
      <c r="G352" s="4">
        <v>44371</v>
      </c>
    </row>
    <row r="353" spans="1:18">
      <c r="C353" s="2" t="s">
        <v>5</v>
      </c>
      <c r="D353" s="2" t="s">
        <v>1156</v>
      </c>
      <c r="E353" s="3">
        <v>15</v>
      </c>
      <c r="F353" s="3">
        <v>5</v>
      </c>
      <c r="G353" s="4">
        <v>44468</v>
      </c>
    </row>
    <row r="354" spans="1:18">
      <c r="C354" s="2" t="s">
        <v>7</v>
      </c>
      <c r="D354" s="2" t="s">
        <v>454</v>
      </c>
      <c r="E354" s="3">
        <v>30</v>
      </c>
      <c r="F354" s="3">
        <v>15</v>
      </c>
      <c r="G354" s="4">
        <v>44756</v>
      </c>
    </row>
    <row r="355" spans="1:18">
      <c r="C355" s="2" t="s">
        <v>7</v>
      </c>
      <c r="D355" s="2" t="s">
        <v>535</v>
      </c>
      <c r="E355" s="3">
        <v>32</v>
      </c>
      <c r="F355" s="3">
        <v>12</v>
      </c>
      <c r="G355" s="4">
        <v>44364</v>
      </c>
    </row>
    <row r="356" spans="1:18">
      <c r="C356" s="2" t="s">
        <v>5</v>
      </c>
      <c r="D356" s="2" t="s">
        <v>320</v>
      </c>
      <c r="E356" s="3">
        <v>57</v>
      </c>
      <c r="F356" s="3">
        <v>6</v>
      </c>
      <c r="G356" s="4">
        <v>44508</v>
      </c>
    </row>
    <row r="357" spans="1:18">
      <c r="C357" s="2" t="s">
        <v>55</v>
      </c>
      <c r="D357" s="2" t="s">
        <v>159</v>
      </c>
      <c r="E357" s="3">
        <v>200</v>
      </c>
      <c r="F357" s="3">
        <v>50</v>
      </c>
      <c r="G357" s="4">
        <v>44907</v>
      </c>
      <c r="I357" s="1">
        <v>3500</v>
      </c>
    </row>
    <row r="358" spans="1:18">
      <c r="C358" s="2" t="s">
        <v>9</v>
      </c>
      <c r="D358" s="2" t="s">
        <v>159</v>
      </c>
      <c r="E358" s="3">
        <v>400</v>
      </c>
      <c r="F358" s="3">
        <v>36</v>
      </c>
      <c r="G358" s="4">
        <v>44413</v>
      </c>
      <c r="I358" s="1">
        <v>4200</v>
      </c>
    </row>
    <row r="359" spans="1:18">
      <c r="C359" s="2" t="s">
        <v>8</v>
      </c>
      <c r="D359" s="2" t="s">
        <v>59</v>
      </c>
      <c r="E359" s="3">
        <v>250</v>
      </c>
      <c r="F359" s="3">
        <f>150/4</f>
        <v>37.5</v>
      </c>
      <c r="G359" s="4">
        <v>45069</v>
      </c>
    </row>
    <row r="360" spans="1:18">
      <c r="C360" s="2" t="s">
        <v>18</v>
      </c>
      <c r="D360" s="2" t="s">
        <v>59</v>
      </c>
      <c r="E360" s="3">
        <v>100</v>
      </c>
      <c r="F360" s="3">
        <v>25</v>
      </c>
      <c r="G360" s="4">
        <v>44650</v>
      </c>
    </row>
    <row r="361" spans="1:18">
      <c r="G361" s="4"/>
    </row>
    <row r="362" spans="1:18" s="12" customFormat="1">
      <c r="A362" s="12">
        <v>21</v>
      </c>
      <c r="B362" s="12" t="s">
        <v>1155</v>
      </c>
      <c r="C362" s="13" t="s">
        <v>986</v>
      </c>
      <c r="D362" s="13" t="s">
        <v>985</v>
      </c>
      <c r="E362" s="15"/>
      <c r="F362" s="15">
        <f>SUM(F363:F379)</f>
        <v>274.58333333333331</v>
      </c>
      <c r="G362" s="14">
        <f>+G374</f>
        <v>45090</v>
      </c>
      <c r="I362" s="12">
        <v>13000</v>
      </c>
      <c r="J362" s="22">
        <f>+F362/I362</f>
        <v>2.1121794871794872E-2</v>
      </c>
      <c r="K362" s="12">
        <v>1996</v>
      </c>
      <c r="M362" s="13"/>
      <c r="N362" s="13"/>
      <c r="O362" s="13"/>
      <c r="P362" s="13"/>
      <c r="Q362" s="13"/>
      <c r="R362" s="13"/>
    </row>
    <row r="363" spans="1:18">
      <c r="C363" s="2" t="s">
        <v>9</v>
      </c>
      <c r="D363" s="2" t="s">
        <v>815</v>
      </c>
      <c r="E363" s="3">
        <v>325</v>
      </c>
      <c r="F363" s="3">
        <v>18.5</v>
      </c>
      <c r="G363" s="4">
        <v>44299</v>
      </c>
    </row>
    <row r="364" spans="1:18">
      <c r="C364" s="2" t="s">
        <v>7</v>
      </c>
      <c r="D364" s="2" t="s">
        <v>815</v>
      </c>
      <c r="E364" s="3">
        <v>18</v>
      </c>
      <c r="F364" s="3">
        <v>12</v>
      </c>
      <c r="G364" s="4">
        <v>43319</v>
      </c>
    </row>
    <row r="365" spans="1:18">
      <c r="C365" s="2" t="s">
        <v>18</v>
      </c>
      <c r="D365" s="2" t="s">
        <v>969</v>
      </c>
      <c r="E365" s="3">
        <v>270</v>
      </c>
      <c r="F365" s="3">
        <v>24</v>
      </c>
      <c r="G365" s="4">
        <v>45048</v>
      </c>
    </row>
    <row r="366" spans="1:18">
      <c r="C366" s="2" t="s">
        <v>7</v>
      </c>
      <c r="D366" s="2" t="s">
        <v>969</v>
      </c>
      <c r="E366" s="3">
        <v>130</v>
      </c>
      <c r="F366" s="3">
        <v>23</v>
      </c>
      <c r="G366" s="4">
        <v>44607</v>
      </c>
    </row>
    <row r="367" spans="1:18">
      <c r="C367" s="2" t="s">
        <v>5</v>
      </c>
      <c r="D367" s="2" t="s">
        <v>969</v>
      </c>
      <c r="E367" s="3">
        <v>40</v>
      </c>
      <c r="F367" s="3">
        <v>20</v>
      </c>
      <c r="G367" s="4">
        <v>44446</v>
      </c>
    </row>
    <row r="368" spans="1:18">
      <c r="C368" s="2" t="s">
        <v>18</v>
      </c>
      <c r="D368" s="2" t="s">
        <v>810</v>
      </c>
      <c r="E368" s="3">
        <v>50</v>
      </c>
      <c r="F368" s="3">
        <f>25/3</f>
        <v>8.3333333333333339</v>
      </c>
      <c r="G368" s="4">
        <v>44496</v>
      </c>
    </row>
    <row r="369" spans="1:18">
      <c r="C369" s="2" t="s">
        <v>7</v>
      </c>
      <c r="D369" s="2" t="s">
        <v>810</v>
      </c>
      <c r="E369" s="3">
        <v>22</v>
      </c>
      <c r="F369" s="3">
        <v>5</v>
      </c>
      <c r="G369" s="4">
        <v>44153</v>
      </c>
    </row>
    <row r="370" spans="1:18">
      <c r="C370" s="2" t="s">
        <v>5</v>
      </c>
      <c r="D370" s="2" t="s">
        <v>810</v>
      </c>
      <c r="E370" s="3">
        <v>13</v>
      </c>
      <c r="F370" s="3">
        <v>10</v>
      </c>
      <c r="G370" s="4">
        <v>44026</v>
      </c>
    </row>
    <row r="371" spans="1:18">
      <c r="C371" s="2" t="s">
        <v>7</v>
      </c>
      <c r="D371" s="2" t="s">
        <v>808</v>
      </c>
      <c r="E371" s="3">
        <v>50</v>
      </c>
      <c r="F371" s="3">
        <v>20</v>
      </c>
      <c r="G371" s="4">
        <v>45036</v>
      </c>
    </row>
    <row r="372" spans="1:18">
      <c r="C372" s="2" t="s">
        <v>7</v>
      </c>
      <c r="D372" s="2" t="s">
        <v>908</v>
      </c>
      <c r="E372" s="3">
        <v>40</v>
      </c>
      <c r="F372" s="3">
        <v>5</v>
      </c>
      <c r="G372" s="4">
        <v>44728</v>
      </c>
    </row>
    <row r="373" spans="1:18">
      <c r="C373" s="2" t="s">
        <v>5</v>
      </c>
      <c r="D373" s="2" t="s">
        <v>908</v>
      </c>
      <c r="E373" s="3">
        <v>18.600000000000001</v>
      </c>
      <c r="F373" s="3">
        <v>10</v>
      </c>
      <c r="G373" s="4">
        <v>44112</v>
      </c>
    </row>
    <row r="374" spans="1:18">
      <c r="C374" s="2" t="s">
        <v>4</v>
      </c>
      <c r="D374" s="2" t="s">
        <v>717</v>
      </c>
      <c r="E374" s="3">
        <v>113</v>
      </c>
      <c r="F374" s="3">
        <v>19</v>
      </c>
      <c r="G374" s="4">
        <v>45090</v>
      </c>
    </row>
    <row r="375" spans="1:18">
      <c r="C375" s="2" t="s">
        <v>5</v>
      </c>
      <c r="D375" s="2" t="s">
        <v>530</v>
      </c>
      <c r="E375" s="3">
        <v>7</v>
      </c>
      <c r="F375" s="3">
        <v>1</v>
      </c>
      <c r="G375" s="4">
        <v>42885</v>
      </c>
    </row>
    <row r="376" spans="1:18">
      <c r="C376" s="2" t="s">
        <v>18</v>
      </c>
      <c r="D376" s="2" t="s">
        <v>432</v>
      </c>
      <c r="E376" s="3">
        <v>75</v>
      </c>
      <c r="F376" s="3">
        <v>20</v>
      </c>
      <c r="G376" s="4">
        <v>45020</v>
      </c>
    </row>
    <row r="377" spans="1:18">
      <c r="C377" s="2" t="s">
        <v>18</v>
      </c>
      <c r="D377" s="2" t="s">
        <v>432</v>
      </c>
      <c r="E377" s="3">
        <v>80</v>
      </c>
      <c r="F377" s="3">
        <v>40</v>
      </c>
      <c r="G377" s="4">
        <v>44404</v>
      </c>
    </row>
    <row r="378" spans="1:18">
      <c r="C378" s="2" t="s">
        <v>7</v>
      </c>
      <c r="D378" s="2" t="s">
        <v>432</v>
      </c>
      <c r="E378" s="3">
        <v>40</v>
      </c>
      <c r="F378" s="3">
        <v>20</v>
      </c>
      <c r="G378" s="4">
        <v>43957</v>
      </c>
    </row>
    <row r="379" spans="1:18">
      <c r="C379" s="2" t="s">
        <v>8</v>
      </c>
      <c r="D379" s="2" t="s">
        <v>57</v>
      </c>
      <c r="E379" s="3">
        <v>200</v>
      </c>
      <c r="F379" s="3">
        <f>150/8</f>
        <v>18.75</v>
      </c>
      <c r="G379" s="4">
        <v>44055</v>
      </c>
      <c r="I379" s="1">
        <v>2000</v>
      </c>
      <c r="J379" s="1">
        <v>7000</v>
      </c>
    </row>
    <row r="380" spans="1:18">
      <c r="G380" s="4"/>
    </row>
    <row r="381" spans="1:18" s="12" customFormat="1">
      <c r="A381" s="12">
        <v>22</v>
      </c>
      <c r="B381" s="12" t="s">
        <v>1154</v>
      </c>
      <c r="C381" s="13" t="s">
        <v>986</v>
      </c>
      <c r="D381" s="13" t="s">
        <v>985</v>
      </c>
      <c r="E381" s="15"/>
      <c r="F381" s="15">
        <f>SUM(F382:F385)</f>
        <v>268</v>
      </c>
      <c r="G381" s="14">
        <f>+G382</f>
        <v>45069</v>
      </c>
      <c r="I381" s="12">
        <v>3800</v>
      </c>
      <c r="J381" s="22">
        <f>+F381/I381</f>
        <v>7.0526315789473687E-2</v>
      </c>
      <c r="K381" s="12">
        <v>2005</v>
      </c>
      <c r="M381" s="13"/>
      <c r="N381" s="13"/>
      <c r="O381" s="13"/>
      <c r="P381" s="13"/>
      <c r="Q381" s="13"/>
      <c r="R381" s="13"/>
    </row>
    <row r="382" spans="1:18">
      <c r="C382" s="2" t="s">
        <v>18</v>
      </c>
      <c r="D382" s="2" t="s">
        <v>981</v>
      </c>
      <c r="E382" s="3">
        <v>450</v>
      </c>
      <c r="F382" s="3">
        <v>150</v>
      </c>
      <c r="G382" s="4">
        <v>45069</v>
      </c>
    </row>
    <row r="383" spans="1:18">
      <c r="C383" s="2" t="s">
        <v>7</v>
      </c>
      <c r="D383" s="2" t="s">
        <v>965</v>
      </c>
      <c r="E383" s="3">
        <v>350</v>
      </c>
      <c r="F383" s="3">
        <v>75</v>
      </c>
      <c r="G383" s="4">
        <v>44999</v>
      </c>
    </row>
    <row r="384" spans="1:18">
      <c r="C384" s="2" t="s">
        <v>18</v>
      </c>
      <c r="D384" s="2" t="s">
        <v>815</v>
      </c>
      <c r="E384" s="3">
        <v>100</v>
      </c>
      <c r="F384" s="3">
        <v>13</v>
      </c>
      <c r="G384" s="4">
        <v>43682</v>
      </c>
    </row>
    <row r="385" spans="1:11">
      <c r="C385" s="2" t="s">
        <v>18</v>
      </c>
      <c r="D385" s="2" t="s">
        <v>381</v>
      </c>
      <c r="E385" s="3">
        <v>130</v>
      </c>
      <c r="F385" s="3">
        <v>30</v>
      </c>
      <c r="G385" s="4">
        <v>44323</v>
      </c>
    </row>
    <row r="386" spans="1:11">
      <c r="G386" s="4"/>
    </row>
    <row r="387" spans="1:11">
      <c r="A387" s="1">
        <v>23</v>
      </c>
      <c r="B387" s="12" t="s">
        <v>1153</v>
      </c>
      <c r="C387" s="13" t="s">
        <v>986</v>
      </c>
      <c r="D387" s="13" t="s">
        <v>985</v>
      </c>
      <c r="E387" s="15"/>
      <c r="F387" s="15">
        <f>SUM(F388:F398)</f>
        <v>259</v>
      </c>
      <c r="G387" s="14">
        <f>G397</f>
        <v>45091</v>
      </c>
      <c r="I387" s="12">
        <v>6500</v>
      </c>
      <c r="J387" s="22">
        <f>+F387/I387</f>
        <v>3.9846153846153844E-2</v>
      </c>
      <c r="K387" s="12">
        <v>2020</v>
      </c>
    </row>
    <row r="388" spans="1:11">
      <c r="B388" s="12"/>
      <c r="C388" s="2" t="s">
        <v>7</v>
      </c>
      <c r="D388" s="2" t="s">
        <v>965</v>
      </c>
      <c r="E388" s="3">
        <v>350</v>
      </c>
      <c r="F388" s="3">
        <v>20</v>
      </c>
      <c r="G388" s="4">
        <v>44999</v>
      </c>
    </row>
    <row r="389" spans="1:11">
      <c r="B389" s="12"/>
      <c r="C389" s="2" t="s">
        <v>5</v>
      </c>
      <c r="D389" s="2" t="s">
        <v>965</v>
      </c>
      <c r="E389" s="3">
        <v>65</v>
      </c>
      <c r="F389" s="3">
        <v>25</v>
      </c>
      <c r="G389" s="4">
        <v>44679</v>
      </c>
    </row>
    <row r="390" spans="1:11">
      <c r="C390" s="2" t="s">
        <v>18</v>
      </c>
      <c r="D390" s="2" t="s">
        <v>940</v>
      </c>
      <c r="E390" s="3">
        <v>100</v>
      </c>
      <c r="F390" s="3">
        <v>9</v>
      </c>
      <c r="G390" s="4">
        <v>44690</v>
      </c>
    </row>
    <row r="391" spans="1:11">
      <c r="C391" s="2" t="s">
        <v>7</v>
      </c>
      <c r="D391" s="2" t="s">
        <v>940</v>
      </c>
      <c r="E391" s="3">
        <v>40</v>
      </c>
      <c r="F391" s="3">
        <v>7</v>
      </c>
      <c r="G391" s="4">
        <v>44327</v>
      </c>
    </row>
    <row r="392" spans="1:11">
      <c r="C392" s="2" t="s">
        <v>18</v>
      </c>
      <c r="D392" s="2" t="s">
        <v>1087</v>
      </c>
      <c r="E392" s="3">
        <v>85</v>
      </c>
      <c r="F392" s="3">
        <v>10</v>
      </c>
      <c r="G392" s="4">
        <v>44501</v>
      </c>
    </row>
    <row r="393" spans="1:11">
      <c r="C393" s="2" t="s">
        <v>7</v>
      </c>
      <c r="D393" s="2" t="s">
        <v>1087</v>
      </c>
      <c r="E393" s="3">
        <v>28</v>
      </c>
      <c r="F393" s="3">
        <v>18</v>
      </c>
      <c r="G393" s="4">
        <v>44272</v>
      </c>
    </row>
    <row r="394" spans="1:11">
      <c r="C394" s="2" t="s">
        <v>18</v>
      </c>
      <c r="D394" s="2" t="s">
        <v>890</v>
      </c>
      <c r="E394" s="3">
        <v>85</v>
      </c>
      <c r="F394" s="3">
        <v>20</v>
      </c>
      <c r="G394" s="4">
        <v>44417</v>
      </c>
    </row>
    <row r="395" spans="1:11">
      <c r="C395" s="2" t="s">
        <v>1061</v>
      </c>
      <c r="D395" s="2" t="s">
        <v>844</v>
      </c>
      <c r="E395" s="3">
        <v>99</v>
      </c>
      <c r="F395" s="3">
        <v>30</v>
      </c>
      <c r="G395" s="4">
        <v>44796</v>
      </c>
    </row>
    <row r="396" spans="1:11">
      <c r="C396" s="2" t="s">
        <v>1145</v>
      </c>
      <c r="D396" s="2" t="s">
        <v>844</v>
      </c>
      <c r="E396" s="3">
        <v>100</v>
      </c>
      <c r="F396" s="3">
        <v>30</v>
      </c>
      <c r="G396" s="4">
        <v>44537</v>
      </c>
    </row>
    <row r="397" spans="1:11">
      <c r="C397" s="2" t="s">
        <v>8</v>
      </c>
      <c r="D397" s="2" t="s">
        <v>317</v>
      </c>
      <c r="E397" s="3">
        <v>69</v>
      </c>
      <c r="F397" s="3">
        <v>50</v>
      </c>
      <c r="G397" s="4">
        <v>45091</v>
      </c>
    </row>
    <row r="398" spans="1:11">
      <c r="C398" s="2" t="s">
        <v>18</v>
      </c>
      <c r="D398" s="2" t="s">
        <v>317</v>
      </c>
      <c r="E398" s="3">
        <v>110</v>
      </c>
      <c r="F398" s="3">
        <v>40</v>
      </c>
      <c r="G398" s="4">
        <v>44369</v>
      </c>
    </row>
    <row r="399" spans="1:11">
      <c r="G399" s="4"/>
    </row>
    <row r="400" spans="1:11">
      <c r="A400" s="1">
        <v>24</v>
      </c>
      <c r="B400" s="12" t="s">
        <v>1152</v>
      </c>
      <c r="C400" s="13" t="s">
        <v>986</v>
      </c>
      <c r="D400" s="13" t="s">
        <v>985</v>
      </c>
      <c r="F400" s="15">
        <f>SUM(F401:F413)</f>
        <v>256.42857142857144</v>
      </c>
      <c r="G400" s="14">
        <f>G401</f>
        <v>44796</v>
      </c>
    </row>
    <row r="401" spans="2:18">
      <c r="C401" s="2" t="s">
        <v>1061</v>
      </c>
      <c r="D401" s="2" t="s">
        <v>844</v>
      </c>
      <c r="E401" s="3">
        <v>99</v>
      </c>
      <c r="F401" s="3">
        <v>30</v>
      </c>
      <c r="G401" s="4">
        <v>44796</v>
      </c>
    </row>
    <row r="402" spans="2:18">
      <c r="C402" s="2" t="s">
        <v>1145</v>
      </c>
      <c r="D402" s="2" t="s">
        <v>844</v>
      </c>
      <c r="E402" s="3">
        <v>100</v>
      </c>
      <c r="F402" s="3">
        <f>40/3</f>
        <v>13.333333333333334</v>
      </c>
      <c r="G402" s="4">
        <v>44537</v>
      </c>
    </row>
    <row r="403" spans="2:18">
      <c r="C403" s="2" t="s">
        <v>7</v>
      </c>
      <c r="D403" s="2" t="s">
        <v>844</v>
      </c>
      <c r="E403" s="3">
        <v>40</v>
      </c>
      <c r="F403" s="3">
        <f>20/3</f>
        <v>6.666666666666667</v>
      </c>
      <c r="G403" s="4">
        <v>44125</v>
      </c>
    </row>
    <row r="404" spans="2:18">
      <c r="C404" s="2" t="s">
        <v>5</v>
      </c>
      <c r="D404" s="2" t="s">
        <v>844</v>
      </c>
      <c r="E404" s="3">
        <v>20</v>
      </c>
      <c r="F404" s="3">
        <f>12/6</f>
        <v>2</v>
      </c>
      <c r="G404" s="4">
        <v>43816</v>
      </c>
    </row>
    <row r="405" spans="2:18">
      <c r="C405" s="2" t="s">
        <v>5</v>
      </c>
      <c r="D405" s="2" t="s">
        <v>712</v>
      </c>
      <c r="E405" s="3">
        <v>50</v>
      </c>
      <c r="F405" s="3">
        <v>10</v>
      </c>
      <c r="G405" s="4">
        <v>44796</v>
      </c>
    </row>
    <row r="406" spans="2:18">
      <c r="C406" s="2" t="s">
        <v>5</v>
      </c>
      <c r="D406" s="2" t="s">
        <v>526</v>
      </c>
      <c r="E406" s="3">
        <v>14.5</v>
      </c>
      <c r="F406" s="3">
        <v>3</v>
      </c>
      <c r="G406" s="4">
        <v>43389</v>
      </c>
    </row>
    <row r="407" spans="2:18">
      <c r="C407" s="2" t="s">
        <v>9</v>
      </c>
      <c r="D407" s="2" t="s">
        <v>498</v>
      </c>
      <c r="E407" s="3">
        <v>206</v>
      </c>
      <c r="F407" s="3">
        <v>14</v>
      </c>
      <c r="G407" s="4">
        <v>43725</v>
      </c>
    </row>
    <row r="408" spans="2:18">
      <c r="C408" s="2" t="s">
        <v>8</v>
      </c>
      <c r="D408" s="2" t="s">
        <v>498</v>
      </c>
      <c r="E408" s="3">
        <v>100</v>
      </c>
      <c r="F408" s="3">
        <v>15</v>
      </c>
      <c r="G408" s="4">
        <v>43397</v>
      </c>
    </row>
    <row r="409" spans="2:18">
      <c r="C409" s="2" t="s">
        <v>4</v>
      </c>
      <c r="D409" s="2" t="s">
        <v>339</v>
      </c>
      <c r="E409" s="3">
        <v>5</v>
      </c>
      <c r="F409" s="3">
        <v>1</v>
      </c>
      <c r="G409" s="4">
        <v>43990</v>
      </c>
    </row>
    <row r="410" spans="2:18">
      <c r="C410" s="2" t="s">
        <v>5</v>
      </c>
      <c r="D410" s="2" t="s">
        <v>320</v>
      </c>
      <c r="E410" s="3">
        <v>57</v>
      </c>
      <c r="F410" s="3">
        <v>6</v>
      </c>
      <c r="G410" s="4">
        <v>44508</v>
      </c>
    </row>
    <row r="411" spans="2:18">
      <c r="C411" s="2" t="s">
        <v>8</v>
      </c>
      <c r="D411" s="2" t="s">
        <v>215</v>
      </c>
      <c r="E411" s="3">
        <v>676</v>
      </c>
      <c r="F411" s="3">
        <f>500/7</f>
        <v>71.428571428571431</v>
      </c>
      <c r="G411" s="4">
        <v>44299</v>
      </c>
      <c r="I411" s="1">
        <v>4400</v>
      </c>
    </row>
    <row r="412" spans="2:18">
      <c r="C412" s="2" t="s">
        <v>18</v>
      </c>
      <c r="D412" s="2" t="s">
        <v>215</v>
      </c>
      <c r="E412" s="3">
        <v>250</v>
      </c>
      <c r="F412" s="3">
        <f>170/5</f>
        <v>34</v>
      </c>
      <c r="G412" s="4">
        <v>43886</v>
      </c>
      <c r="I412" s="1">
        <v>2300</v>
      </c>
    </row>
    <row r="413" spans="2:18">
      <c r="C413" s="2" t="s">
        <v>7</v>
      </c>
      <c r="D413" s="2" t="s">
        <v>215</v>
      </c>
      <c r="E413" s="3">
        <v>150</v>
      </c>
      <c r="F413" s="3">
        <v>50</v>
      </c>
      <c r="G413" s="4">
        <v>43556</v>
      </c>
    </row>
    <row r="414" spans="2:18">
      <c r="G414" s="4"/>
    </row>
    <row r="415" spans="2:18">
      <c r="G415" s="4"/>
    </row>
    <row r="416" spans="2:18" s="12" customFormat="1">
      <c r="B416" s="12" t="s">
        <v>1151</v>
      </c>
      <c r="C416" s="13" t="s">
        <v>986</v>
      </c>
      <c r="D416" s="13" t="s">
        <v>985</v>
      </c>
      <c r="E416" s="15"/>
      <c r="F416" s="15">
        <f>SUM(F417:F427)</f>
        <v>218.75</v>
      </c>
      <c r="G416" s="14">
        <f>G417</f>
        <v>44852</v>
      </c>
      <c r="M416" s="13"/>
      <c r="N416" s="13"/>
      <c r="O416" s="13"/>
      <c r="P416" s="13"/>
      <c r="Q416" s="13"/>
      <c r="R416" s="13"/>
    </row>
    <row r="417" spans="1:18">
      <c r="C417" s="2" t="s">
        <v>5</v>
      </c>
      <c r="D417" s="2" t="s">
        <v>775</v>
      </c>
      <c r="E417" s="3">
        <v>125</v>
      </c>
      <c r="F417" s="3">
        <v>15</v>
      </c>
      <c r="G417" s="4">
        <v>44852</v>
      </c>
    </row>
    <row r="418" spans="1:18">
      <c r="C418" s="2" t="s">
        <v>55</v>
      </c>
      <c r="D418" s="2" t="s">
        <v>181</v>
      </c>
      <c r="E418" s="3">
        <v>475</v>
      </c>
      <c r="F418" s="3">
        <v>40</v>
      </c>
      <c r="G418" s="4">
        <v>44278</v>
      </c>
    </row>
    <row r="419" spans="1:18">
      <c r="C419" s="2" t="s">
        <v>8</v>
      </c>
      <c r="D419" s="2" t="s">
        <v>181</v>
      </c>
      <c r="E419" s="3">
        <v>130</v>
      </c>
      <c r="F419" s="3">
        <v>12</v>
      </c>
      <c r="G419" s="4">
        <v>42080</v>
      </c>
      <c r="I419" s="1">
        <v>570</v>
      </c>
    </row>
    <row r="420" spans="1:18">
      <c r="C420" s="2" t="s">
        <v>18</v>
      </c>
      <c r="D420" s="2" t="s">
        <v>181</v>
      </c>
      <c r="E420" s="3">
        <v>34</v>
      </c>
      <c r="F420" s="3">
        <v>20</v>
      </c>
      <c r="G420" s="4">
        <v>41437</v>
      </c>
    </row>
    <row r="421" spans="1:18">
      <c r="C421" s="2" t="s">
        <v>9</v>
      </c>
      <c r="D421" s="2" t="s">
        <v>41</v>
      </c>
      <c r="E421" s="3">
        <v>230</v>
      </c>
      <c r="F421" s="3">
        <v>24</v>
      </c>
      <c r="G421" s="4">
        <v>44984</v>
      </c>
      <c r="I421" s="1">
        <v>2000</v>
      </c>
      <c r="J421" s="1">
        <v>2000</v>
      </c>
    </row>
    <row r="422" spans="1:18">
      <c r="C422" s="2" t="s">
        <v>8</v>
      </c>
      <c r="D422" s="2" t="s">
        <v>41</v>
      </c>
      <c r="E422" s="3">
        <v>170</v>
      </c>
      <c r="F422" s="3">
        <v>22</v>
      </c>
      <c r="G422" s="4">
        <v>44255</v>
      </c>
      <c r="I422" s="1">
        <v>830</v>
      </c>
      <c r="J422" s="1">
        <v>2000</v>
      </c>
    </row>
    <row r="423" spans="1:18">
      <c r="C423" s="2" t="s">
        <v>18</v>
      </c>
      <c r="D423" s="2" t="s">
        <v>41</v>
      </c>
      <c r="E423" s="3">
        <v>100</v>
      </c>
      <c r="F423" s="3">
        <v>15</v>
      </c>
      <c r="G423" s="4">
        <v>44025</v>
      </c>
      <c r="J423" s="1">
        <v>2000</v>
      </c>
    </row>
    <row r="424" spans="1:18">
      <c r="C424" s="2" t="s">
        <v>7</v>
      </c>
      <c r="D424" s="2" t="s">
        <v>41</v>
      </c>
      <c r="E424" s="3">
        <v>42</v>
      </c>
      <c r="F424" s="3">
        <v>10</v>
      </c>
      <c r="G424" s="4">
        <v>43144</v>
      </c>
      <c r="J424" s="1">
        <v>2000</v>
      </c>
    </row>
    <row r="425" spans="1:18">
      <c r="C425" s="2" t="s">
        <v>9</v>
      </c>
      <c r="D425" s="2" t="s">
        <v>54</v>
      </c>
      <c r="E425" s="3">
        <v>220</v>
      </c>
      <c r="F425" s="3">
        <v>28</v>
      </c>
      <c r="G425" s="4">
        <v>44357</v>
      </c>
      <c r="I425" s="1">
        <v>1900</v>
      </c>
      <c r="J425" s="1">
        <v>1900</v>
      </c>
    </row>
    <row r="426" spans="1:18">
      <c r="C426" s="2" t="s">
        <v>8</v>
      </c>
      <c r="D426" s="2" t="s">
        <v>54</v>
      </c>
      <c r="E426" s="3">
        <v>125</v>
      </c>
      <c r="F426" s="3">
        <v>18.75</v>
      </c>
      <c r="G426" s="4">
        <v>44131</v>
      </c>
      <c r="I426" s="1">
        <v>875</v>
      </c>
      <c r="J426" s="1">
        <v>1900</v>
      </c>
    </row>
    <row r="427" spans="1:18">
      <c r="C427" s="2" t="s">
        <v>18</v>
      </c>
      <c r="D427" s="2" t="s">
        <v>54</v>
      </c>
      <c r="E427" s="3">
        <v>28</v>
      </c>
      <c r="F427" s="3">
        <v>14</v>
      </c>
      <c r="G427" s="4">
        <v>43579</v>
      </c>
      <c r="J427" s="1">
        <v>1900</v>
      </c>
    </row>
    <row r="428" spans="1:18">
      <c r="G428" s="4"/>
    </row>
    <row r="429" spans="1:18" s="12" customFormat="1">
      <c r="A429" s="12">
        <v>28</v>
      </c>
      <c r="B429" s="12" t="s">
        <v>1147</v>
      </c>
      <c r="C429" s="13" t="s">
        <v>986</v>
      </c>
      <c r="D429" s="13" t="s">
        <v>985</v>
      </c>
      <c r="E429" s="15"/>
      <c r="F429" s="15">
        <f>SUM(F430:F438)</f>
        <v>226.21428571428572</v>
      </c>
      <c r="G429" s="14">
        <f>G435</f>
        <v>44515</v>
      </c>
    </row>
    <row r="430" spans="1:18">
      <c r="C430" s="2" t="s">
        <v>18</v>
      </c>
      <c r="D430" s="2" t="s">
        <v>896</v>
      </c>
      <c r="E430" s="3">
        <v>200</v>
      </c>
      <c r="F430" s="3">
        <f>100/5</f>
        <v>20</v>
      </c>
      <c r="G430" s="4">
        <v>44377</v>
      </c>
      <c r="M430" s="1"/>
      <c r="N430" s="1"/>
      <c r="O430" s="1"/>
      <c r="P430" s="1"/>
      <c r="Q430" s="1"/>
      <c r="R430" s="1"/>
    </row>
    <row r="431" spans="1:18">
      <c r="C431" s="2" t="s">
        <v>7</v>
      </c>
      <c r="D431" s="2" t="s">
        <v>896</v>
      </c>
      <c r="E431" s="3">
        <v>75</v>
      </c>
      <c r="F431" s="3">
        <v>20</v>
      </c>
      <c r="G431" s="4">
        <v>43783</v>
      </c>
      <c r="M431" s="1"/>
      <c r="N431" s="1"/>
      <c r="O431" s="1"/>
      <c r="P431" s="1"/>
      <c r="Q431" s="1"/>
      <c r="R431" s="1"/>
    </row>
    <row r="432" spans="1:18">
      <c r="C432" s="2" t="s">
        <v>55</v>
      </c>
      <c r="D432" s="2" t="s">
        <v>498</v>
      </c>
      <c r="E432" s="3">
        <v>270</v>
      </c>
      <c r="F432" s="3">
        <v>22</v>
      </c>
      <c r="G432" s="4">
        <v>44152</v>
      </c>
      <c r="M432" s="1"/>
      <c r="N432" s="1"/>
      <c r="O432" s="1"/>
      <c r="P432" s="1"/>
      <c r="Q432" s="1"/>
      <c r="R432" s="1"/>
    </row>
    <row r="433" spans="2:18">
      <c r="C433" s="2" t="s">
        <v>9</v>
      </c>
      <c r="D433" s="2" t="s">
        <v>498</v>
      </c>
      <c r="E433" s="3">
        <v>206</v>
      </c>
      <c r="F433" s="3">
        <v>36</v>
      </c>
      <c r="G433" s="4">
        <v>43725</v>
      </c>
      <c r="M433" s="1"/>
      <c r="N433" s="1"/>
      <c r="O433" s="1"/>
      <c r="P433" s="1"/>
      <c r="Q433" s="1"/>
      <c r="R433" s="1"/>
    </row>
    <row r="434" spans="2:18">
      <c r="C434" s="2" t="s">
        <v>8</v>
      </c>
      <c r="D434" s="2" t="s">
        <v>498</v>
      </c>
      <c r="E434" s="3">
        <v>100</v>
      </c>
      <c r="F434" s="3">
        <v>20</v>
      </c>
      <c r="G434" s="4">
        <v>43397</v>
      </c>
      <c r="M434" s="1"/>
      <c r="N434" s="1"/>
      <c r="O434" s="1"/>
      <c r="P434" s="1"/>
      <c r="Q434" s="1"/>
      <c r="R434" s="1"/>
    </row>
    <row r="435" spans="2:18">
      <c r="C435" s="2" t="s">
        <v>55</v>
      </c>
      <c r="D435" s="2" t="s">
        <v>49</v>
      </c>
      <c r="E435" s="3">
        <v>100</v>
      </c>
      <c r="F435" s="3">
        <f>75/7</f>
        <v>10.714285714285714</v>
      </c>
      <c r="G435" s="4">
        <v>44515</v>
      </c>
      <c r="I435" s="1">
        <v>4100</v>
      </c>
      <c r="J435" s="1">
        <v>4100</v>
      </c>
      <c r="M435" s="1"/>
      <c r="N435" s="1"/>
      <c r="O435" s="1"/>
      <c r="P435" s="1"/>
      <c r="Q435" s="1"/>
      <c r="R435" s="1"/>
    </row>
    <row r="436" spans="2:18">
      <c r="C436" s="2" t="s">
        <v>9</v>
      </c>
      <c r="D436" s="2" t="s">
        <v>49</v>
      </c>
      <c r="E436" s="3">
        <v>248</v>
      </c>
      <c r="F436" s="3">
        <v>37.5</v>
      </c>
      <c r="G436" s="4">
        <v>43678</v>
      </c>
      <c r="I436" s="1">
        <v>1700</v>
      </c>
      <c r="J436" s="1">
        <v>4100</v>
      </c>
      <c r="M436" s="1"/>
      <c r="N436" s="1"/>
      <c r="O436" s="1"/>
      <c r="P436" s="1"/>
      <c r="Q436" s="1"/>
      <c r="R436" s="1"/>
    </row>
    <row r="437" spans="2:18">
      <c r="C437" s="2" t="s">
        <v>8</v>
      </c>
      <c r="D437" s="2" t="s">
        <v>49</v>
      </c>
      <c r="E437" s="3">
        <v>145</v>
      </c>
      <c r="F437" s="3">
        <v>30</v>
      </c>
      <c r="G437" s="4">
        <v>43228</v>
      </c>
      <c r="I437" s="1">
        <v>855</v>
      </c>
      <c r="J437" s="1">
        <v>4100</v>
      </c>
      <c r="M437" s="1"/>
      <c r="N437" s="1"/>
      <c r="O437" s="1"/>
      <c r="P437" s="1"/>
      <c r="Q437" s="1"/>
      <c r="R437" s="1"/>
    </row>
    <row r="438" spans="2:18">
      <c r="C438" s="2" t="s">
        <v>18</v>
      </c>
      <c r="D438" s="2" t="s">
        <v>2178</v>
      </c>
      <c r="E438" s="3">
        <v>200</v>
      </c>
      <c r="F438" s="3">
        <v>30</v>
      </c>
      <c r="G438" s="4">
        <v>44557</v>
      </c>
      <c r="M438" s="1"/>
      <c r="N438" s="1"/>
      <c r="O438" s="1"/>
      <c r="P438" s="1"/>
      <c r="Q438" s="1"/>
      <c r="R438" s="1"/>
    </row>
    <row r="439" spans="2:18">
      <c r="G439" s="4"/>
      <c r="M439" s="1"/>
      <c r="N439" s="1"/>
      <c r="O439" s="1"/>
      <c r="P439" s="1"/>
      <c r="Q439" s="1"/>
      <c r="R439" s="1"/>
    </row>
    <row r="440" spans="2:18">
      <c r="B440" s="12" t="s">
        <v>1108</v>
      </c>
      <c r="C440" s="13" t="s">
        <v>986</v>
      </c>
      <c r="D440" s="13" t="s">
        <v>985</v>
      </c>
      <c r="E440" s="15"/>
      <c r="F440" s="15">
        <f>SUM(F441:F448)</f>
        <v>220.25</v>
      </c>
      <c r="G440" s="14">
        <f>G441</f>
        <v>44299</v>
      </c>
    </row>
    <row r="441" spans="2:18">
      <c r="C441" s="2" t="s">
        <v>9</v>
      </c>
      <c r="D441" s="2" t="s">
        <v>815</v>
      </c>
      <c r="E441" s="3">
        <v>325</v>
      </c>
      <c r="F441" s="3">
        <v>18.5</v>
      </c>
      <c r="G441" s="4">
        <v>44299</v>
      </c>
    </row>
    <row r="442" spans="2:18">
      <c r="C442" s="2" t="s">
        <v>18</v>
      </c>
      <c r="D442" s="2" t="s">
        <v>815</v>
      </c>
      <c r="E442" s="3">
        <v>100</v>
      </c>
      <c r="F442" s="3">
        <v>35</v>
      </c>
      <c r="G442" s="4">
        <v>43682</v>
      </c>
    </row>
    <row r="443" spans="2:18">
      <c r="C443" s="2" t="s">
        <v>5</v>
      </c>
      <c r="D443" s="2" t="s">
        <v>712</v>
      </c>
      <c r="E443" s="3">
        <v>50</v>
      </c>
      <c r="F443" s="3">
        <f>30/12</f>
        <v>2.5</v>
      </c>
      <c r="G443" s="4">
        <v>44796</v>
      </c>
    </row>
    <row r="444" spans="2:18">
      <c r="C444" s="2" t="s">
        <v>5</v>
      </c>
      <c r="D444" s="2" t="s">
        <v>1107</v>
      </c>
      <c r="E444" s="3">
        <v>25</v>
      </c>
      <c r="F444" s="3">
        <v>10</v>
      </c>
      <c r="G444" s="4">
        <v>44679</v>
      </c>
    </row>
    <row r="445" spans="2:18">
      <c r="C445" s="2" t="s">
        <v>4</v>
      </c>
      <c r="D445" s="2" t="s">
        <v>1107</v>
      </c>
      <c r="E445" s="3">
        <v>3</v>
      </c>
      <c r="F445" s="3">
        <v>1</v>
      </c>
      <c r="G445" s="4">
        <v>44197</v>
      </c>
    </row>
    <row r="446" spans="2:18">
      <c r="C446" s="2" t="s">
        <v>7</v>
      </c>
      <c r="D446" s="2" t="s">
        <v>822</v>
      </c>
      <c r="E446" s="3">
        <v>27</v>
      </c>
      <c r="F446" s="3">
        <v>10</v>
      </c>
      <c r="G446" s="4">
        <v>44882</v>
      </c>
    </row>
    <row r="447" spans="2:18">
      <c r="C447" s="2" t="s">
        <v>8</v>
      </c>
      <c r="D447" s="2" t="s">
        <v>4043</v>
      </c>
      <c r="E447" s="3">
        <v>90</v>
      </c>
      <c r="F447" s="3">
        <v>45</v>
      </c>
      <c r="G447" s="4">
        <v>40354</v>
      </c>
      <c r="I447" s="1">
        <v>645</v>
      </c>
      <c r="J447" s="1">
        <v>32500</v>
      </c>
    </row>
    <row r="448" spans="2:18">
      <c r="C448" s="2" t="s">
        <v>2539</v>
      </c>
      <c r="D448" s="2" t="s">
        <v>4043</v>
      </c>
      <c r="E448" s="3">
        <v>196.5</v>
      </c>
      <c r="F448" s="3">
        <f>E448/2</f>
        <v>98.25</v>
      </c>
      <c r="G448" s="4">
        <v>41544</v>
      </c>
      <c r="I448" s="1">
        <v>8000</v>
      </c>
      <c r="J448" s="1">
        <v>32500</v>
      </c>
    </row>
    <row r="449" spans="1:18">
      <c r="G449" s="4"/>
    </row>
    <row r="450" spans="1:18" s="12" customFormat="1">
      <c r="A450" s="12">
        <v>25</v>
      </c>
      <c r="B450" s="12" t="s">
        <v>1150</v>
      </c>
      <c r="C450" s="13" t="s">
        <v>986</v>
      </c>
      <c r="D450" s="13" t="s">
        <v>985</v>
      </c>
      <c r="E450" s="15"/>
      <c r="F450" s="15">
        <f>SUM(F451:F458)</f>
        <v>216.19444444444446</v>
      </c>
      <c r="G450" s="14">
        <f>G451</f>
        <v>45069</v>
      </c>
      <c r="I450" s="13" t="s">
        <v>1</v>
      </c>
      <c r="J450" s="13" t="s">
        <v>1</v>
      </c>
      <c r="K450" s="13" t="s">
        <v>1</v>
      </c>
      <c r="M450" s="13"/>
      <c r="N450" s="13"/>
      <c r="O450" s="13"/>
      <c r="P450" s="13"/>
      <c r="Q450" s="13"/>
      <c r="R450" s="13"/>
    </row>
    <row r="451" spans="1:18">
      <c r="C451" s="2" t="s">
        <v>18</v>
      </c>
      <c r="D451" s="2" t="s">
        <v>981</v>
      </c>
      <c r="E451" s="3">
        <v>450</v>
      </c>
      <c r="F451" s="3">
        <f>300/5</f>
        <v>60</v>
      </c>
      <c r="G451" s="4">
        <v>45069</v>
      </c>
    </row>
    <row r="452" spans="1:18">
      <c r="C452" s="2" t="s">
        <v>18</v>
      </c>
      <c r="D452" s="2" t="s">
        <v>969</v>
      </c>
      <c r="E452" s="3">
        <v>270</v>
      </c>
      <c r="F452" s="3">
        <f>220/9</f>
        <v>24.444444444444443</v>
      </c>
      <c r="G452" s="4">
        <v>45048</v>
      </c>
    </row>
    <row r="453" spans="1:18">
      <c r="C453" s="2" t="s">
        <v>4</v>
      </c>
      <c r="D453" s="2" t="s">
        <v>662</v>
      </c>
      <c r="E453" s="3">
        <v>12.3</v>
      </c>
      <c r="F453" s="3">
        <v>3</v>
      </c>
      <c r="G453" s="4">
        <v>44622</v>
      </c>
    </row>
    <row r="454" spans="1:18">
      <c r="C454" s="2" t="s">
        <v>513</v>
      </c>
      <c r="D454" s="2" t="s">
        <v>498</v>
      </c>
      <c r="E454" s="3">
        <v>250</v>
      </c>
      <c r="F454" s="3">
        <v>30</v>
      </c>
      <c r="G454" s="4">
        <v>44376</v>
      </c>
    </row>
    <row r="455" spans="1:18">
      <c r="C455" s="2" t="s">
        <v>55</v>
      </c>
      <c r="D455" s="2" t="s">
        <v>498</v>
      </c>
      <c r="E455" s="3">
        <v>50</v>
      </c>
      <c r="F455" s="3">
        <v>10</v>
      </c>
      <c r="G455" s="4">
        <v>44174</v>
      </c>
    </row>
    <row r="456" spans="1:18">
      <c r="C456" s="2" t="s">
        <v>9</v>
      </c>
      <c r="D456" s="2" t="s">
        <v>57</v>
      </c>
      <c r="E456" s="3">
        <v>250</v>
      </c>
      <c r="F456" s="3">
        <v>30</v>
      </c>
      <c r="G456" s="4">
        <v>44350</v>
      </c>
      <c r="I456" s="1">
        <v>7000</v>
      </c>
      <c r="J456" s="1">
        <v>7000</v>
      </c>
    </row>
    <row r="457" spans="1:18">
      <c r="C457" s="2" t="s">
        <v>8</v>
      </c>
      <c r="D457" s="2" t="s">
        <v>57</v>
      </c>
      <c r="E457" s="3">
        <v>200</v>
      </c>
      <c r="F457" s="3">
        <v>18.75</v>
      </c>
      <c r="G457" s="4">
        <v>44055</v>
      </c>
      <c r="I457" s="1">
        <v>2000</v>
      </c>
      <c r="J457" s="1">
        <v>7000</v>
      </c>
    </row>
    <row r="458" spans="1:18">
      <c r="C458" s="2" t="s">
        <v>7</v>
      </c>
      <c r="D458" s="2" t="s">
        <v>1086</v>
      </c>
      <c r="E458" s="3">
        <v>100</v>
      </c>
      <c r="F458" s="3">
        <v>40</v>
      </c>
      <c r="G458" s="4">
        <v>45106</v>
      </c>
    </row>
    <row r="459" spans="1:18">
      <c r="G459" s="4"/>
    </row>
    <row r="460" spans="1:18">
      <c r="A460" s="1">
        <v>26</v>
      </c>
      <c r="B460" s="12" t="s">
        <v>1149</v>
      </c>
      <c r="C460" s="13" t="s">
        <v>986</v>
      </c>
      <c r="D460" s="13" t="s">
        <v>985</v>
      </c>
      <c r="E460" s="15"/>
      <c r="F460" s="15">
        <f>SUM(F461:F467)</f>
        <v>210.5952380952381</v>
      </c>
      <c r="G460" s="14">
        <f>G461</f>
        <v>44417</v>
      </c>
      <c r="I460" s="1" t="s">
        <v>1</v>
      </c>
      <c r="J460" s="1" t="s">
        <v>1</v>
      </c>
      <c r="K460" s="1" t="s">
        <v>1</v>
      </c>
    </row>
    <row r="461" spans="1:18">
      <c r="C461" s="2" t="s">
        <v>18</v>
      </c>
      <c r="D461" s="2" t="s">
        <v>890</v>
      </c>
      <c r="E461" s="3">
        <v>85</v>
      </c>
      <c r="F461" s="3">
        <v>20</v>
      </c>
      <c r="G461" s="4">
        <v>44417</v>
      </c>
    </row>
    <row r="462" spans="1:18">
      <c r="C462" s="2" t="s">
        <v>7</v>
      </c>
      <c r="D462" s="2" t="s">
        <v>890</v>
      </c>
      <c r="E462" s="3">
        <v>35</v>
      </c>
      <c r="F462" s="3">
        <f>25/6</f>
        <v>4.166666666666667</v>
      </c>
      <c r="G462" s="4">
        <v>44293</v>
      </c>
    </row>
    <row r="463" spans="1:18">
      <c r="C463" s="2" t="s">
        <v>55</v>
      </c>
      <c r="D463" s="2" t="s">
        <v>498</v>
      </c>
      <c r="E463" s="3">
        <v>270</v>
      </c>
      <c r="F463" s="3">
        <v>22</v>
      </c>
      <c r="G463" s="4">
        <v>44152</v>
      </c>
    </row>
    <row r="464" spans="1:18">
      <c r="C464" s="2" t="s">
        <v>7</v>
      </c>
      <c r="D464" s="2" t="s">
        <v>484</v>
      </c>
      <c r="E464" s="3">
        <v>90</v>
      </c>
      <c r="F464" s="3">
        <v>6</v>
      </c>
      <c r="G464" s="4">
        <v>44398</v>
      </c>
    </row>
    <row r="465" spans="1:9">
      <c r="C465" s="2" t="s">
        <v>8</v>
      </c>
      <c r="D465" s="2" t="s">
        <v>265</v>
      </c>
      <c r="E465" s="3">
        <v>111</v>
      </c>
      <c r="F465" s="3">
        <v>7</v>
      </c>
      <c r="G465" s="4">
        <v>44622</v>
      </c>
    </row>
    <row r="466" spans="1:9">
      <c r="C466" s="2" t="s">
        <v>8</v>
      </c>
      <c r="D466" s="2" t="s">
        <v>215</v>
      </c>
      <c r="E466" s="3">
        <v>676</v>
      </c>
      <c r="F466" s="3">
        <f>500/7</f>
        <v>71.428571428571431</v>
      </c>
      <c r="G466" s="4">
        <v>44299</v>
      </c>
      <c r="I466" s="1">
        <v>4400</v>
      </c>
    </row>
    <row r="467" spans="1:9">
      <c r="C467" s="2" t="s">
        <v>18</v>
      </c>
      <c r="D467" s="2" t="s">
        <v>215</v>
      </c>
      <c r="E467" s="3">
        <v>250</v>
      </c>
      <c r="F467" s="3">
        <v>80</v>
      </c>
      <c r="G467" s="4">
        <v>43886</v>
      </c>
      <c r="I467" s="1">
        <v>2300</v>
      </c>
    </row>
    <row r="468" spans="1:9">
      <c r="G468" s="4"/>
    </row>
    <row r="469" spans="1:9">
      <c r="A469" s="1">
        <v>27</v>
      </c>
      <c r="B469" s="12" t="s">
        <v>1148</v>
      </c>
      <c r="C469" s="13" t="s">
        <v>986</v>
      </c>
      <c r="D469" s="13" t="s">
        <v>985</v>
      </c>
      <c r="E469" s="15"/>
      <c r="F469" s="15">
        <f>SUM(F470:F478)</f>
        <v>204.5</v>
      </c>
      <c r="G469" s="14">
        <f>G470</f>
        <v>45042</v>
      </c>
    </row>
    <row r="470" spans="1:9">
      <c r="C470" s="2" t="s">
        <v>7</v>
      </c>
      <c r="D470" s="2" t="s">
        <v>1113</v>
      </c>
      <c r="E470" s="3">
        <v>100</v>
      </c>
      <c r="F470" s="3">
        <v>5</v>
      </c>
      <c r="G470" s="4">
        <v>45042</v>
      </c>
    </row>
    <row r="471" spans="1:9">
      <c r="C471" s="2" t="s">
        <v>18</v>
      </c>
      <c r="D471" s="2" t="s">
        <v>896</v>
      </c>
      <c r="E471" s="3">
        <v>200</v>
      </c>
      <c r="F471" s="3">
        <v>20</v>
      </c>
      <c r="G471" s="4">
        <v>44377</v>
      </c>
    </row>
    <row r="472" spans="1:9">
      <c r="C472" s="2" t="s">
        <v>7</v>
      </c>
      <c r="D472" s="2" t="s">
        <v>896</v>
      </c>
      <c r="E472" s="3">
        <v>75</v>
      </c>
      <c r="F472" s="3">
        <v>20</v>
      </c>
      <c r="G472" s="4">
        <v>43783</v>
      </c>
    </row>
    <row r="473" spans="1:9">
      <c r="C473" s="2" t="s">
        <v>8</v>
      </c>
      <c r="D473" s="2" t="s">
        <v>530</v>
      </c>
      <c r="E473" s="3">
        <v>100</v>
      </c>
      <c r="F473" s="3">
        <f>50/4</f>
        <v>12.5</v>
      </c>
      <c r="G473" s="4">
        <v>44419</v>
      </c>
    </row>
    <row r="474" spans="1:9">
      <c r="C474" s="2" t="s">
        <v>18</v>
      </c>
      <c r="D474" s="2" t="s">
        <v>530</v>
      </c>
      <c r="E474" s="3">
        <v>60</v>
      </c>
      <c r="F474" s="3">
        <v>20</v>
      </c>
      <c r="G474" s="4">
        <v>43606</v>
      </c>
    </row>
    <row r="475" spans="1:9">
      <c r="C475" s="2" t="s">
        <v>9</v>
      </c>
      <c r="D475" s="2" t="s">
        <v>159</v>
      </c>
      <c r="E475" s="3">
        <v>400</v>
      </c>
      <c r="F475" s="3">
        <v>36</v>
      </c>
      <c r="G475" s="4">
        <v>44413</v>
      </c>
    </row>
    <row r="476" spans="1:9">
      <c r="C476" s="2" t="s">
        <v>8</v>
      </c>
      <c r="D476" s="2" t="s">
        <v>159</v>
      </c>
      <c r="E476" s="3">
        <v>100</v>
      </c>
      <c r="F476" s="3">
        <f>75/6</f>
        <v>12.5</v>
      </c>
      <c r="G476" s="4">
        <v>44067</v>
      </c>
    </row>
    <row r="477" spans="1:9">
      <c r="C477" s="2" t="s">
        <v>18</v>
      </c>
      <c r="D477" s="2" t="s">
        <v>159</v>
      </c>
      <c r="E477" s="3">
        <v>101</v>
      </c>
      <c r="F477" s="3">
        <v>41</v>
      </c>
      <c r="G477" s="4">
        <v>43453</v>
      </c>
    </row>
    <row r="478" spans="1:9">
      <c r="C478" s="2" t="s">
        <v>8</v>
      </c>
      <c r="D478" s="2" t="s">
        <v>59</v>
      </c>
      <c r="E478" s="3">
        <v>250</v>
      </c>
      <c r="F478" s="3">
        <f>150/4</f>
        <v>37.5</v>
      </c>
      <c r="G478" s="4">
        <v>45069</v>
      </c>
    </row>
    <row r="479" spans="1:9">
      <c r="G479" s="4"/>
    </row>
    <row r="480" spans="1:9">
      <c r="B480" s="12" t="s">
        <v>1146</v>
      </c>
      <c r="C480" s="13" t="s">
        <v>986</v>
      </c>
      <c r="D480" s="13" t="s">
        <v>985</v>
      </c>
      <c r="F480" s="15">
        <f>SUM(F481:F500)</f>
        <v>195.2876984126984</v>
      </c>
      <c r="G480" s="14">
        <f>G481</f>
        <v>44852</v>
      </c>
    </row>
    <row r="481" spans="3:10">
      <c r="C481" s="2" t="s">
        <v>5</v>
      </c>
      <c r="D481" s="2" t="s">
        <v>775</v>
      </c>
      <c r="E481" s="3">
        <v>125</v>
      </c>
      <c r="F481" s="3">
        <v>15</v>
      </c>
      <c r="G481" s="4">
        <v>44852</v>
      </c>
    </row>
    <row r="482" spans="3:10">
      <c r="C482" s="2" t="s">
        <v>4</v>
      </c>
      <c r="D482" s="2" t="s">
        <v>775</v>
      </c>
      <c r="E482" s="3">
        <v>6</v>
      </c>
      <c r="F482" s="3">
        <v>4</v>
      </c>
      <c r="G482" s="4">
        <v>44352</v>
      </c>
    </row>
    <row r="483" spans="3:10">
      <c r="C483" s="2" t="s">
        <v>1061</v>
      </c>
      <c r="D483" s="2" t="s">
        <v>844</v>
      </c>
      <c r="E483" s="3">
        <v>99</v>
      </c>
      <c r="F483" s="3">
        <v>20</v>
      </c>
      <c r="G483" s="4">
        <v>44796</v>
      </c>
    </row>
    <row r="484" spans="3:10">
      <c r="C484" s="2" t="s">
        <v>1145</v>
      </c>
      <c r="D484" s="2" t="s">
        <v>844</v>
      </c>
      <c r="E484" s="3">
        <v>100</v>
      </c>
      <c r="F484" s="3">
        <f>40/3</f>
        <v>13.333333333333334</v>
      </c>
      <c r="G484" s="4">
        <v>44537</v>
      </c>
    </row>
    <row r="485" spans="3:10">
      <c r="C485" s="2" t="s">
        <v>7</v>
      </c>
      <c r="D485" s="2" t="s">
        <v>844</v>
      </c>
      <c r="E485" s="3">
        <v>40</v>
      </c>
      <c r="F485" s="3">
        <v>8</v>
      </c>
      <c r="G485" s="4">
        <v>44125</v>
      </c>
    </row>
    <row r="486" spans="3:10">
      <c r="C486" s="2" t="s">
        <v>7</v>
      </c>
      <c r="D486" s="2" t="s">
        <v>1001</v>
      </c>
      <c r="E486" s="3">
        <v>38</v>
      </c>
      <c r="F486" s="3">
        <f>20/3</f>
        <v>6.666666666666667</v>
      </c>
      <c r="G486" s="4">
        <v>44812</v>
      </c>
    </row>
    <row r="487" spans="3:10">
      <c r="C487" s="2" t="s">
        <v>5</v>
      </c>
      <c r="D487" s="2" t="s">
        <v>1001</v>
      </c>
      <c r="E487" s="3">
        <v>19</v>
      </c>
      <c r="F487" s="3">
        <v>3.5</v>
      </c>
      <c r="G487" s="4">
        <v>44467</v>
      </c>
    </row>
    <row r="488" spans="3:10">
      <c r="C488" s="2" t="s">
        <v>4</v>
      </c>
      <c r="D488" s="2" t="s">
        <v>1001</v>
      </c>
      <c r="E488" s="3">
        <v>4</v>
      </c>
      <c r="F488" s="3">
        <v>2</v>
      </c>
      <c r="G488" s="4">
        <v>43873</v>
      </c>
    </row>
    <row r="489" spans="3:10">
      <c r="C489" s="2" t="s">
        <v>4</v>
      </c>
      <c r="D489" s="2" t="s">
        <v>265</v>
      </c>
      <c r="E489" s="3">
        <v>3.5</v>
      </c>
      <c r="F489" s="3">
        <f>+E489/9</f>
        <v>0.3888888888888889</v>
      </c>
      <c r="G489" s="4">
        <v>42979</v>
      </c>
    </row>
    <row r="490" spans="3:10">
      <c r="C490" s="2" t="s">
        <v>4</v>
      </c>
      <c r="D490" s="2" t="s">
        <v>89</v>
      </c>
      <c r="E490" s="3">
        <v>4</v>
      </c>
      <c r="F490" s="3">
        <f>2.5/4</f>
        <v>0.625</v>
      </c>
      <c r="G490" s="4">
        <v>43122</v>
      </c>
    </row>
    <row r="491" spans="3:10">
      <c r="C491" s="2" t="s">
        <v>8</v>
      </c>
      <c r="D491" s="2" t="s">
        <v>247</v>
      </c>
      <c r="E491" s="3">
        <v>81</v>
      </c>
      <c r="F491" s="3">
        <f>E491/6</f>
        <v>13.5</v>
      </c>
      <c r="G491" s="4">
        <v>43418</v>
      </c>
      <c r="I491" s="1">
        <v>1700</v>
      </c>
      <c r="J491" s="1">
        <v>3800</v>
      </c>
    </row>
    <row r="492" spans="3:10">
      <c r="C492" s="2" t="s">
        <v>18</v>
      </c>
      <c r="D492" s="2" t="s">
        <v>247</v>
      </c>
      <c r="E492" s="3">
        <v>60</v>
      </c>
      <c r="F492" s="3">
        <f>+E492/5</f>
        <v>12</v>
      </c>
      <c r="G492" s="4">
        <v>42736</v>
      </c>
      <c r="I492" s="1">
        <v>800</v>
      </c>
      <c r="J492" s="1">
        <v>3800</v>
      </c>
    </row>
    <row r="493" spans="3:10">
      <c r="C493" s="2" t="s">
        <v>9</v>
      </c>
      <c r="D493" s="2" t="s">
        <v>23</v>
      </c>
      <c r="E493" s="3">
        <v>222</v>
      </c>
      <c r="F493" s="3">
        <f>200/21</f>
        <v>9.5238095238095237</v>
      </c>
      <c r="G493" s="4">
        <v>44194</v>
      </c>
      <c r="I493" s="1">
        <v>2500</v>
      </c>
      <c r="J493" s="1">
        <v>2500</v>
      </c>
    </row>
    <row r="494" spans="3:10">
      <c r="C494" s="2" t="s">
        <v>8</v>
      </c>
      <c r="D494" s="2" t="s">
        <v>23</v>
      </c>
      <c r="E494" s="3">
        <v>200</v>
      </c>
      <c r="F494" s="3">
        <v>13</v>
      </c>
      <c r="G494" s="4">
        <v>43452</v>
      </c>
      <c r="I494" s="1">
        <v>1500</v>
      </c>
      <c r="J494" s="1">
        <v>2500</v>
      </c>
    </row>
    <row r="495" spans="3:10">
      <c r="C495" s="2" t="s">
        <v>18</v>
      </c>
      <c r="D495" s="2" t="s">
        <v>23</v>
      </c>
      <c r="E495" s="3">
        <v>50</v>
      </c>
      <c r="F495" s="3">
        <v>5</v>
      </c>
      <c r="G495" s="4">
        <v>43051</v>
      </c>
      <c r="J495" s="1">
        <v>2500</v>
      </c>
    </row>
    <row r="496" spans="3:10">
      <c r="C496" s="2" t="s">
        <v>7</v>
      </c>
      <c r="D496" s="2" t="s">
        <v>23</v>
      </c>
      <c r="E496" s="3">
        <v>30</v>
      </c>
      <c r="F496" s="3">
        <v>3</v>
      </c>
      <c r="G496" s="4">
        <v>42936</v>
      </c>
      <c r="J496" s="1">
        <v>2500</v>
      </c>
    </row>
    <row r="497" spans="1:18">
      <c r="C497" s="2" t="s">
        <v>9</v>
      </c>
      <c r="D497" s="2" t="s">
        <v>54</v>
      </c>
      <c r="E497" s="3">
        <v>220</v>
      </c>
      <c r="F497" s="3">
        <v>28</v>
      </c>
      <c r="G497" s="4">
        <v>44357</v>
      </c>
      <c r="I497" s="1">
        <v>1900</v>
      </c>
      <c r="J497" s="1">
        <v>1900</v>
      </c>
    </row>
    <row r="498" spans="1:18">
      <c r="C498" s="2" t="s">
        <v>8</v>
      </c>
      <c r="D498" s="2" t="s">
        <v>54</v>
      </c>
      <c r="E498" s="3">
        <v>125</v>
      </c>
      <c r="F498" s="3">
        <v>18.75</v>
      </c>
      <c r="G498" s="4">
        <v>44131</v>
      </c>
      <c r="I498" s="1">
        <v>875</v>
      </c>
      <c r="J498" s="1">
        <v>1900</v>
      </c>
    </row>
    <row r="499" spans="1:18">
      <c r="C499" s="2" t="s">
        <v>18</v>
      </c>
      <c r="D499" s="2" t="s">
        <v>54</v>
      </c>
      <c r="E499" s="3">
        <v>28</v>
      </c>
      <c r="F499" s="3">
        <v>7</v>
      </c>
      <c r="G499" s="4">
        <v>43579</v>
      </c>
      <c r="J499" s="1">
        <v>1900</v>
      </c>
    </row>
    <row r="500" spans="1:18">
      <c r="C500" s="2" t="s">
        <v>7</v>
      </c>
      <c r="D500" s="2" t="s">
        <v>54</v>
      </c>
      <c r="E500" s="3">
        <v>18</v>
      </c>
      <c r="F500" s="3">
        <v>12</v>
      </c>
      <c r="G500" s="4">
        <v>43207</v>
      </c>
    </row>
    <row r="501" spans="1:18">
      <c r="G501" s="4"/>
    </row>
    <row r="502" spans="1:18" s="12" customFormat="1">
      <c r="A502" s="12">
        <v>29</v>
      </c>
      <c r="B502" s="12" t="s">
        <v>1144</v>
      </c>
      <c r="C502" s="13" t="s">
        <v>986</v>
      </c>
      <c r="D502" s="13" t="s">
        <v>985</v>
      </c>
      <c r="E502" s="15"/>
      <c r="F502" s="15">
        <f>SUM(F503:F514)</f>
        <v>191.96055555555554</v>
      </c>
      <c r="G502" s="14">
        <f>G506</f>
        <v>44274</v>
      </c>
      <c r="M502" s="13"/>
      <c r="N502" s="13"/>
      <c r="O502" s="13"/>
      <c r="P502" s="13"/>
      <c r="Q502" s="13"/>
      <c r="R502" s="13"/>
    </row>
    <row r="503" spans="1:18">
      <c r="C503" s="2" t="s">
        <v>18</v>
      </c>
      <c r="D503" s="2" t="s">
        <v>299</v>
      </c>
      <c r="E503" s="3">
        <v>38</v>
      </c>
      <c r="F503" s="3">
        <f>20/6</f>
        <v>3.3333333333333335</v>
      </c>
      <c r="G503" s="4">
        <v>43104</v>
      </c>
    </row>
    <row r="504" spans="1:18">
      <c r="C504" s="2" t="s">
        <v>7</v>
      </c>
      <c r="D504" s="2" t="s">
        <v>299</v>
      </c>
      <c r="E504" s="3">
        <v>6.9</v>
      </c>
      <c r="F504" s="3">
        <f>E504/5</f>
        <v>1.3800000000000001</v>
      </c>
      <c r="G504" s="4">
        <v>42458</v>
      </c>
    </row>
    <row r="505" spans="1:18">
      <c r="C505" s="2" t="s">
        <v>5</v>
      </c>
      <c r="D505" s="2" t="s">
        <v>299</v>
      </c>
      <c r="E505" s="3">
        <v>2.7</v>
      </c>
      <c r="F505" s="3">
        <f>1.7/4</f>
        <v>0.42499999999999999</v>
      </c>
      <c r="G505" s="4">
        <v>42139</v>
      </c>
    </row>
    <row r="506" spans="1:18">
      <c r="C506" s="2" t="s">
        <v>18</v>
      </c>
      <c r="D506" s="2" t="s">
        <v>203</v>
      </c>
      <c r="E506" s="3">
        <v>500</v>
      </c>
      <c r="F506" s="3">
        <v>100</v>
      </c>
      <c r="G506" s="4">
        <v>44274</v>
      </c>
    </row>
    <row r="507" spans="1:18">
      <c r="C507" s="2" t="s">
        <v>18</v>
      </c>
      <c r="D507" s="2" t="s">
        <v>203</v>
      </c>
      <c r="E507" s="3">
        <v>500</v>
      </c>
      <c r="F507" s="3">
        <f>200/9</f>
        <v>22.222222222222221</v>
      </c>
      <c r="G507" s="4">
        <v>44274</v>
      </c>
    </row>
    <row r="508" spans="1:18">
      <c r="C508" s="2" t="s">
        <v>7</v>
      </c>
      <c r="D508" s="2" t="s">
        <v>197</v>
      </c>
      <c r="E508" s="3">
        <v>43</v>
      </c>
      <c r="F508" s="3">
        <f>E508/5</f>
        <v>8.6</v>
      </c>
      <c r="G508" s="4">
        <v>44077</v>
      </c>
    </row>
    <row r="509" spans="1:18">
      <c r="C509" s="2" t="s">
        <v>5</v>
      </c>
      <c r="D509" s="2" t="s">
        <v>197</v>
      </c>
      <c r="E509" s="3">
        <v>28</v>
      </c>
      <c r="F509" s="3">
        <v>20</v>
      </c>
      <c r="G509" s="4">
        <v>43271</v>
      </c>
    </row>
    <row r="510" spans="1:18">
      <c r="C510" s="2" t="s">
        <v>9</v>
      </c>
      <c r="D510" s="2" t="s">
        <v>23</v>
      </c>
      <c r="E510" s="3">
        <v>222</v>
      </c>
      <c r="F510" s="3">
        <v>10</v>
      </c>
      <c r="G510" s="4">
        <v>44194</v>
      </c>
      <c r="I510" s="1">
        <v>2500</v>
      </c>
      <c r="J510" s="1">
        <v>2500</v>
      </c>
    </row>
    <row r="511" spans="1:18">
      <c r="C511" s="2" t="s">
        <v>8</v>
      </c>
      <c r="D511" s="2" t="s">
        <v>23</v>
      </c>
      <c r="E511" s="3">
        <v>200</v>
      </c>
      <c r="F511" s="3">
        <v>13</v>
      </c>
      <c r="G511" s="4">
        <v>43452</v>
      </c>
      <c r="I511" s="1">
        <v>1500</v>
      </c>
      <c r="J511" s="1">
        <v>2500</v>
      </c>
    </row>
    <row r="512" spans="1:18">
      <c r="C512" s="2" t="s">
        <v>18</v>
      </c>
      <c r="D512" s="2" t="s">
        <v>23</v>
      </c>
      <c r="E512" s="3">
        <v>50</v>
      </c>
      <c r="F512" s="3">
        <v>5</v>
      </c>
      <c r="G512" s="4">
        <v>43051</v>
      </c>
      <c r="J512" s="1">
        <v>2500</v>
      </c>
    </row>
    <row r="513" spans="1:18">
      <c r="C513" s="2" t="s">
        <v>7</v>
      </c>
      <c r="D513" s="2" t="s">
        <v>23</v>
      </c>
      <c r="E513" s="3">
        <v>30</v>
      </c>
      <c r="F513" s="3">
        <v>3</v>
      </c>
      <c r="G513" s="4">
        <v>42936</v>
      </c>
      <c r="J513" s="1">
        <v>2500</v>
      </c>
    </row>
    <row r="514" spans="1:18">
      <c r="C514" s="2" t="s">
        <v>5</v>
      </c>
      <c r="D514" s="2" t="s">
        <v>23</v>
      </c>
      <c r="E514" s="3">
        <v>30</v>
      </c>
      <c r="F514" s="3">
        <v>5</v>
      </c>
      <c r="G514" s="4">
        <v>42674</v>
      </c>
      <c r="J514" s="1">
        <v>2500</v>
      </c>
    </row>
    <row r="515" spans="1:18">
      <c r="G515" s="4"/>
    </row>
    <row r="516" spans="1:18" s="12" customFormat="1">
      <c r="A516" s="12">
        <v>30</v>
      </c>
      <c r="B516" s="12" t="s">
        <v>1143</v>
      </c>
      <c r="C516" s="13" t="s">
        <v>986</v>
      </c>
      <c r="D516" s="13" t="s">
        <v>985</v>
      </c>
      <c r="E516" s="15"/>
      <c r="F516" s="15">
        <f>SUM(F517:F536)</f>
        <v>190.08571428571432</v>
      </c>
      <c r="G516" s="14">
        <f>G524</f>
        <v>45090</v>
      </c>
      <c r="M516" s="13"/>
      <c r="N516" s="13"/>
      <c r="O516" s="13"/>
      <c r="P516" s="13"/>
      <c r="Q516" s="13"/>
      <c r="R516" s="13"/>
    </row>
    <row r="517" spans="1:18">
      <c r="C517" s="2" t="s">
        <v>18</v>
      </c>
      <c r="D517" s="2" t="s">
        <v>815</v>
      </c>
      <c r="E517" s="3">
        <v>100</v>
      </c>
      <c r="F517" s="3">
        <v>13</v>
      </c>
      <c r="G517" s="4">
        <v>43682</v>
      </c>
    </row>
    <row r="518" spans="1:18">
      <c r="C518" s="2" t="s">
        <v>7</v>
      </c>
      <c r="D518" s="2" t="s">
        <v>815</v>
      </c>
      <c r="E518" s="3">
        <v>18</v>
      </c>
      <c r="F518" s="3">
        <v>3</v>
      </c>
      <c r="G518" s="4">
        <v>43319</v>
      </c>
    </row>
    <row r="519" spans="1:18">
      <c r="C519" s="2" t="s">
        <v>5</v>
      </c>
      <c r="D519" s="2" t="s">
        <v>815</v>
      </c>
      <c r="E519" s="3">
        <v>4.5</v>
      </c>
      <c r="F519" s="3">
        <f>E519/3</f>
        <v>1.5</v>
      </c>
      <c r="G519" s="4">
        <v>42878</v>
      </c>
    </row>
    <row r="520" spans="1:18">
      <c r="C520" s="2" t="s">
        <v>4</v>
      </c>
      <c r="D520" s="2" t="s">
        <v>890</v>
      </c>
      <c r="E520" s="3">
        <v>3.3</v>
      </c>
      <c r="F520" s="3">
        <v>0.5</v>
      </c>
      <c r="G520" s="4">
        <v>44026</v>
      </c>
    </row>
    <row r="521" spans="1:18">
      <c r="C521" s="2" t="s">
        <v>5</v>
      </c>
      <c r="D521" s="2" t="s">
        <v>492</v>
      </c>
      <c r="E521" s="3">
        <v>13</v>
      </c>
      <c r="F521" s="3">
        <v>1.4</v>
      </c>
      <c r="G521" s="4">
        <v>44516</v>
      </c>
    </row>
    <row r="522" spans="1:18">
      <c r="C522" s="2" t="s">
        <v>7</v>
      </c>
      <c r="D522" s="2" t="s">
        <v>454</v>
      </c>
      <c r="E522" s="3">
        <v>30</v>
      </c>
      <c r="F522" s="3">
        <v>5</v>
      </c>
      <c r="G522" s="4">
        <v>44756</v>
      </c>
    </row>
    <row r="523" spans="1:18">
      <c r="C523" s="2" t="s">
        <v>5</v>
      </c>
      <c r="D523" s="2" t="s">
        <v>454</v>
      </c>
      <c r="E523" s="3">
        <v>28</v>
      </c>
      <c r="F523" s="3">
        <v>13</v>
      </c>
      <c r="G523" s="4">
        <v>44624</v>
      </c>
    </row>
    <row r="524" spans="1:18">
      <c r="C524" s="2" t="s">
        <v>18</v>
      </c>
      <c r="D524" s="2" t="s">
        <v>411</v>
      </c>
      <c r="E524" s="3">
        <v>90</v>
      </c>
      <c r="F524" s="3">
        <v>30</v>
      </c>
      <c r="G524" s="4">
        <v>45090</v>
      </c>
    </row>
    <row r="525" spans="1:18">
      <c r="C525" s="2" t="s">
        <v>18</v>
      </c>
      <c r="D525" s="2" t="s">
        <v>381</v>
      </c>
      <c r="E525" s="3">
        <v>130</v>
      </c>
      <c r="F525" s="3">
        <f>100/7</f>
        <v>14.285714285714286</v>
      </c>
      <c r="G525" s="4">
        <v>44323</v>
      </c>
    </row>
    <row r="526" spans="1:18">
      <c r="C526" s="2" t="s">
        <v>7</v>
      </c>
      <c r="D526" s="2" t="s">
        <v>381</v>
      </c>
      <c r="E526" s="3">
        <v>44</v>
      </c>
      <c r="F526" s="3">
        <v>14</v>
      </c>
      <c r="G526" s="4">
        <v>43909</v>
      </c>
    </row>
    <row r="527" spans="1:18">
      <c r="C527" s="2" t="s">
        <v>5</v>
      </c>
      <c r="D527" s="2" t="s">
        <v>153</v>
      </c>
      <c r="E527" s="3">
        <v>3</v>
      </c>
      <c r="F527" s="6" t="s">
        <v>1072</v>
      </c>
      <c r="G527" s="4">
        <v>41879</v>
      </c>
      <c r="I527" s="1">
        <v>11</v>
      </c>
    </row>
    <row r="528" spans="1:18">
      <c r="C528" s="2" t="s">
        <v>7</v>
      </c>
      <c r="D528" s="2" t="s">
        <v>41</v>
      </c>
      <c r="E528" s="3">
        <v>42</v>
      </c>
      <c r="F528" s="6">
        <v>7</v>
      </c>
      <c r="G528" s="4">
        <v>43144</v>
      </c>
      <c r="J528" s="1">
        <v>2000</v>
      </c>
    </row>
    <row r="529" spans="2:18">
      <c r="C529" s="2" t="s">
        <v>5</v>
      </c>
      <c r="D529" s="2" t="s">
        <v>41</v>
      </c>
      <c r="E529" s="3">
        <v>25</v>
      </c>
      <c r="F529" s="6">
        <v>5</v>
      </c>
      <c r="G529" s="4">
        <v>42374</v>
      </c>
      <c r="J529" s="1">
        <v>2000</v>
      </c>
    </row>
    <row r="530" spans="2:18">
      <c r="C530" s="2" t="s">
        <v>4</v>
      </c>
      <c r="D530" s="2" t="s">
        <v>41</v>
      </c>
      <c r="E530" s="3">
        <v>3</v>
      </c>
      <c r="F530" s="6">
        <v>1</v>
      </c>
      <c r="G530" s="4">
        <v>42019</v>
      </c>
      <c r="J530" s="1">
        <v>2000</v>
      </c>
    </row>
    <row r="531" spans="2:18">
      <c r="C531" s="2" t="s">
        <v>8</v>
      </c>
      <c r="D531" s="2" t="s">
        <v>15</v>
      </c>
      <c r="E531" s="3">
        <v>220</v>
      </c>
      <c r="F531" s="6">
        <v>30</v>
      </c>
      <c r="G531" s="4">
        <v>44502</v>
      </c>
      <c r="I531" s="1">
        <v>794</v>
      </c>
      <c r="J531" s="1">
        <v>794</v>
      </c>
    </row>
    <row r="532" spans="2:18">
      <c r="C532" s="2" t="s">
        <v>8</v>
      </c>
      <c r="D532" s="2" t="s">
        <v>15</v>
      </c>
      <c r="E532" s="3">
        <v>220</v>
      </c>
      <c r="F532" s="6">
        <v>27</v>
      </c>
      <c r="G532" s="4">
        <v>44322</v>
      </c>
      <c r="I532" s="1">
        <v>780</v>
      </c>
      <c r="J532" s="1">
        <v>780</v>
      </c>
    </row>
    <row r="533" spans="2:18">
      <c r="C533" s="2" t="s">
        <v>18</v>
      </c>
      <c r="D533" s="2" t="s">
        <v>15</v>
      </c>
      <c r="E533" s="3">
        <v>60</v>
      </c>
      <c r="F533" s="6">
        <v>10</v>
      </c>
      <c r="G533" s="4">
        <v>43528</v>
      </c>
    </row>
    <row r="534" spans="2:18">
      <c r="C534" s="2" t="s">
        <v>7</v>
      </c>
      <c r="D534" s="2" t="s">
        <v>15</v>
      </c>
      <c r="E534" s="3">
        <v>28</v>
      </c>
      <c r="F534" s="6">
        <v>10</v>
      </c>
      <c r="G534" s="4">
        <v>43031</v>
      </c>
    </row>
    <row r="535" spans="2:18">
      <c r="C535" s="2" t="s">
        <v>5</v>
      </c>
      <c r="D535" s="2" t="s">
        <v>15</v>
      </c>
      <c r="E535" s="3">
        <v>10</v>
      </c>
      <c r="F535" s="6">
        <v>4</v>
      </c>
      <c r="G535" s="4">
        <v>42508</v>
      </c>
    </row>
    <row r="536" spans="2:18">
      <c r="C536" s="2" t="s">
        <v>4</v>
      </c>
      <c r="D536" s="2" t="s">
        <v>15</v>
      </c>
      <c r="E536" s="3">
        <v>1.8</v>
      </c>
      <c r="F536" s="6">
        <v>0.4</v>
      </c>
      <c r="G536" s="4">
        <v>41976</v>
      </c>
    </row>
    <row r="537" spans="2:18">
      <c r="G537" s="4"/>
    </row>
    <row r="538" spans="2:18" s="12" customFormat="1">
      <c r="B538" s="12" t="s">
        <v>262</v>
      </c>
      <c r="C538" s="13" t="s">
        <v>986</v>
      </c>
      <c r="D538" s="13" t="s">
        <v>985</v>
      </c>
      <c r="E538" s="15"/>
      <c r="F538" s="15">
        <f>SUM(F539:F543)</f>
        <v>177.16666666666666</v>
      </c>
      <c r="G538" s="14">
        <f>G543</f>
        <v>44578</v>
      </c>
      <c r="M538" s="13"/>
      <c r="N538" s="13"/>
      <c r="O538" s="13"/>
      <c r="P538" s="13"/>
      <c r="Q538" s="13"/>
      <c r="R538" s="13"/>
    </row>
    <row r="539" spans="2:18">
      <c r="C539" s="2" t="s">
        <v>8</v>
      </c>
      <c r="D539" s="2" t="s">
        <v>260</v>
      </c>
      <c r="E539" s="3">
        <v>600</v>
      </c>
      <c r="F539" s="3">
        <f>500/8</f>
        <v>62.5</v>
      </c>
      <c r="G539" s="4">
        <v>44502</v>
      </c>
    </row>
    <row r="540" spans="2:18">
      <c r="C540" s="2" t="s">
        <v>18</v>
      </c>
      <c r="D540" s="2" t="s">
        <v>260</v>
      </c>
      <c r="E540" s="3">
        <v>500</v>
      </c>
      <c r="F540" s="3">
        <v>75</v>
      </c>
      <c r="G540" s="4">
        <v>44144</v>
      </c>
    </row>
    <row r="541" spans="2:18">
      <c r="C541" s="2" t="s">
        <v>9</v>
      </c>
      <c r="D541" s="2" t="s">
        <v>23</v>
      </c>
      <c r="E541" s="3">
        <v>222</v>
      </c>
      <c r="F541" s="3">
        <v>10</v>
      </c>
      <c r="G541" s="4">
        <v>44194</v>
      </c>
      <c r="I541" s="1">
        <v>2500</v>
      </c>
      <c r="J541" s="1">
        <v>2500</v>
      </c>
    </row>
    <row r="542" spans="2:18">
      <c r="C542" s="2" t="s">
        <v>8</v>
      </c>
      <c r="D542" s="2" t="s">
        <v>23</v>
      </c>
      <c r="E542" s="3">
        <v>150</v>
      </c>
      <c r="F542" s="3">
        <v>16.666666666666668</v>
      </c>
      <c r="G542" s="4">
        <v>43885</v>
      </c>
      <c r="I542" s="1">
        <v>1800</v>
      </c>
      <c r="J542" s="1">
        <v>2500</v>
      </c>
    </row>
    <row r="543" spans="2:18">
      <c r="C543" s="2" t="s">
        <v>7</v>
      </c>
      <c r="D543" s="2" t="s">
        <v>2180</v>
      </c>
      <c r="E543" s="3">
        <v>176</v>
      </c>
      <c r="F543" s="3">
        <v>13</v>
      </c>
      <c r="G543" s="4">
        <v>44578</v>
      </c>
    </row>
    <row r="544" spans="2:18">
      <c r="G544" s="4"/>
    </row>
    <row r="545" spans="2:18" s="12" customFormat="1">
      <c r="B545" s="12" t="s">
        <v>1142</v>
      </c>
      <c r="C545" s="13" t="s">
        <v>986</v>
      </c>
      <c r="D545" s="13" t="s">
        <v>985</v>
      </c>
      <c r="E545" s="15"/>
      <c r="F545" s="15">
        <f>SUM(F546:F549)</f>
        <v>175</v>
      </c>
      <c r="G545" s="14">
        <f>G546</f>
        <v>44608</v>
      </c>
      <c r="K545" s="12">
        <v>2014</v>
      </c>
    </row>
    <row r="546" spans="2:18">
      <c r="C546" s="2" t="s">
        <v>9</v>
      </c>
      <c r="D546" s="2" t="s">
        <v>393</v>
      </c>
      <c r="E546" s="3">
        <v>400</v>
      </c>
      <c r="F546" s="3">
        <v>100</v>
      </c>
      <c r="G546" s="4">
        <v>44608</v>
      </c>
      <c r="M546" s="1"/>
      <c r="N546" s="1"/>
      <c r="O546" s="1"/>
      <c r="P546" s="1"/>
      <c r="Q546" s="1"/>
      <c r="R546" s="1"/>
    </row>
    <row r="547" spans="2:18">
      <c r="C547" s="2" t="s">
        <v>8</v>
      </c>
      <c r="D547" s="2" t="s">
        <v>393</v>
      </c>
      <c r="E547" s="3">
        <v>140</v>
      </c>
      <c r="F547" s="3">
        <v>10</v>
      </c>
      <c r="G547" s="4">
        <v>44286</v>
      </c>
      <c r="M547" s="1"/>
      <c r="N547" s="1"/>
      <c r="O547" s="1"/>
      <c r="P547" s="1"/>
      <c r="Q547" s="1"/>
      <c r="R547" s="1"/>
    </row>
    <row r="548" spans="2:18">
      <c r="C548" s="2" t="s">
        <v>18</v>
      </c>
      <c r="D548" s="2" t="s">
        <v>393</v>
      </c>
      <c r="E548" s="3">
        <v>110</v>
      </c>
      <c r="F548" s="3">
        <v>40</v>
      </c>
      <c r="G548" s="4">
        <v>43690</v>
      </c>
      <c r="M548" s="1"/>
      <c r="N548" s="1"/>
      <c r="O548" s="1"/>
      <c r="P548" s="1"/>
      <c r="Q548" s="1"/>
      <c r="R548" s="1"/>
    </row>
    <row r="549" spans="2:18">
      <c r="C549" s="2" t="s">
        <v>55</v>
      </c>
      <c r="D549" s="2" t="s">
        <v>49</v>
      </c>
      <c r="E549" s="3">
        <v>100</v>
      </c>
      <c r="F549" s="3">
        <v>25</v>
      </c>
      <c r="G549" s="4">
        <v>44515</v>
      </c>
      <c r="I549" s="1">
        <v>4100</v>
      </c>
      <c r="J549" s="1">
        <v>4100</v>
      </c>
      <c r="M549" s="1"/>
      <c r="N549" s="1"/>
      <c r="O549" s="1"/>
      <c r="P549" s="1"/>
      <c r="Q549" s="1"/>
      <c r="R549" s="1"/>
    </row>
    <row r="550" spans="2:18">
      <c r="G550" s="4"/>
      <c r="M550" s="1"/>
      <c r="N550" s="1"/>
      <c r="O550" s="1"/>
      <c r="P550" s="1"/>
      <c r="Q550" s="1"/>
      <c r="R550" s="1"/>
    </row>
    <row r="551" spans="2:18" s="12" customFormat="1">
      <c r="B551" s="12" t="s">
        <v>1139</v>
      </c>
      <c r="C551" s="13" t="s">
        <v>986</v>
      </c>
      <c r="D551" s="13" t="s">
        <v>985</v>
      </c>
      <c r="E551" s="15"/>
      <c r="F551" s="15">
        <f>SUM(F552:F558)</f>
        <v>165.625</v>
      </c>
      <c r="G551" s="14">
        <f>G552</f>
        <v>44417</v>
      </c>
      <c r="M551" s="13"/>
      <c r="N551" s="13"/>
      <c r="O551" s="13"/>
      <c r="P551" s="13"/>
      <c r="Q551" s="13"/>
      <c r="R551" s="13"/>
    </row>
    <row r="552" spans="2:18">
      <c r="C552" s="2" t="s">
        <v>18</v>
      </c>
      <c r="D552" s="2" t="s">
        <v>890</v>
      </c>
      <c r="E552" s="3">
        <v>85</v>
      </c>
      <c r="F552" s="3">
        <f>45/8</f>
        <v>5.625</v>
      </c>
      <c r="G552" s="4">
        <v>44417</v>
      </c>
      <c r="H552" s="5"/>
    </row>
    <row r="553" spans="2:18">
      <c r="C553" s="2" t="s">
        <v>8</v>
      </c>
      <c r="D553" s="2" t="s">
        <v>215</v>
      </c>
      <c r="E553" s="3">
        <v>676</v>
      </c>
      <c r="F553" s="3">
        <v>71</v>
      </c>
      <c r="G553" s="4">
        <v>44299</v>
      </c>
      <c r="H553" s="5"/>
      <c r="I553" s="1">
        <v>4400</v>
      </c>
    </row>
    <row r="554" spans="2:18">
      <c r="C554" s="2" t="s">
        <v>18</v>
      </c>
      <c r="D554" s="2" t="s">
        <v>215</v>
      </c>
      <c r="E554" s="3">
        <v>250</v>
      </c>
      <c r="F554" s="3">
        <f>170/5</f>
        <v>34</v>
      </c>
      <c r="G554" s="4">
        <v>43886</v>
      </c>
      <c r="H554" s="5"/>
      <c r="I554" s="1">
        <v>2300</v>
      </c>
    </row>
    <row r="555" spans="2:18">
      <c r="C555" s="2" t="s">
        <v>7</v>
      </c>
      <c r="D555" s="2" t="s">
        <v>215</v>
      </c>
      <c r="E555" s="3">
        <v>150</v>
      </c>
      <c r="F555" s="3">
        <f>100/5</f>
        <v>20</v>
      </c>
      <c r="G555" s="4">
        <v>43556</v>
      </c>
      <c r="H555" s="5"/>
    </row>
    <row r="556" spans="2:18">
      <c r="C556" s="2" t="s">
        <v>5</v>
      </c>
      <c r="D556" s="2" t="s">
        <v>215</v>
      </c>
      <c r="E556" s="3">
        <v>56</v>
      </c>
      <c r="F556" s="3">
        <v>20</v>
      </c>
      <c r="G556" s="4">
        <v>43174</v>
      </c>
      <c r="H556" s="5"/>
    </row>
    <row r="557" spans="2:18">
      <c r="C557" s="2" t="s">
        <v>7</v>
      </c>
      <c r="D557" s="2" t="s">
        <v>136</v>
      </c>
      <c r="E557" s="3">
        <v>32</v>
      </c>
      <c r="F557" s="3">
        <v>12</v>
      </c>
      <c r="G557" s="4">
        <v>42528</v>
      </c>
      <c r="H557" s="5"/>
    </row>
    <row r="558" spans="2:18">
      <c r="C558" s="2" t="s">
        <v>5</v>
      </c>
      <c r="D558" s="2" t="s">
        <v>2071</v>
      </c>
      <c r="E558" s="3">
        <v>18</v>
      </c>
      <c r="F558" s="3">
        <v>3</v>
      </c>
      <c r="G558" s="4">
        <v>44866</v>
      </c>
      <c r="H558" s="5"/>
    </row>
    <row r="559" spans="2:18">
      <c r="G559" s="4"/>
      <c r="H559" s="5"/>
    </row>
    <row r="560" spans="2:18">
      <c r="B560" s="12" t="s">
        <v>1141</v>
      </c>
      <c r="C560" s="13" t="s">
        <v>986</v>
      </c>
      <c r="D560" s="13" t="s">
        <v>985</v>
      </c>
      <c r="F560" s="15">
        <f>SUM(F561:F574)</f>
        <v>164.29545454545456</v>
      </c>
      <c r="G560" s="14">
        <f>G561</f>
        <v>45069</v>
      </c>
      <c r="I560" s="1">
        <v>5000</v>
      </c>
      <c r="J560" s="21">
        <f>+F560/I560</f>
        <v>3.2859090909090914E-2</v>
      </c>
      <c r="K560" s="1">
        <v>1976</v>
      </c>
    </row>
    <row r="561" spans="2:18">
      <c r="C561" s="2" t="s">
        <v>18</v>
      </c>
      <c r="D561" s="2" t="s">
        <v>981</v>
      </c>
      <c r="E561" s="3">
        <v>450</v>
      </c>
      <c r="F561" s="3">
        <f>300/5</f>
        <v>60</v>
      </c>
      <c r="G561" s="4">
        <v>45069</v>
      </c>
    </row>
    <row r="562" spans="2:18">
      <c r="C562" s="2" t="s">
        <v>7</v>
      </c>
      <c r="D562" s="2" t="s">
        <v>1113</v>
      </c>
      <c r="E562" s="3">
        <v>100</v>
      </c>
      <c r="F562" s="3">
        <v>5</v>
      </c>
      <c r="G562" s="4">
        <v>45042</v>
      </c>
    </row>
    <row r="563" spans="2:18">
      <c r="C563" s="2" t="s">
        <v>5</v>
      </c>
      <c r="D563" s="2" t="s">
        <v>1113</v>
      </c>
      <c r="E563" s="3">
        <v>28</v>
      </c>
      <c r="F563" s="3">
        <v>16</v>
      </c>
      <c r="G563" s="4">
        <v>44649</v>
      </c>
    </row>
    <row r="564" spans="2:18">
      <c r="C564" s="2" t="s">
        <v>5</v>
      </c>
      <c r="D564" s="2" t="s">
        <v>1086</v>
      </c>
      <c r="E564" s="3">
        <v>65</v>
      </c>
      <c r="F564" s="3">
        <v>10</v>
      </c>
      <c r="G564" s="4">
        <v>44984</v>
      </c>
    </row>
    <row r="565" spans="2:18">
      <c r="C565" s="2" t="s">
        <v>7</v>
      </c>
      <c r="D565" s="2" t="s">
        <v>873</v>
      </c>
      <c r="E565" s="3">
        <v>25</v>
      </c>
      <c r="F565" s="3">
        <v>7</v>
      </c>
      <c r="G565" s="4">
        <v>44636</v>
      </c>
    </row>
    <row r="566" spans="2:18">
      <c r="C566" s="2" t="s">
        <v>18</v>
      </c>
      <c r="D566" s="2" t="s">
        <v>1140</v>
      </c>
      <c r="E566" s="3">
        <v>125</v>
      </c>
      <c r="F566" s="3">
        <v>9</v>
      </c>
      <c r="G566" s="4">
        <v>44663</v>
      </c>
    </row>
    <row r="567" spans="2:18">
      <c r="C567" s="2" t="s">
        <v>7</v>
      </c>
      <c r="D567" s="2" t="s">
        <v>1140</v>
      </c>
      <c r="E567" s="3">
        <v>54</v>
      </c>
      <c r="F567" s="3">
        <v>14</v>
      </c>
      <c r="G567" s="4">
        <v>44089</v>
      </c>
    </row>
    <row r="568" spans="2:18">
      <c r="C568" s="2" t="s">
        <v>8</v>
      </c>
      <c r="D568" s="2" t="s">
        <v>456</v>
      </c>
      <c r="E568" s="3">
        <v>90</v>
      </c>
      <c r="F568" s="3">
        <f>50/11</f>
        <v>4.5454545454545459</v>
      </c>
      <c r="G568" s="4">
        <v>44776</v>
      </c>
    </row>
    <row r="569" spans="2:18">
      <c r="C569" s="2" t="s">
        <v>18</v>
      </c>
      <c r="D569" s="2" t="s">
        <v>456</v>
      </c>
      <c r="E569" s="3">
        <v>40</v>
      </c>
      <c r="F569" s="3">
        <v>3.75</v>
      </c>
      <c r="G569" s="4">
        <v>44176</v>
      </c>
    </row>
    <row r="570" spans="2:18">
      <c r="C570" s="2" t="s">
        <v>7</v>
      </c>
      <c r="D570" s="2" t="s">
        <v>456</v>
      </c>
      <c r="E570" s="3">
        <v>20</v>
      </c>
      <c r="F570" s="3">
        <f>15/5</f>
        <v>3</v>
      </c>
      <c r="G570" s="4">
        <v>43879</v>
      </c>
    </row>
    <row r="571" spans="2:18">
      <c r="C571" s="2" t="s">
        <v>8</v>
      </c>
      <c r="D571" s="2" t="s">
        <v>265</v>
      </c>
      <c r="E571" s="3">
        <v>111</v>
      </c>
      <c r="F571" s="3">
        <v>7</v>
      </c>
      <c r="G571" s="4">
        <v>44622</v>
      </c>
    </row>
    <row r="572" spans="2:18">
      <c r="C572" s="2" t="s">
        <v>18</v>
      </c>
      <c r="D572" s="2" t="s">
        <v>265</v>
      </c>
      <c r="E572" s="3">
        <v>55</v>
      </c>
      <c r="F572" s="3">
        <v>6</v>
      </c>
      <c r="G572" s="4">
        <v>44314</v>
      </c>
    </row>
    <row r="573" spans="2:18">
      <c r="C573" s="2" t="s">
        <v>7</v>
      </c>
      <c r="D573" s="2" t="s">
        <v>265</v>
      </c>
      <c r="E573" s="3">
        <v>16</v>
      </c>
      <c r="F573" s="3">
        <v>4</v>
      </c>
      <c r="G573" s="4">
        <v>44009</v>
      </c>
    </row>
    <row r="574" spans="2:18">
      <c r="C574" s="2" t="s">
        <v>7</v>
      </c>
      <c r="D574" s="2" t="s">
        <v>1086</v>
      </c>
      <c r="E574" s="3">
        <v>100</v>
      </c>
      <c r="F574" s="3">
        <v>15</v>
      </c>
      <c r="G574" s="4">
        <v>45106</v>
      </c>
    </row>
    <row r="575" spans="2:18">
      <c r="G575" s="4"/>
    </row>
    <row r="576" spans="2:18" s="12" customFormat="1">
      <c r="B576" s="12" t="s">
        <v>1138</v>
      </c>
      <c r="C576" s="13" t="s">
        <v>986</v>
      </c>
      <c r="D576" s="13" t="s">
        <v>985</v>
      </c>
      <c r="E576" s="15"/>
      <c r="F576" s="15">
        <f>SUM(F577:F582)</f>
        <v>160.33333333333334</v>
      </c>
      <c r="G576" s="14">
        <f>G581</f>
        <v>44271</v>
      </c>
      <c r="M576" s="13"/>
      <c r="N576" s="13"/>
      <c r="O576" s="13"/>
      <c r="P576" s="13"/>
      <c r="Q576" s="13"/>
      <c r="R576" s="13"/>
    </row>
    <row r="577" spans="2:11">
      <c r="C577" s="2" t="s">
        <v>7</v>
      </c>
      <c r="D577" s="2" t="s">
        <v>252</v>
      </c>
      <c r="E577" s="3">
        <v>100</v>
      </c>
      <c r="F577" s="3">
        <v>25</v>
      </c>
      <c r="G577" s="4">
        <v>42576</v>
      </c>
    </row>
    <row r="578" spans="2:11">
      <c r="C578" s="2" t="s">
        <v>8</v>
      </c>
      <c r="D578" s="2" t="s">
        <v>218</v>
      </c>
      <c r="E578" s="3">
        <v>700</v>
      </c>
      <c r="F578" s="3">
        <v>33</v>
      </c>
      <c r="G578" s="4">
        <v>44218</v>
      </c>
    </row>
    <row r="579" spans="2:11">
      <c r="C579" s="2" t="s">
        <v>18</v>
      </c>
      <c r="D579" s="2" t="s">
        <v>218</v>
      </c>
      <c r="E579" s="3">
        <v>230</v>
      </c>
      <c r="F579" s="3">
        <f>E579/6</f>
        <v>38.333333333333336</v>
      </c>
      <c r="G579" s="4">
        <v>43923</v>
      </c>
    </row>
    <row r="580" spans="2:11">
      <c r="C580" s="2" t="s">
        <v>18</v>
      </c>
      <c r="D580" s="2" t="s">
        <v>166</v>
      </c>
      <c r="E580" s="3">
        <v>100</v>
      </c>
      <c r="F580" s="3">
        <f>70/5</f>
        <v>14</v>
      </c>
      <c r="G580" s="4">
        <v>44235</v>
      </c>
    </row>
    <row r="581" spans="2:11">
      <c r="C581" s="2" t="s">
        <v>9</v>
      </c>
      <c r="D581" s="2" t="s">
        <v>153</v>
      </c>
      <c r="E581" s="3">
        <v>300</v>
      </c>
      <c r="F581" s="6" t="s">
        <v>1068</v>
      </c>
      <c r="G581" s="4">
        <v>44271</v>
      </c>
    </row>
    <row r="582" spans="2:11">
      <c r="C582" s="2" t="s">
        <v>18</v>
      </c>
      <c r="D582" s="2" t="s">
        <v>82</v>
      </c>
      <c r="E582" s="3">
        <v>257</v>
      </c>
      <c r="F582" s="6">
        <v>50</v>
      </c>
      <c r="G582" s="4">
        <v>44201</v>
      </c>
    </row>
    <row r="583" spans="2:11">
      <c r="F583" s="6"/>
      <c r="G583" s="4"/>
    </row>
    <row r="584" spans="2:11">
      <c r="G584" s="4"/>
    </row>
    <row r="585" spans="2:11">
      <c r="B585" s="12" t="s">
        <v>1137</v>
      </c>
      <c r="C585" s="13" t="s">
        <v>986</v>
      </c>
      <c r="D585" s="13" t="s">
        <v>985</v>
      </c>
      <c r="E585" s="15"/>
      <c r="F585" s="15">
        <f>SUM(F586:F597)</f>
        <v>156.10000000000002</v>
      </c>
      <c r="G585" s="14">
        <f>G588</f>
        <v>44754</v>
      </c>
      <c r="I585" s="1">
        <v>6800</v>
      </c>
      <c r="J585" s="20">
        <f>+F585/I585</f>
        <v>2.295588235294118E-2</v>
      </c>
      <c r="K585" s="1">
        <v>1972</v>
      </c>
    </row>
    <row r="586" spans="2:11">
      <c r="C586" s="2" t="s">
        <v>18</v>
      </c>
      <c r="D586" s="2" t="s">
        <v>1064</v>
      </c>
      <c r="E586" s="3">
        <v>100</v>
      </c>
      <c r="F586" s="3">
        <v>15</v>
      </c>
      <c r="G586" s="4">
        <v>44699</v>
      </c>
    </row>
    <row r="587" spans="2:11">
      <c r="C587" s="2" t="s">
        <v>7</v>
      </c>
      <c r="D587" s="2" t="s">
        <v>1064</v>
      </c>
      <c r="E587" s="3">
        <v>100</v>
      </c>
      <c r="F587" s="3">
        <f>25/3</f>
        <v>8.3333333333333339</v>
      </c>
      <c r="G587" s="4">
        <v>44286</v>
      </c>
    </row>
    <row r="588" spans="2:11">
      <c r="C588" s="2" t="s">
        <v>18</v>
      </c>
      <c r="D588" s="2" t="s">
        <v>1023</v>
      </c>
      <c r="E588" s="3">
        <v>100</v>
      </c>
      <c r="F588" s="3">
        <v>40</v>
      </c>
      <c r="G588" s="4">
        <v>44754</v>
      </c>
    </row>
    <row r="589" spans="2:11">
      <c r="C589" s="2" t="s">
        <v>5</v>
      </c>
      <c r="D589" s="2" t="s">
        <v>712</v>
      </c>
      <c r="E589" s="3">
        <v>50</v>
      </c>
      <c r="F589" s="3">
        <f>30/12</f>
        <v>2.5</v>
      </c>
      <c r="G589" s="4">
        <v>44796</v>
      </c>
    </row>
    <row r="590" spans="2:11">
      <c r="C590" s="2" t="s">
        <v>4</v>
      </c>
      <c r="D590" s="2" t="s">
        <v>712</v>
      </c>
      <c r="E590" s="3">
        <v>12.5</v>
      </c>
      <c r="F590" s="3">
        <f>8/5</f>
        <v>1.6</v>
      </c>
      <c r="G590" s="4">
        <v>44623</v>
      </c>
    </row>
    <row r="591" spans="2:11">
      <c r="C591" s="2" t="s">
        <v>4</v>
      </c>
      <c r="D591" s="2" t="s">
        <v>712</v>
      </c>
      <c r="E591" s="3">
        <v>7.2</v>
      </c>
      <c r="F591" s="3">
        <v>2</v>
      </c>
      <c r="G591" s="4">
        <v>44508</v>
      </c>
    </row>
    <row r="592" spans="2:11">
      <c r="C592" s="2" t="s">
        <v>7</v>
      </c>
      <c r="D592" s="2" t="s">
        <v>884</v>
      </c>
      <c r="E592" s="3">
        <v>30</v>
      </c>
      <c r="F592" s="3">
        <f>20/3</f>
        <v>6.666666666666667</v>
      </c>
      <c r="G592" s="4">
        <v>44510</v>
      </c>
    </row>
    <row r="593" spans="2:18">
      <c r="C593" s="2" t="s">
        <v>5</v>
      </c>
      <c r="D593" s="2" t="s">
        <v>884</v>
      </c>
      <c r="E593" s="3">
        <v>21.4</v>
      </c>
      <c r="F593" s="3">
        <v>5</v>
      </c>
      <c r="G593" s="4">
        <v>44232</v>
      </c>
    </row>
    <row r="594" spans="2:18">
      <c r="C594" s="2" t="s">
        <v>18</v>
      </c>
      <c r="D594" s="2" t="s">
        <v>896</v>
      </c>
      <c r="E594" s="3">
        <v>200</v>
      </c>
      <c r="F594" s="3">
        <v>20</v>
      </c>
      <c r="G594" s="4">
        <v>44377</v>
      </c>
    </row>
    <row r="595" spans="2:18">
      <c r="C595" s="2" t="s">
        <v>7</v>
      </c>
      <c r="D595" s="2" t="s">
        <v>896</v>
      </c>
      <c r="E595" s="3">
        <v>75</v>
      </c>
      <c r="F595" s="3">
        <v>20</v>
      </c>
      <c r="G595" s="4">
        <v>43783</v>
      </c>
    </row>
    <row r="596" spans="2:18">
      <c r="C596" s="2" t="s">
        <v>18</v>
      </c>
      <c r="D596" s="2" t="s">
        <v>411</v>
      </c>
      <c r="E596" s="3">
        <v>90</v>
      </c>
      <c r="F596" s="3">
        <v>15</v>
      </c>
      <c r="G596" s="4">
        <v>45090</v>
      </c>
    </row>
    <row r="597" spans="2:18">
      <c r="C597" s="2" t="s">
        <v>7</v>
      </c>
      <c r="D597" s="2" t="s">
        <v>411</v>
      </c>
      <c r="E597" s="3">
        <v>50</v>
      </c>
      <c r="F597" s="3">
        <v>20</v>
      </c>
      <c r="G597" s="4">
        <v>44538</v>
      </c>
    </row>
    <row r="598" spans="2:18">
      <c r="G598" s="4"/>
    </row>
    <row r="599" spans="2:18" s="12" customFormat="1">
      <c r="B599" s="12" t="s">
        <v>1136</v>
      </c>
      <c r="C599" s="13" t="s">
        <v>986</v>
      </c>
      <c r="D599" s="13" t="s">
        <v>985</v>
      </c>
      <c r="E599" s="15"/>
      <c r="F599" s="15">
        <f>SUM(F600:F606)</f>
        <v>152.72857142857143</v>
      </c>
      <c r="G599" s="14">
        <f>G605</f>
        <v>44880</v>
      </c>
      <c r="M599" s="13"/>
      <c r="N599" s="13"/>
      <c r="O599" s="13"/>
      <c r="P599" s="13"/>
      <c r="Q599" s="13"/>
      <c r="R599" s="13"/>
    </row>
    <row r="600" spans="2:18">
      <c r="C600" s="2" t="s">
        <v>8</v>
      </c>
      <c r="D600" s="2" t="s">
        <v>215</v>
      </c>
      <c r="E600" s="3">
        <v>676</v>
      </c>
      <c r="F600" s="3">
        <f>500/7</f>
        <v>71.428571428571431</v>
      </c>
      <c r="G600" s="4">
        <v>44299</v>
      </c>
      <c r="I600" s="1">
        <v>4400</v>
      </c>
    </row>
    <row r="601" spans="2:18">
      <c r="C601" s="2" t="s">
        <v>18</v>
      </c>
      <c r="D601" s="2" t="s">
        <v>215</v>
      </c>
      <c r="E601" s="3">
        <v>250</v>
      </c>
      <c r="F601" s="3">
        <f>170/5</f>
        <v>34</v>
      </c>
      <c r="G601" s="4">
        <v>43886</v>
      </c>
      <c r="I601" s="1">
        <v>2300</v>
      </c>
    </row>
    <row r="602" spans="2:18">
      <c r="C602" s="2" t="s">
        <v>7</v>
      </c>
      <c r="D602" s="2" t="s">
        <v>215</v>
      </c>
      <c r="E602" s="3">
        <v>150</v>
      </c>
      <c r="F602" s="3">
        <v>20</v>
      </c>
      <c r="G602" s="4">
        <v>43556</v>
      </c>
    </row>
    <row r="603" spans="2:18">
      <c r="C603" s="2" t="s">
        <v>5</v>
      </c>
      <c r="D603" s="2" t="s">
        <v>215</v>
      </c>
      <c r="E603" s="3">
        <v>7.3</v>
      </c>
      <c r="F603" s="3">
        <v>7.3</v>
      </c>
      <c r="G603" s="4">
        <v>43327</v>
      </c>
    </row>
    <row r="604" spans="2:18">
      <c r="C604" s="2" t="s">
        <v>4</v>
      </c>
      <c r="D604" s="2" t="s">
        <v>215</v>
      </c>
      <c r="E604" s="3">
        <v>2</v>
      </c>
      <c r="F604" s="3">
        <v>2</v>
      </c>
      <c r="G604" s="4">
        <v>43047</v>
      </c>
    </row>
    <row r="605" spans="2:18">
      <c r="C605" s="2" t="s">
        <v>8</v>
      </c>
      <c r="D605" s="2" t="s">
        <v>136</v>
      </c>
      <c r="E605" s="3">
        <v>135</v>
      </c>
      <c r="F605" s="3">
        <v>8</v>
      </c>
      <c r="G605" s="4">
        <v>44880</v>
      </c>
      <c r="I605" s="1">
        <v>615</v>
      </c>
    </row>
    <row r="606" spans="2:18">
      <c r="C606" s="2" t="s">
        <v>7</v>
      </c>
      <c r="D606" s="2" t="s">
        <v>136</v>
      </c>
      <c r="E606" s="3">
        <v>10</v>
      </c>
      <c r="F606" s="3">
        <v>10</v>
      </c>
      <c r="G606" s="4">
        <v>42414</v>
      </c>
      <c r="J606" s="1">
        <v>615</v>
      </c>
    </row>
    <row r="607" spans="2:18">
      <c r="G607" s="4"/>
    </row>
    <row r="608" spans="2:18" s="12" customFormat="1">
      <c r="B608" s="12" t="s">
        <v>1135</v>
      </c>
      <c r="C608" s="13" t="s">
        <v>986</v>
      </c>
      <c r="D608" s="13" t="s">
        <v>985</v>
      </c>
      <c r="E608" s="15"/>
      <c r="F608" s="15">
        <f>SUM(F609:F612)</f>
        <v>151.5</v>
      </c>
      <c r="G608" s="14">
        <f>G610</f>
        <v>44867</v>
      </c>
      <c r="M608" s="13"/>
      <c r="N608" s="13"/>
      <c r="O608" s="13"/>
      <c r="P608" s="13"/>
      <c r="Q608" s="13"/>
      <c r="R608" s="13"/>
    </row>
    <row r="609" spans="2:11">
      <c r="C609" s="2" t="s">
        <v>9</v>
      </c>
      <c r="D609" s="2" t="s">
        <v>815</v>
      </c>
      <c r="E609" s="3">
        <v>325</v>
      </c>
      <c r="F609" s="3">
        <v>18.5</v>
      </c>
      <c r="G609" s="4">
        <v>44299</v>
      </c>
    </row>
    <row r="610" spans="2:11">
      <c r="C610" s="2" t="s">
        <v>18</v>
      </c>
      <c r="D610" s="2" t="s">
        <v>325</v>
      </c>
      <c r="E610" s="3">
        <v>91</v>
      </c>
      <c r="F610" s="3">
        <v>21</v>
      </c>
      <c r="G610" s="4">
        <v>44867</v>
      </c>
    </row>
    <row r="611" spans="2:11">
      <c r="C611" s="2" t="s">
        <v>8</v>
      </c>
      <c r="D611" s="2" t="s">
        <v>181</v>
      </c>
      <c r="E611" s="3">
        <v>130</v>
      </c>
      <c r="F611" s="3">
        <v>12</v>
      </c>
      <c r="G611" s="4">
        <v>42080</v>
      </c>
    </row>
    <row r="612" spans="2:11">
      <c r="C612" s="2" t="s">
        <v>55</v>
      </c>
      <c r="D612" s="2" t="s">
        <v>159</v>
      </c>
      <c r="E612" s="3">
        <v>200</v>
      </c>
      <c r="F612" s="3">
        <v>100</v>
      </c>
      <c r="G612" s="4">
        <v>44907</v>
      </c>
      <c r="I612" s="1">
        <v>3500</v>
      </c>
    </row>
    <row r="613" spans="2:11">
      <c r="G613" s="4"/>
    </row>
    <row r="614" spans="2:11">
      <c r="B614" s="12" t="s">
        <v>1134</v>
      </c>
      <c r="C614" s="13" t="s">
        <v>986</v>
      </c>
      <c r="D614" s="13" t="s">
        <v>985</v>
      </c>
      <c r="F614" s="15">
        <f>SUM(F615:F637)</f>
        <v>146.41666666666666</v>
      </c>
      <c r="G614" s="14">
        <f>+G624</f>
        <v>45020</v>
      </c>
      <c r="I614" s="1">
        <v>700</v>
      </c>
      <c r="J614" s="19">
        <f>(F615+F623+F624)/I614</f>
        <v>2.5714285714285714E-2</v>
      </c>
      <c r="K614" s="1">
        <v>2022</v>
      </c>
    </row>
    <row r="615" spans="2:11">
      <c r="C615" s="2" t="s">
        <v>18</v>
      </c>
      <c r="D615" s="2" t="s">
        <v>974</v>
      </c>
      <c r="E615" s="3">
        <v>50</v>
      </c>
      <c r="F615" s="3">
        <v>6</v>
      </c>
      <c r="G615" s="4">
        <v>44900</v>
      </c>
      <c r="I615" s="1">
        <v>1400</v>
      </c>
      <c r="J615" s="19">
        <f>+F614/I615</f>
        <v>0.10458333333333332</v>
      </c>
      <c r="K615" s="1">
        <v>2012</v>
      </c>
    </row>
    <row r="616" spans="2:11">
      <c r="C616" s="2" t="s">
        <v>7</v>
      </c>
      <c r="D616" s="2" t="s">
        <v>974</v>
      </c>
      <c r="E616" s="3">
        <v>35</v>
      </c>
      <c r="F616" s="3">
        <v>5</v>
      </c>
      <c r="G616" s="4">
        <v>44543</v>
      </c>
    </row>
    <row r="617" spans="2:11">
      <c r="C617" s="2" t="s">
        <v>5</v>
      </c>
      <c r="D617" s="2" t="s">
        <v>974</v>
      </c>
      <c r="E617" s="3">
        <v>8.5</v>
      </c>
      <c r="F617" s="3">
        <v>5</v>
      </c>
      <c r="G617" s="4">
        <v>44181</v>
      </c>
    </row>
    <row r="618" spans="2:11">
      <c r="C618" s="2" t="s">
        <v>18</v>
      </c>
      <c r="D618" s="2" t="s">
        <v>1087</v>
      </c>
      <c r="E618" s="3">
        <v>85</v>
      </c>
      <c r="F618" s="3">
        <v>10</v>
      </c>
      <c r="G618" s="4">
        <v>44501</v>
      </c>
    </row>
    <row r="619" spans="2:11">
      <c r="C619" s="2" t="s">
        <v>7</v>
      </c>
      <c r="D619" s="2" t="s">
        <v>1087</v>
      </c>
      <c r="E619" s="3">
        <v>28</v>
      </c>
      <c r="F619" s="3">
        <v>5</v>
      </c>
      <c r="G619" s="4">
        <v>44272</v>
      </c>
    </row>
    <row r="620" spans="2:11">
      <c r="C620" s="2" t="s">
        <v>5</v>
      </c>
      <c r="D620" s="2" t="s">
        <v>1087</v>
      </c>
      <c r="E620" s="3">
        <v>15</v>
      </c>
      <c r="F620" s="3">
        <v>10</v>
      </c>
      <c r="G620" s="4">
        <v>43924</v>
      </c>
    </row>
    <row r="621" spans="2:11">
      <c r="C621" s="2" t="s">
        <v>4</v>
      </c>
      <c r="D621" s="2" t="s">
        <v>1087</v>
      </c>
      <c r="E621" s="3">
        <v>2.9</v>
      </c>
      <c r="F621" s="3">
        <v>1</v>
      </c>
      <c r="G621" s="4">
        <v>43761</v>
      </c>
    </row>
    <row r="622" spans="2:11">
      <c r="C622" s="2" t="s">
        <v>5</v>
      </c>
      <c r="D622" s="2" t="s">
        <v>844</v>
      </c>
      <c r="E622" s="3">
        <v>20</v>
      </c>
      <c r="F622" s="3">
        <v>2</v>
      </c>
      <c r="G622" s="4">
        <v>43816</v>
      </c>
    </row>
    <row r="623" spans="2:11">
      <c r="C623" s="2" t="s">
        <v>5</v>
      </c>
      <c r="D623" s="2" t="s">
        <v>1012</v>
      </c>
      <c r="E623" s="3">
        <v>23</v>
      </c>
      <c r="F623" s="3">
        <v>5</v>
      </c>
      <c r="G623" s="4">
        <v>44963</v>
      </c>
    </row>
    <row r="624" spans="2:11">
      <c r="C624" s="2" t="s">
        <v>18</v>
      </c>
      <c r="D624" s="2" t="s">
        <v>432</v>
      </c>
      <c r="E624" s="3">
        <v>75</v>
      </c>
      <c r="F624" s="3">
        <v>7</v>
      </c>
      <c r="G624" s="4">
        <v>45020</v>
      </c>
    </row>
    <row r="625" spans="2:18">
      <c r="C625" s="2" t="s">
        <v>18</v>
      </c>
      <c r="D625" s="2" t="s">
        <v>432</v>
      </c>
      <c r="E625" s="3">
        <v>80</v>
      </c>
      <c r="F625" s="3">
        <v>10</v>
      </c>
      <c r="G625" s="4">
        <v>44404</v>
      </c>
    </row>
    <row r="626" spans="2:18">
      <c r="C626" s="2" t="s">
        <v>7</v>
      </c>
      <c r="D626" s="2" t="s">
        <v>432</v>
      </c>
      <c r="E626" s="3">
        <v>40</v>
      </c>
      <c r="F626" s="3">
        <v>10</v>
      </c>
      <c r="G626" s="4">
        <v>43957</v>
      </c>
    </row>
    <row r="627" spans="2:18">
      <c r="C627" s="2" t="s">
        <v>5</v>
      </c>
      <c r="D627" s="2" t="s">
        <v>432</v>
      </c>
      <c r="E627" s="3">
        <v>20</v>
      </c>
      <c r="F627" s="3">
        <v>20</v>
      </c>
      <c r="G627" s="4">
        <v>43480</v>
      </c>
    </row>
    <row r="628" spans="2:18">
      <c r="C628" s="2" t="s">
        <v>4</v>
      </c>
      <c r="D628" s="2" t="s">
        <v>432</v>
      </c>
      <c r="E628" s="3">
        <v>7</v>
      </c>
      <c r="F628" s="3">
        <v>2</v>
      </c>
      <c r="G628" s="4">
        <v>43046</v>
      </c>
    </row>
    <row r="629" spans="2:18">
      <c r="C629" s="2" t="s">
        <v>7</v>
      </c>
      <c r="D629" s="2" t="s">
        <v>1095</v>
      </c>
      <c r="E629" s="3">
        <v>37</v>
      </c>
      <c r="F629" s="3">
        <v>4</v>
      </c>
      <c r="G629" s="4">
        <v>44860</v>
      </c>
    </row>
    <row r="630" spans="2:18">
      <c r="C630" s="2" t="s">
        <v>7</v>
      </c>
      <c r="D630" s="2" t="s">
        <v>1095</v>
      </c>
      <c r="E630" s="3">
        <v>80</v>
      </c>
      <c r="F630" s="3">
        <v>10</v>
      </c>
      <c r="G630" s="4">
        <v>44327</v>
      </c>
    </row>
    <row r="631" spans="2:18">
      <c r="C631" s="2" t="s">
        <v>5</v>
      </c>
      <c r="D631" s="2" t="s">
        <v>1095</v>
      </c>
      <c r="E631" s="3">
        <v>30</v>
      </c>
      <c r="F631" s="3">
        <v>7</v>
      </c>
      <c r="G631" s="4">
        <v>43963</v>
      </c>
    </row>
    <row r="632" spans="2:18">
      <c r="C632" s="2" t="s">
        <v>18</v>
      </c>
      <c r="D632" s="2" t="s">
        <v>317</v>
      </c>
      <c r="E632" s="3">
        <v>110</v>
      </c>
      <c r="F632" s="3">
        <f>70/5</f>
        <v>14</v>
      </c>
      <c r="G632" s="4">
        <v>44369</v>
      </c>
    </row>
    <row r="633" spans="2:18">
      <c r="C633" s="2" t="s">
        <v>7</v>
      </c>
      <c r="D633" s="2" t="s">
        <v>317</v>
      </c>
      <c r="E633" s="3">
        <v>40</v>
      </c>
      <c r="F633" s="3">
        <v>4</v>
      </c>
      <c r="G633" s="4">
        <v>43419</v>
      </c>
    </row>
    <row r="634" spans="2:18">
      <c r="C634" s="2" t="s">
        <v>5</v>
      </c>
      <c r="D634" s="2" t="s">
        <v>317</v>
      </c>
      <c r="E634" s="3">
        <v>14.7</v>
      </c>
      <c r="F634" s="3">
        <v>2.25</v>
      </c>
      <c r="G634" s="4">
        <v>43032</v>
      </c>
    </row>
    <row r="635" spans="2:18">
      <c r="C635" s="2" t="s">
        <v>7</v>
      </c>
      <c r="D635" s="2" t="s">
        <v>97</v>
      </c>
      <c r="E635" s="3">
        <v>25</v>
      </c>
      <c r="F635" s="3">
        <v>3</v>
      </c>
      <c r="G635" s="4">
        <v>43783</v>
      </c>
    </row>
    <row r="636" spans="2:18">
      <c r="C636" s="2" t="s">
        <v>5</v>
      </c>
      <c r="D636" s="2" t="s">
        <v>97</v>
      </c>
      <c r="E636" s="3">
        <v>10</v>
      </c>
      <c r="F636" s="3">
        <v>2.5</v>
      </c>
      <c r="G636" s="4">
        <v>42304</v>
      </c>
    </row>
    <row r="637" spans="2:18">
      <c r="C637" s="2" t="s">
        <v>4</v>
      </c>
      <c r="D637" s="2" t="s">
        <v>97</v>
      </c>
      <c r="E637" s="3">
        <v>5</v>
      </c>
      <c r="F637" s="3">
        <f>E637/3</f>
        <v>1.6666666666666667</v>
      </c>
      <c r="G637" s="4">
        <v>41940</v>
      </c>
    </row>
    <row r="638" spans="2:18">
      <c r="G638" s="4"/>
    </row>
    <row r="639" spans="2:18" s="12" customFormat="1">
      <c r="B639" s="12" t="s">
        <v>1133</v>
      </c>
      <c r="C639" s="13" t="s">
        <v>986</v>
      </c>
      <c r="D639" s="13" t="s">
        <v>985</v>
      </c>
      <c r="E639" s="15"/>
      <c r="F639" s="15">
        <f>SUM(F640:F646)</f>
        <v>140.66666666666666</v>
      </c>
      <c r="G639" s="14">
        <f>G640</f>
        <v>44378</v>
      </c>
      <c r="M639" s="13"/>
      <c r="N639" s="13"/>
      <c r="O639" s="13"/>
      <c r="P639" s="13"/>
      <c r="Q639" s="13"/>
      <c r="R639" s="13"/>
    </row>
    <row r="640" spans="2:18">
      <c r="C640" s="2" t="s">
        <v>5</v>
      </c>
      <c r="D640" s="2" t="s">
        <v>877</v>
      </c>
      <c r="E640" s="3">
        <v>10</v>
      </c>
      <c r="F640" s="3">
        <v>3</v>
      </c>
      <c r="G640" s="4">
        <v>44378</v>
      </c>
    </row>
    <row r="641" spans="2:9">
      <c r="C641" s="2" t="s">
        <v>8</v>
      </c>
      <c r="D641" s="2" t="s">
        <v>218</v>
      </c>
      <c r="E641" s="3">
        <v>700</v>
      </c>
      <c r="F641" s="3">
        <f>400/12</f>
        <v>33.333333333333336</v>
      </c>
      <c r="G641" s="4">
        <v>44218</v>
      </c>
    </row>
    <row r="642" spans="2:9">
      <c r="C642" s="2" t="s">
        <v>18</v>
      </c>
      <c r="D642" s="2" t="s">
        <v>218</v>
      </c>
      <c r="E642" s="3">
        <v>140</v>
      </c>
      <c r="F642" s="3">
        <f>E642/9</f>
        <v>15.555555555555555</v>
      </c>
      <c r="G642" s="4">
        <v>43453</v>
      </c>
    </row>
    <row r="643" spans="2:9">
      <c r="C643" s="2" t="s">
        <v>7</v>
      </c>
      <c r="D643" s="2" t="s">
        <v>166</v>
      </c>
      <c r="E643" s="3">
        <v>462</v>
      </c>
      <c r="F643" s="3">
        <f>162/2</f>
        <v>81</v>
      </c>
      <c r="G643" s="4">
        <v>43886</v>
      </c>
      <c r="I643" s="1">
        <v>2500</v>
      </c>
    </row>
    <row r="644" spans="2:9">
      <c r="C644" s="2" t="s">
        <v>5</v>
      </c>
      <c r="D644" s="2" t="s">
        <v>166</v>
      </c>
      <c r="E644" s="3">
        <v>102</v>
      </c>
      <c r="F644" s="3">
        <f>70/9</f>
        <v>7.7777777777777777</v>
      </c>
      <c r="G644" s="4">
        <v>43292</v>
      </c>
    </row>
    <row r="645" spans="2:9">
      <c r="C645" s="2" t="s">
        <v>9</v>
      </c>
      <c r="D645" s="2" t="s">
        <v>153</v>
      </c>
      <c r="E645" s="3">
        <v>300</v>
      </c>
      <c r="F645" s="6" t="s">
        <v>1068</v>
      </c>
      <c r="G645" s="4">
        <v>44271</v>
      </c>
    </row>
    <row r="646" spans="2:9">
      <c r="C646" s="2" t="s">
        <v>8</v>
      </c>
      <c r="D646" s="2" t="s">
        <v>153</v>
      </c>
      <c r="E646" s="3">
        <v>38</v>
      </c>
      <c r="F646" s="6" t="s">
        <v>1067</v>
      </c>
      <c r="G646" s="4">
        <v>43266</v>
      </c>
    </row>
    <row r="647" spans="2:9">
      <c r="C647" s="2" t="s">
        <v>8</v>
      </c>
      <c r="D647" s="2" t="s">
        <v>2186</v>
      </c>
      <c r="E647" s="3">
        <v>220</v>
      </c>
      <c r="F647" s="6">
        <v>20</v>
      </c>
      <c r="G647" s="4">
        <v>44287</v>
      </c>
    </row>
    <row r="648" spans="2:9">
      <c r="G648" s="4"/>
    </row>
    <row r="649" spans="2:9">
      <c r="B649" s="12" t="s">
        <v>1132</v>
      </c>
      <c r="C649" s="13" t="s">
        <v>986</v>
      </c>
      <c r="D649" s="13" t="s">
        <v>985</v>
      </c>
      <c r="F649" s="15">
        <f>SUM(F650:F660)</f>
        <v>131.78571428571428</v>
      </c>
      <c r="G649" s="14">
        <f>G650</f>
        <v>44852</v>
      </c>
    </row>
    <row r="650" spans="2:9">
      <c r="C650" s="2" t="s">
        <v>5</v>
      </c>
      <c r="D650" s="2" t="s">
        <v>775</v>
      </c>
      <c r="E650" s="3">
        <v>125</v>
      </c>
      <c r="F650" s="3">
        <v>15</v>
      </c>
      <c r="G650" s="4">
        <v>44852</v>
      </c>
    </row>
    <row r="651" spans="2:9">
      <c r="C651" s="2" t="s">
        <v>5</v>
      </c>
      <c r="D651" s="2" t="s">
        <v>728</v>
      </c>
      <c r="E651" s="3">
        <v>12.5</v>
      </c>
      <c r="F651" s="3">
        <v>2</v>
      </c>
      <c r="G651" s="4">
        <v>44784</v>
      </c>
    </row>
    <row r="652" spans="2:9">
      <c r="C652" s="2" t="s">
        <v>5</v>
      </c>
      <c r="D652" s="2" t="s">
        <v>728</v>
      </c>
      <c r="E652" s="3">
        <v>10</v>
      </c>
      <c r="F652" s="3">
        <v>2</v>
      </c>
      <c r="G652" s="4">
        <v>44110</v>
      </c>
    </row>
    <row r="653" spans="2:9">
      <c r="C653" s="2" t="s">
        <v>7</v>
      </c>
      <c r="D653" s="2" t="s">
        <v>617</v>
      </c>
      <c r="E653" s="3">
        <v>25</v>
      </c>
      <c r="F653" s="3">
        <v>2</v>
      </c>
      <c r="G653" s="4">
        <v>43440</v>
      </c>
    </row>
    <row r="654" spans="2:9">
      <c r="C654" s="2" t="s">
        <v>18</v>
      </c>
      <c r="D654" s="2" t="s">
        <v>381</v>
      </c>
      <c r="E654" s="3">
        <v>130</v>
      </c>
      <c r="F654" s="3">
        <v>14.285714285714286</v>
      </c>
      <c r="G654" s="4">
        <v>44323</v>
      </c>
    </row>
    <row r="655" spans="2:9">
      <c r="C655" s="2" t="s">
        <v>7</v>
      </c>
      <c r="D655" s="2" t="s">
        <v>381</v>
      </c>
      <c r="E655" s="3">
        <v>44</v>
      </c>
      <c r="F655" s="3">
        <v>5</v>
      </c>
      <c r="G655" s="4">
        <v>43909</v>
      </c>
    </row>
    <row r="656" spans="2:9">
      <c r="C656" s="2" t="s">
        <v>5</v>
      </c>
      <c r="D656" s="2" t="s">
        <v>381</v>
      </c>
      <c r="E656" s="3">
        <v>15</v>
      </c>
      <c r="F656" s="3">
        <v>3</v>
      </c>
      <c r="G656" s="4">
        <v>43452</v>
      </c>
    </row>
    <row r="657" spans="2:18">
      <c r="C657" s="2" t="s">
        <v>4</v>
      </c>
      <c r="D657" s="2" t="s">
        <v>381</v>
      </c>
      <c r="E657" s="3">
        <v>2.5</v>
      </c>
      <c r="F657" s="3">
        <v>1.5</v>
      </c>
      <c r="G657" s="4">
        <v>42936</v>
      </c>
    </row>
    <row r="658" spans="2:18">
      <c r="C658" s="2" t="s">
        <v>8</v>
      </c>
      <c r="D658" s="2" t="s">
        <v>15</v>
      </c>
      <c r="E658" s="3">
        <v>220</v>
      </c>
      <c r="F658" s="3">
        <v>30</v>
      </c>
      <c r="G658" s="4">
        <v>44502</v>
      </c>
      <c r="I658" s="1">
        <v>794</v>
      </c>
      <c r="J658" s="1">
        <v>794</v>
      </c>
    </row>
    <row r="659" spans="2:18">
      <c r="C659" s="2" t="s">
        <v>8</v>
      </c>
      <c r="D659" s="2" t="s">
        <v>15</v>
      </c>
      <c r="E659" s="3">
        <v>220</v>
      </c>
      <c r="F659" s="3">
        <v>27</v>
      </c>
      <c r="G659" s="4">
        <v>44322</v>
      </c>
      <c r="I659" s="1">
        <v>780</v>
      </c>
      <c r="J659" s="1">
        <v>780</v>
      </c>
    </row>
    <row r="660" spans="2:18">
      <c r="C660" s="2" t="s">
        <v>18</v>
      </c>
      <c r="D660" s="2" t="s">
        <v>15</v>
      </c>
      <c r="E660" s="3">
        <v>60</v>
      </c>
      <c r="F660" s="3">
        <v>30</v>
      </c>
      <c r="G660" s="4">
        <v>43528</v>
      </c>
    </row>
    <row r="661" spans="2:18">
      <c r="G661" s="4"/>
    </row>
    <row r="662" spans="2:18" s="12" customFormat="1">
      <c r="B662" s="12" t="s">
        <v>1131</v>
      </c>
      <c r="C662" s="13" t="s">
        <v>986</v>
      </c>
      <c r="D662" s="13" t="s">
        <v>985</v>
      </c>
      <c r="E662" s="15"/>
      <c r="F662" s="15">
        <f>SUM(F663:F664)</f>
        <v>130</v>
      </c>
      <c r="G662" s="14">
        <f>G663</f>
        <v>44376</v>
      </c>
    </row>
    <row r="663" spans="2:18">
      <c r="C663" s="2" t="s">
        <v>513</v>
      </c>
      <c r="D663" s="2" t="s">
        <v>498</v>
      </c>
      <c r="E663" s="3">
        <v>250</v>
      </c>
      <c r="F663" s="3">
        <f>150/5</f>
        <v>30</v>
      </c>
      <c r="G663" s="4">
        <v>44376</v>
      </c>
      <c r="M663" s="1"/>
      <c r="N663" s="1"/>
      <c r="O663" s="1"/>
      <c r="P663" s="1"/>
      <c r="Q663" s="1"/>
      <c r="R663" s="1"/>
    </row>
    <row r="664" spans="2:18">
      <c r="C664" s="2" t="s">
        <v>9</v>
      </c>
      <c r="D664" s="2" t="s">
        <v>57</v>
      </c>
      <c r="E664" s="3">
        <v>250</v>
      </c>
      <c r="F664" s="3">
        <v>100</v>
      </c>
      <c r="G664" s="4">
        <v>44350</v>
      </c>
      <c r="I664" s="1">
        <v>7000</v>
      </c>
      <c r="J664" s="1">
        <v>7000</v>
      </c>
      <c r="M664" s="1"/>
      <c r="N664" s="1"/>
      <c r="O664" s="1"/>
      <c r="P664" s="1"/>
      <c r="Q664" s="1"/>
      <c r="R664" s="1"/>
    </row>
    <row r="665" spans="2:18">
      <c r="G665" s="4"/>
      <c r="M665" s="1"/>
      <c r="N665" s="1"/>
      <c r="O665" s="1"/>
      <c r="P665" s="1"/>
      <c r="Q665" s="1"/>
      <c r="R665" s="1"/>
    </row>
    <row r="666" spans="2:18">
      <c r="B666" s="12" t="s">
        <v>1130</v>
      </c>
      <c r="C666" s="13" t="s">
        <v>986</v>
      </c>
      <c r="D666" s="13" t="s">
        <v>985</v>
      </c>
      <c r="F666" s="15">
        <f>SUM(F667:F685)</f>
        <v>128.23333333333335</v>
      </c>
      <c r="G666" s="14">
        <f>G675</f>
        <v>45041</v>
      </c>
    </row>
    <row r="667" spans="2:18">
      <c r="B667" s="12"/>
      <c r="C667" s="2" t="s">
        <v>7</v>
      </c>
      <c r="D667" s="2" t="s">
        <v>965</v>
      </c>
      <c r="E667" s="3">
        <v>350</v>
      </c>
      <c r="F667" s="3">
        <v>20</v>
      </c>
      <c r="G667" s="4">
        <v>44999</v>
      </c>
    </row>
    <row r="668" spans="2:18">
      <c r="C668" s="2" t="s">
        <v>18</v>
      </c>
      <c r="D668" s="2" t="s">
        <v>940</v>
      </c>
      <c r="E668" s="3">
        <v>100</v>
      </c>
      <c r="F668" s="3">
        <v>9</v>
      </c>
      <c r="G668" s="4">
        <v>44690</v>
      </c>
    </row>
    <row r="669" spans="2:18">
      <c r="C669" s="2" t="s">
        <v>4</v>
      </c>
      <c r="D669" s="2" t="s">
        <v>940</v>
      </c>
      <c r="E669" s="3">
        <v>4</v>
      </c>
      <c r="F669" s="3">
        <v>1</v>
      </c>
      <c r="G669" s="4">
        <v>43243</v>
      </c>
    </row>
    <row r="670" spans="2:18">
      <c r="C670" s="2" t="s">
        <v>560</v>
      </c>
      <c r="D670" s="2" t="s">
        <v>940</v>
      </c>
      <c r="E670" s="3">
        <v>1.2</v>
      </c>
      <c r="F670" s="3">
        <v>0.2</v>
      </c>
      <c r="G670" s="4">
        <v>42799</v>
      </c>
    </row>
    <row r="671" spans="2:18">
      <c r="C671" s="2" t="s">
        <v>5</v>
      </c>
      <c r="D671" s="2" t="s">
        <v>949</v>
      </c>
      <c r="E671" s="3">
        <v>150</v>
      </c>
      <c r="F671" s="3">
        <v>10</v>
      </c>
      <c r="G671" s="4">
        <v>45008</v>
      </c>
    </row>
    <row r="672" spans="2:18">
      <c r="C672" s="2" t="s">
        <v>4</v>
      </c>
      <c r="D672" s="2" t="s">
        <v>1023</v>
      </c>
      <c r="E672" s="3">
        <v>5</v>
      </c>
      <c r="F672" s="3">
        <v>1</v>
      </c>
      <c r="G672" s="4">
        <v>43438</v>
      </c>
    </row>
    <row r="673" spans="2:18">
      <c r="C673" s="2" t="s">
        <v>4</v>
      </c>
      <c r="D673" s="2" t="s">
        <v>701</v>
      </c>
      <c r="E673" s="3">
        <v>30</v>
      </c>
      <c r="F673" s="3">
        <v>5</v>
      </c>
      <c r="G673" s="4">
        <v>44742</v>
      </c>
    </row>
    <row r="674" spans="2:18">
      <c r="C674" s="2" t="s">
        <v>5</v>
      </c>
      <c r="D674" s="2" t="s">
        <v>695</v>
      </c>
      <c r="E674" s="3">
        <v>21</v>
      </c>
      <c r="F674" s="3">
        <f>11/3</f>
        <v>3.6666666666666665</v>
      </c>
      <c r="G674" s="4">
        <v>45027</v>
      </c>
    </row>
    <row r="675" spans="2:18">
      <c r="C675" s="2" t="s">
        <v>7</v>
      </c>
      <c r="D675" s="2" t="s">
        <v>921</v>
      </c>
      <c r="E675" s="3">
        <v>97.4</v>
      </c>
      <c r="F675" s="3">
        <f>47/6</f>
        <v>7.833333333333333</v>
      </c>
      <c r="G675" s="4">
        <v>45041</v>
      </c>
    </row>
    <row r="676" spans="2:18">
      <c r="C676" s="2" t="s">
        <v>285</v>
      </c>
      <c r="D676" s="2" t="s">
        <v>788</v>
      </c>
      <c r="E676" s="3">
        <v>4.5</v>
      </c>
      <c r="F676" s="3">
        <v>1</v>
      </c>
      <c r="G676" s="4">
        <v>44691</v>
      </c>
    </row>
    <row r="677" spans="2:18">
      <c r="C677" s="2" t="s">
        <v>5</v>
      </c>
      <c r="D677" s="2" t="s">
        <v>1092</v>
      </c>
      <c r="E677" s="3">
        <v>5.3</v>
      </c>
      <c r="F677" s="3">
        <v>2.5</v>
      </c>
      <c r="G677" s="4">
        <v>44978</v>
      </c>
    </row>
    <row r="678" spans="2:18">
      <c r="C678" s="2" t="s">
        <v>5</v>
      </c>
      <c r="D678" s="2" t="s">
        <v>530</v>
      </c>
      <c r="E678" s="3">
        <v>7</v>
      </c>
      <c r="F678" s="3">
        <v>1</v>
      </c>
      <c r="G678" s="4">
        <v>42885</v>
      </c>
    </row>
    <row r="679" spans="2:18">
      <c r="C679" s="2" t="s">
        <v>4</v>
      </c>
      <c r="D679" s="2" t="s">
        <v>530</v>
      </c>
      <c r="E679" s="3">
        <v>3</v>
      </c>
      <c r="F679" s="3">
        <v>0.5</v>
      </c>
      <c r="G679" s="4">
        <v>42606</v>
      </c>
    </row>
    <row r="680" spans="2:18">
      <c r="C680" s="2" t="s">
        <v>7</v>
      </c>
      <c r="D680" s="2" t="s">
        <v>1129</v>
      </c>
      <c r="E680" s="3">
        <v>18</v>
      </c>
      <c r="F680" s="3">
        <v>4.5</v>
      </c>
      <c r="G680" s="4">
        <v>44831</v>
      </c>
    </row>
    <row r="681" spans="2:18">
      <c r="C681" s="2" t="s">
        <v>5</v>
      </c>
      <c r="D681" s="2" t="s">
        <v>1129</v>
      </c>
      <c r="E681" s="3">
        <v>18.5</v>
      </c>
      <c r="F681" s="3">
        <v>5</v>
      </c>
      <c r="G681" s="4">
        <v>44658</v>
      </c>
    </row>
    <row r="682" spans="2:18">
      <c r="C682" s="2" t="s">
        <v>4</v>
      </c>
      <c r="D682" s="2" t="s">
        <v>432</v>
      </c>
      <c r="E682" s="3">
        <v>7</v>
      </c>
      <c r="F682" s="3">
        <v>0.83333333333333337</v>
      </c>
      <c r="G682" s="4">
        <v>43046</v>
      </c>
    </row>
    <row r="683" spans="2:18">
      <c r="C683" s="2" t="s">
        <v>4</v>
      </c>
      <c r="D683" s="2" t="s">
        <v>309</v>
      </c>
      <c r="E683" s="3">
        <v>1.8</v>
      </c>
      <c r="F683" s="3">
        <f>+E683/9</f>
        <v>0.2</v>
      </c>
      <c r="G683" s="4">
        <v>42690</v>
      </c>
    </row>
    <row r="684" spans="2:18">
      <c r="C684" s="2" t="s">
        <v>7</v>
      </c>
      <c r="D684" s="2" t="s">
        <v>76</v>
      </c>
      <c r="E684" s="3">
        <v>25</v>
      </c>
      <c r="F684" s="3">
        <v>5</v>
      </c>
      <c r="G684" s="4">
        <v>42723</v>
      </c>
      <c r="I684" s="1">
        <v>245</v>
      </c>
      <c r="J684" s="1">
        <v>3800</v>
      </c>
    </row>
    <row r="685" spans="2:18">
      <c r="C685" s="2" t="s">
        <v>1</v>
      </c>
      <c r="D685" s="2" t="s">
        <v>0</v>
      </c>
      <c r="E685" s="3">
        <v>300</v>
      </c>
      <c r="F685" s="3">
        <v>50</v>
      </c>
      <c r="G685" s="4">
        <v>45044</v>
      </c>
      <c r="I685" s="1">
        <v>28700</v>
      </c>
      <c r="J685" s="1">
        <v>28700</v>
      </c>
    </row>
    <row r="686" spans="2:18">
      <c r="G686" s="4"/>
    </row>
    <row r="687" spans="2:18" s="12" customFormat="1">
      <c r="B687" s="12" t="s">
        <v>1128</v>
      </c>
      <c r="C687" s="13" t="s">
        <v>986</v>
      </c>
      <c r="D687" s="13" t="s">
        <v>985</v>
      </c>
      <c r="E687" s="15"/>
      <c r="F687" s="15">
        <f>SUM(F688:F694)</f>
        <v>127.32619047619048</v>
      </c>
      <c r="G687" s="14">
        <f>G689</f>
        <v>44811</v>
      </c>
      <c r="M687" s="13"/>
      <c r="N687" s="13"/>
      <c r="O687" s="13"/>
      <c r="P687" s="13"/>
      <c r="Q687" s="13"/>
      <c r="R687" s="13"/>
    </row>
    <row r="688" spans="2:18">
      <c r="C688" s="2" t="s">
        <v>4</v>
      </c>
      <c r="D688" s="2" t="s">
        <v>689</v>
      </c>
      <c r="E688" s="3">
        <v>15</v>
      </c>
      <c r="F688" s="3">
        <f>15/7</f>
        <v>2.1428571428571428</v>
      </c>
      <c r="G688" s="4">
        <v>44691</v>
      </c>
    </row>
    <row r="689" spans="2:18">
      <c r="C689" s="2" t="s">
        <v>7</v>
      </c>
      <c r="D689" s="2" t="s">
        <v>552</v>
      </c>
      <c r="E689" s="3">
        <v>40</v>
      </c>
      <c r="F689" s="3">
        <f>25/4</f>
        <v>6.25</v>
      </c>
      <c r="G689" s="4">
        <v>44811</v>
      </c>
    </row>
    <row r="690" spans="2:18">
      <c r="C690" s="2" t="s">
        <v>5</v>
      </c>
      <c r="D690" s="2" t="s">
        <v>552</v>
      </c>
      <c r="E690" s="3">
        <v>14</v>
      </c>
      <c r="F690" s="3">
        <f>8/5</f>
        <v>1.6</v>
      </c>
      <c r="G690" s="4">
        <v>44447</v>
      </c>
    </row>
    <row r="691" spans="2:18">
      <c r="C691" s="2" t="s">
        <v>5</v>
      </c>
      <c r="D691" s="2" t="s">
        <v>552</v>
      </c>
      <c r="E691" s="3">
        <v>12</v>
      </c>
      <c r="F691" s="3">
        <v>4</v>
      </c>
      <c r="G691" s="4">
        <v>43532</v>
      </c>
    </row>
    <row r="692" spans="2:18">
      <c r="C692" s="2" t="s">
        <v>9</v>
      </c>
      <c r="D692" s="2" t="s">
        <v>3</v>
      </c>
      <c r="E692" s="3">
        <v>90</v>
      </c>
      <c r="F692" s="3">
        <v>10</v>
      </c>
      <c r="G692" s="4">
        <v>44721</v>
      </c>
      <c r="I692" s="1">
        <v>2200</v>
      </c>
      <c r="J692" s="1">
        <v>2200</v>
      </c>
    </row>
    <row r="693" spans="2:18">
      <c r="C693" s="2" t="s">
        <v>8</v>
      </c>
      <c r="D693" s="2" t="s">
        <v>3</v>
      </c>
      <c r="E693" s="3">
        <v>210</v>
      </c>
      <c r="F693" s="3">
        <v>33.333333333333336</v>
      </c>
      <c r="G693" s="4">
        <v>44432</v>
      </c>
      <c r="I693" s="1">
        <v>1000</v>
      </c>
      <c r="J693" s="1">
        <v>2200</v>
      </c>
    </row>
    <row r="694" spans="2:18">
      <c r="C694" s="2" t="s">
        <v>18</v>
      </c>
      <c r="D694" s="2" t="s">
        <v>3</v>
      </c>
      <c r="E694" s="3">
        <v>70</v>
      </c>
      <c r="F694" s="3">
        <v>70</v>
      </c>
      <c r="G694" s="4">
        <v>44250</v>
      </c>
      <c r="J694" s="1">
        <v>2200</v>
      </c>
    </row>
    <row r="695" spans="2:18">
      <c r="G695" s="4"/>
    </row>
    <row r="696" spans="2:18" s="12" customFormat="1">
      <c r="B696" s="12" t="s">
        <v>1127</v>
      </c>
      <c r="C696" s="13" t="s">
        <v>986</v>
      </c>
      <c r="D696" s="13" t="s">
        <v>985</v>
      </c>
      <c r="E696" s="15"/>
      <c r="F696" s="15">
        <f>SUM(F697:F706)</f>
        <v>124.03571428571428</v>
      </c>
      <c r="G696" s="14">
        <f>G697</f>
        <v>45090</v>
      </c>
    </row>
    <row r="697" spans="2:18">
      <c r="C697" s="2" t="s">
        <v>18</v>
      </c>
      <c r="D697" s="2" t="s">
        <v>411</v>
      </c>
      <c r="E697" s="3">
        <v>90</v>
      </c>
      <c r="F697" s="3">
        <v>15</v>
      </c>
      <c r="G697" s="4">
        <v>45090</v>
      </c>
      <c r="M697" s="1"/>
      <c r="N697" s="1"/>
      <c r="O697" s="1"/>
      <c r="P697" s="1"/>
      <c r="Q697" s="1"/>
      <c r="R697" s="1"/>
    </row>
    <row r="698" spans="2:18">
      <c r="C698" s="2" t="s">
        <v>7</v>
      </c>
      <c r="D698" s="2" t="s">
        <v>411</v>
      </c>
      <c r="E698" s="3">
        <v>50</v>
      </c>
      <c r="F698" s="3">
        <f>30/6</f>
        <v>5</v>
      </c>
      <c r="G698" s="4">
        <v>44538</v>
      </c>
      <c r="M698" s="1"/>
      <c r="N698" s="1"/>
      <c r="O698" s="1"/>
      <c r="P698" s="1"/>
      <c r="Q698" s="1"/>
      <c r="R698" s="1"/>
    </row>
    <row r="699" spans="2:18">
      <c r="C699" s="2" t="s">
        <v>5</v>
      </c>
      <c r="D699" s="2" t="s">
        <v>411</v>
      </c>
      <c r="E699" s="3">
        <v>12.5</v>
      </c>
      <c r="F699" s="3">
        <f>+E699/2</f>
        <v>6.25</v>
      </c>
      <c r="G699" s="4">
        <v>44306</v>
      </c>
      <c r="M699" s="1"/>
      <c r="N699" s="1"/>
      <c r="O699" s="1"/>
      <c r="P699" s="1"/>
      <c r="Q699" s="1"/>
      <c r="R699" s="1"/>
    </row>
    <row r="700" spans="2:18">
      <c r="C700" s="2" t="s">
        <v>18</v>
      </c>
      <c r="D700" s="2" t="s">
        <v>381</v>
      </c>
      <c r="E700" s="3">
        <v>130</v>
      </c>
      <c r="F700" s="3">
        <f>100/7</f>
        <v>14.285714285714286</v>
      </c>
      <c r="G700" s="4">
        <v>44323</v>
      </c>
      <c r="M700" s="1"/>
      <c r="N700" s="1"/>
      <c r="O700" s="1"/>
      <c r="P700" s="1"/>
      <c r="Q700" s="1"/>
      <c r="R700" s="1"/>
    </row>
    <row r="701" spans="2:18">
      <c r="C701" s="2" t="s">
        <v>7</v>
      </c>
      <c r="D701" s="2" t="s">
        <v>381</v>
      </c>
      <c r="E701" s="3">
        <v>44</v>
      </c>
      <c r="F701" s="3">
        <v>5</v>
      </c>
      <c r="G701" s="4">
        <v>43909</v>
      </c>
      <c r="M701" s="1"/>
      <c r="N701" s="1"/>
      <c r="O701" s="1"/>
      <c r="P701" s="1"/>
      <c r="Q701" s="1"/>
      <c r="R701" s="1"/>
    </row>
    <row r="702" spans="2:18">
      <c r="C702" s="2" t="s">
        <v>5</v>
      </c>
      <c r="D702" s="2" t="s">
        <v>381</v>
      </c>
      <c r="E702" s="3">
        <v>15</v>
      </c>
      <c r="F702" s="3">
        <v>5</v>
      </c>
      <c r="G702" s="4">
        <v>43452</v>
      </c>
      <c r="M702" s="1"/>
      <c r="N702" s="1"/>
      <c r="O702" s="1"/>
      <c r="P702" s="1"/>
      <c r="Q702" s="1"/>
      <c r="R702" s="1"/>
    </row>
    <row r="703" spans="2:18">
      <c r="C703" s="2" t="s">
        <v>9</v>
      </c>
      <c r="D703" s="2" t="s">
        <v>159</v>
      </c>
      <c r="E703" s="3">
        <v>400</v>
      </c>
      <c r="F703" s="3">
        <v>36</v>
      </c>
      <c r="G703" s="4">
        <v>44413</v>
      </c>
      <c r="M703" s="1"/>
      <c r="N703" s="1"/>
      <c r="O703" s="1"/>
      <c r="P703" s="1"/>
      <c r="Q703" s="1"/>
      <c r="R703" s="1"/>
    </row>
    <row r="704" spans="2:18">
      <c r="C704" s="2" t="s">
        <v>8</v>
      </c>
      <c r="D704" s="2" t="s">
        <v>159</v>
      </c>
      <c r="E704" s="3">
        <v>100</v>
      </c>
      <c r="F704" s="3">
        <f>75/6</f>
        <v>12.5</v>
      </c>
      <c r="G704" s="4">
        <v>44067</v>
      </c>
      <c r="M704" s="1"/>
      <c r="N704" s="1"/>
      <c r="O704" s="1"/>
      <c r="P704" s="1"/>
      <c r="Q704" s="1"/>
      <c r="R704" s="1"/>
    </row>
    <row r="705" spans="2:18">
      <c r="C705" s="2" t="s">
        <v>18</v>
      </c>
      <c r="D705" s="2" t="s">
        <v>159</v>
      </c>
      <c r="E705" s="3">
        <v>101</v>
      </c>
      <c r="F705" s="3">
        <f>60/4</f>
        <v>15</v>
      </c>
      <c r="G705" s="4">
        <v>43453</v>
      </c>
      <c r="M705" s="1"/>
      <c r="N705" s="1"/>
      <c r="O705" s="1"/>
      <c r="P705" s="1"/>
      <c r="Q705" s="1"/>
      <c r="R705" s="1"/>
    </row>
    <row r="706" spans="2:18">
      <c r="C706" s="2" t="s">
        <v>7</v>
      </c>
      <c r="D706" s="2" t="s">
        <v>159</v>
      </c>
      <c r="E706" s="3">
        <v>14</v>
      </c>
      <c r="F706" s="3">
        <v>10</v>
      </c>
      <c r="G706" s="4">
        <v>42668</v>
      </c>
      <c r="M706" s="1"/>
      <c r="N706" s="1"/>
      <c r="O706" s="1"/>
      <c r="P706" s="1"/>
      <c r="Q706" s="1"/>
      <c r="R706" s="1"/>
    </row>
    <row r="707" spans="2:18">
      <c r="G707" s="4"/>
      <c r="M707" s="1"/>
      <c r="N707" s="1"/>
      <c r="O707" s="1"/>
      <c r="P707" s="1"/>
      <c r="Q707" s="1"/>
      <c r="R707" s="1"/>
    </row>
    <row r="708" spans="2:18" s="12" customFormat="1">
      <c r="B708" s="12" t="s">
        <v>1126</v>
      </c>
      <c r="C708" s="13" t="s">
        <v>986</v>
      </c>
      <c r="D708" s="13" t="s">
        <v>985</v>
      </c>
      <c r="E708" s="15"/>
      <c r="F708" s="15">
        <f>SUM(F709:F717)</f>
        <v>122.44444444444444</v>
      </c>
      <c r="G708" s="14">
        <f>G710</f>
        <v>45090</v>
      </c>
      <c r="M708" s="13"/>
      <c r="N708" s="13"/>
      <c r="O708" s="13"/>
      <c r="P708" s="13"/>
      <c r="Q708" s="13"/>
      <c r="R708" s="13"/>
    </row>
    <row r="709" spans="2:18">
      <c r="C709" s="2" t="s">
        <v>5</v>
      </c>
      <c r="D709" s="2" t="s">
        <v>1017</v>
      </c>
      <c r="E709" s="3">
        <v>25</v>
      </c>
      <c r="F709" s="3">
        <v>5</v>
      </c>
      <c r="G709" s="4">
        <v>44699</v>
      </c>
    </row>
    <row r="710" spans="2:18">
      <c r="C710" s="2" t="s">
        <v>4</v>
      </c>
      <c r="D710" s="2" t="s">
        <v>717</v>
      </c>
      <c r="E710" s="3">
        <v>113</v>
      </c>
      <c r="F710" s="3">
        <v>8</v>
      </c>
      <c r="G710" s="4">
        <v>45090</v>
      </c>
    </row>
    <row r="711" spans="2:18">
      <c r="C711" s="2" t="s">
        <v>4</v>
      </c>
      <c r="D711" s="2" t="s">
        <v>663</v>
      </c>
      <c r="E711" s="3">
        <v>12</v>
      </c>
      <c r="F711" s="3">
        <v>4</v>
      </c>
      <c r="G711" s="4">
        <v>44971</v>
      </c>
    </row>
    <row r="712" spans="2:18">
      <c r="C712" s="2" t="s">
        <v>5</v>
      </c>
      <c r="D712" s="2" t="s">
        <v>166</v>
      </c>
      <c r="E712" s="3">
        <v>102</v>
      </c>
      <c r="F712" s="3">
        <f>70/9</f>
        <v>7.7777777777777777</v>
      </c>
      <c r="G712" s="4">
        <v>43292</v>
      </c>
    </row>
    <row r="713" spans="2:18">
      <c r="C713" s="2" t="s">
        <v>18</v>
      </c>
      <c r="D713" s="2" t="s">
        <v>82</v>
      </c>
      <c r="E713" s="3">
        <v>257</v>
      </c>
      <c r="F713" s="3">
        <f>107/3</f>
        <v>35.666666666666664</v>
      </c>
      <c r="G713" s="4">
        <v>44201</v>
      </c>
    </row>
    <row r="714" spans="2:18">
      <c r="C714" s="2" t="s">
        <v>7</v>
      </c>
      <c r="D714" s="2" t="s">
        <v>82</v>
      </c>
      <c r="E714" s="3">
        <v>100</v>
      </c>
      <c r="F714" s="3">
        <v>20</v>
      </c>
      <c r="G714" s="4">
        <v>43958</v>
      </c>
    </row>
    <row r="715" spans="2:18">
      <c r="C715" s="2" t="s">
        <v>5</v>
      </c>
      <c r="D715" s="2" t="s">
        <v>82</v>
      </c>
      <c r="E715" s="3">
        <v>43</v>
      </c>
      <c r="F715" s="3">
        <f>+E715/6</f>
        <v>7.166666666666667</v>
      </c>
      <c r="G715" s="4">
        <v>43622</v>
      </c>
    </row>
    <row r="716" spans="2:18">
      <c r="C716" s="2" t="s">
        <v>7</v>
      </c>
      <c r="D716" s="2" t="s">
        <v>66</v>
      </c>
      <c r="E716" s="3">
        <f>1600/7</f>
        <v>228.57142857142858</v>
      </c>
      <c r="F716" s="3">
        <f>149/6</f>
        <v>24.833333333333332</v>
      </c>
      <c r="G716" s="4">
        <v>44550</v>
      </c>
    </row>
    <row r="717" spans="2:18">
      <c r="C717" s="2" t="s">
        <v>5</v>
      </c>
      <c r="D717" s="2" t="s">
        <v>66</v>
      </c>
      <c r="E717" s="3">
        <v>50</v>
      </c>
      <c r="F717" s="3">
        <v>10</v>
      </c>
      <c r="G717" s="4">
        <v>44165</v>
      </c>
    </row>
    <row r="718" spans="2:18">
      <c r="G718" s="4"/>
    </row>
    <row r="719" spans="2:18" s="12" customFormat="1">
      <c r="B719" s="12" t="s">
        <v>1125</v>
      </c>
      <c r="C719" s="13" t="s">
        <v>986</v>
      </c>
      <c r="D719" s="13" t="s">
        <v>985</v>
      </c>
      <c r="E719" s="15"/>
      <c r="F719" s="15">
        <f>SUM(F720:F739)</f>
        <v>120.18333333333334</v>
      </c>
      <c r="G719" s="14">
        <f>G720</f>
        <v>45041</v>
      </c>
      <c r="M719" s="13"/>
      <c r="N719" s="13"/>
      <c r="O719" s="13"/>
      <c r="P719" s="13"/>
      <c r="Q719" s="13"/>
      <c r="R719" s="13"/>
    </row>
    <row r="720" spans="2:18">
      <c r="C720" s="2" t="s">
        <v>7</v>
      </c>
      <c r="D720" s="2" t="s">
        <v>921</v>
      </c>
      <c r="E720" s="3">
        <v>97.4</v>
      </c>
      <c r="F720" s="3">
        <f>47/6</f>
        <v>7.833333333333333</v>
      </c>
      <c r="G720" s="4">
        <v>45041</v>
      </c>
    </row>
    <row r="721" spans="3:10">
      <c r="C721" s="2" t="s">
        <v>7</v>
      </c>
      <c r="D721" s="2" t="s">
        <v>552</v>
      </c>
      <c r="E721" s="3">
        <v>40</v>
      </c>
      <c r="F721" s="3">
        <f>25/4</f>
        <v>6.25</v>
      </c>
      <c r="G721" s="4">
        <v>44811</v>
      </c>
    </row>
    <row r="722" spans="3:10">
      <c r="C722" s="2" t="s">
        <v>5</v>
      </c>
      <c r="D722" s="2" t="s">
        <v>552</v>
      </c>
      <c r="E722" s="3">
        <v>14</v>
      </c>
      <c r="F722" s="3">
        <v>6</v>
      </c>
      <c r="G722" s="4">
        <v>44447</v>
      </c>
    </row>
    <row r="723" spans="3:10">
      <c r="C723" s="2" t="s">
        <v>5</v>
      </c>
      <c r="D723" s="2" t="s">
        <v>474</v>
      </c>
      <c r="E723" s="3">
        <v>15.5</v>
      </c>
      <c r="F723" s="3">
        <v>1.625</v>
      </c>
      <c r="G723" s="4">
        <v>44727</v>
      </c>
    </row>
    <row r="724" spans="3:10">
      <c r="C724" s="2" t="s">
        <v>5</v>
      </c>
      <c r="D724" s="2" t="s">
        <v>474</v>
      </c>
      <c r="E724" s="3">
        <v>12</v>
      </c>
      <c r="F724" s="3">
        <v>3</v>
      </c>
      <c r="G724" s="4">
        <v>43948</v>
      </c>
    </row>
    <row r="725" spans="3:10">
      <c r="C725" s="2" t="s">
        <v>5</v>
      </c>
      <c r="D725" s="2" t="s">
        <v>551</v>
      </c>
      <c r="E725" s="3">
        <v>5</v>
      </c>
      <c r="F725" s="3">
        <v>3</v>
      </c>
      <c r="G725" s="4">
        <v>44514</v>
      </c>
    </row>
    <row r="726" spans="3:10">
      <c r="C726" s="2" t="s">
        <v>8</v>
      </c>
      <c r="D726" s="2" t="s">
        <v>456</v>
      </c>
      <c r="E726" s="3">
        <v>90</v>
      </c>
      <c r="F726" s="3">
        <v>5</v>
      </c>
      <c r="G726" s="4">
        <v>44776</v>
      </c>
    </row>
    <row r="727" spans="3:10">
      <c r="C727" s="2" t="s">
        <v>18</v>
      </c>
      <c r="D727" s="2" t="s">
        <v>456</v>
      </c>
      <c r="E727" s="3">
        <v>40</v>
      </c>
      <c r="F727" s="3">
        <v>4</v>
      </c>
      <c r="G727" s="4">
        <v>44176</v>
      </c>
    </row>
    <row r="728" spans="3:10">
      <c r="C728" s="2" t="s">
        <v>7</v>
      </c>
      <c r="D728" s="2" t="s">
        <v>456</v>
      </c>
      <c r="E728" s="3">
        <v>20</v>
      </c>
      <c r="F728" s="3">
        <v>3</v>
      </c>
      <c r="G728" s="4">
        <v>43879</v>
      </c>
    </row>
    <row r="729" spans="3:10">
      <c r="C729" s="2" t="s">
        <v>7</v>
      </c>
      <c r="D729" s="2" t="s">
        <v>424</v>
      </c>
      <c r="E729" s="3">
        <v>16</v>
      </c>
      <c r="F729" s="3">
        <v>4</v>
      </c>
      <c r="G729" s="4">
        <v>42995</v>
      </c>
    </row>
    <row r="730" spans="3:10">
      <c r="C730" s="2" t="s">
        <v>5</v>
      </c>
      <c r="D730" s="2" t="s">
        <v>424</v>
      </c>
      <c r="E730" s="3">
        <v>8</v>
      </c>
      <c r="F730" s="3">
        <v>4</v>
      </c>
      <c r="G730" s="4">
        <v>42416</v>
      </c>
    </row>
    <row r="731" spans="3:10">
      <c r="C731" s="2" t="s">
        <v>7</v>
      </c>
      <c r="D731" s="2" t="s">
        <v>367</v>
      </c>
      <c r="E731" s="3">
        <v>27.5</v>
      </c>
      <c r="F731" s="3">
        <f>E731/4</f>
        <v>6.875</v>
      </c>
      <c r="G731" s="4">
        <v>44181</v>
      </c>
    </row>
    <row r="732" spans="3:10">
      <c r="C732" s="2" t="s">
        <v>5</v>
      </c>
      <c r="D732" s="2" t="s">
        <v>367</v>
      </c>
      <c r="E732" s="3">
        <v>10.7</v>
      </c>
      <c r="F732" s="3">
        <v>4</v>
      </c>
      <c r="G732" s="4">
        <v>43250</v>
      </c>
    </row>
    <row r="733" spans="3:10">
      <c r="C733" s="2" t="s">
        <v>5</v>
      </c>
      <c r="D733" s="2" t="s">
        <v>309</v>
      </c>
      <c r="E733" s="3">
        <v>10</v>
      </c>
      <c r="F733" s="3">
        <v>3</v>
      </c>
      <c r="G733" s="4">
        <v>44637</v>
      </c>
    </row>
    <row r="734" spans="3:10">
      <c r="C734" s="2" t="s">
        <v>4</v>
      </c>
      <c r="D734" s="2" t="s">
        <v>309</v>
      </c>
      <c r="E734" s="3">
        <v>4.5</v>
      </c>
      <c r="F734" s="3">
        <v>2</v>
      </c>
      <c r="G734" s="4">
        <v>44175</v>
      </c>
    </row>
    <row r="735" spans="3:10">
      <c r="C735" s="2" t="s">
        <v>4</v>
      </c>
      <c r="D735" s="2" t="s">
        <v>1078</v>
      </c>
      <c r="E735" s="3">
        <v>4.3</v>
      </c>
      <c r="F735" s="3">
        <f>E735/3</f>
        <v>1.4333333333333333</v>
      </c>
      <c r="G735" s="4">
        <v>42821</v>
      </c>
    </row>
    <row r="736" spans="3:10">
      <c r="C736" s="2" t="s">
        <v>55</v>
      </c>
      <c r="D736" s="2" t="s">
        <v>49</v>
      </c>
      <c r="E736" s="3">
        <v>100</v>
      </c>
      <c r="F736" s="3">
        <v>11</v>
      </c>
      <c r="G736" s="4">
        <v>44515</v>
      </c>
      <c r="I736" s="1">
        <v>4100</v>
      </c>
      <c r="J736" s="1">
        <v>4100</v>
      </c>
    </row>
    <row r="737" spans="2:10">
      <c r="C737" s="2" t="s">
        <v>8</v>
      </c>
      <c r="D737" s="2" t="s">
        <v>49</v>
      </c>
      <c r="E737" s="3">
        <v>145</v>
      </c>
      <c r="F737" s="3">
        <f>85/6</f>
        <v>14.166666666666666</v>
      </c>
      <c r="G737" s="4">
        <v>43228</v>
      </c>
      <c r="I737" s="1">
        <v>855</v>
      </c>
      <c r="J737" s="1">
        <v>4100</v>
      </c>
    </row>
    <row r="738" spans="2:10">
      <c r="C738" s="2" t="s">
        <v>18</v>
      </c>
      <c r="D738" s="2" t="s">
        <v>49</v>
      </c>
      <c r="E738" s="3">
        <v>50</v>
      </c>
      <c r="F738" s="3">
        <v>10</v>
      </c>
      <c r="G738" s="4">
        <v>42509</v>
      </c>
      <c r="J738" s="1">
        <v>4100</v>
      </c>
    </row>
    <row r="739" spans="2:10">
      <c r="C739" s="2" t="s">
        <v>7</v>
      </c>
      <c r="D739" s="2" t="s">
        <v>49</v>
      </c>
      <c r="E739" s="3">
        <v>30</v>
      </c>
      <c r="F739" s="3">
        <v>20</v>
      </c>
      <c r="G739" s="4">
        <v>41808</v>
      </c>
      <c r="J739" s="1">
        <v>4100</v>
      </c>
    </row>
    <row r="740" spans="2:10">
      <c r="G740" s="4"/>
    </row>
    <row r="741" spans="2:10">
      <c r="B741" s="12" t="s">
        <v>1123</v>
      </c>
      <c r="C741" s="13" t="s">
        <v>986</v>
      </c>
      <c r="D741" s="13" t="s">
        <v>985</v>
      </c>
      <c r="F741" s="15">
        <f>SUM(F742:F746)</f>
        <v>118.75</v>
      </c>
      <c r="G741" s="14">
        <f>G743</f>
        <v>45050</v>
      </c>
    </row>
    <row r="742" spans="2:10">
      <c r="C742" s="2" t="s">
        <v>18</v>
      </c>
      <c r="D742" s="2" t="s">
        <v>815</v>
      </c>
      <c r="E742" s="3">
        <v>100</v>
      </c>
      <c r="F742" s="3">
        <v>13</v>
      </c>
      <c r="G742" s="4">
        <v>43682</v>
      </c>
    </row>
    <row r="743" spans="2:10">
      <c r="C743" s="2" t="s">
        <v>4</v>
      </c>
      <c r="D743" s="2" t="s">
        <v>1122</v>
      </c>
      <c r="E743" s="3">
        <v>8</v>
      </c>
      <c r="F743" s="3">
        <v>7</v>
      </c>
      <c r="G743" s="4">
        <v>45050</v>
      </c>
    </row>
    <row r="744" spans="2:10">
      <c r="C744" s="2" t="s">
        <v>9</v>
      </c>
      <c r="D744" s="2" t="s">
        <v>57</v>
      </c>
      <c r="E744" s="3">
        <v>250</v>
      </c>
      <c r="F744" s="3">
        <f>150/5</f>
        <v>30</v>
      </c>
      <c r="G744" s="4">
        <v>44350</v>
      </c>
      <c r="I744" s="1">
        <v>7000</v>
      </c>
      <c r="J744" s="1">
        <v>7000</v>
      </c>
    </row>
    <row r="745" spans="2:10">
      <c r="C745" s="2" t="s">
        <v>8</v>
      </c>
      <c r="D745" s="2" t="s">
        <v>57</v>
      </c>
      <c r="E745" s="3">
        <v>200</v>
      </c>
      <c r="F745" s="3">
        <f>150/8</f>
        <v>18.75</v>
      </c>
      <c r="G745" s="4">
        <v>44055</v>
      </c>
      <c r="I745" s="1">
        <v>2000</v>
      </c>
      <c r="J745" s="1">
        <v>7000</v>
      </c>
    </row>
    <row r="746" spans="2:10">
      <c r="C746" s="2" t="s">
        <v>1</v>
      </c>
      <c r="D746" s="2" t="s">
        <v>0</v>
      </c>
      <c r="E746" s="3">
        <v>300</v>
      </c>
      <c r="F746" s="3">
        <v>50</v>
      </c>
      <c r="G746" s="4">
        <v>45044</v>
      </c>
      <c r="I746" s="1">
        <v>28700</v>
      </c>
      <c r="J746" s="1">
        <v>28700</v>
      </c>
    </row>
    <row r="747" spans="2:10">
      <c r="G747" s="4"/>
    </row>
    <row r="748" spans="2:10">
      <c r="B748" s="12" t="s">
        <v>1124</v>
      </c>
      <c r="C748" s="13" t="s">
        <v>986</v>
      </c>
      <c r="D748" s="13" t="s">
        <v>985</v>
      </c>
      <c r="F748" s="15">
        <f>SUM(F749:F768)</f>
        <v>114.21031746031746</v>
      </c>
      <c r="G748" s="14">
        <f>+G752</f>
        <v>44900</v>
      </c>
    </row>
    <row r="749" spans="2:10">
      <c r="C749" s="2" t="s">
        <v>18</v>
      </c>
      <c r="D749" s="2" t="s">
        <v>940</v>
      </c>
      <c r="E749" s="3">
        <v>100</v>
      </c>
      <c r="F749" s="3">
        <v>20</v>
      </c>
      <c r="G749" s="4">
        <v>44690</v>
      </c>
    </row>
    <row r="750" spans="2:10">
      <c r="C750" s="2" t="s">
        <v>7</v>
      </c>
      <c r="D750" s="2" t="s">
        <v>940</v>
      </c>
      <c r="E750" s="3">
        <v>40</v>
      </c>
      <c r="F750" s="3">
        <v>20</v>
      </c>
      <c r="G750" s="4">
        <v>44327</v>
      </c>
    </row>
    <row r="751" spans="2:10">
      <c r="C751" s="2" t="s">
        <v>5</v>
      </c>
      <c r="D751" s="2" t="s">
        <v>940</v>
      </c>
      <c r="E751" s="3">
        <v>15</v>
      </c>
      <c r="F751" s="3">
        <v>5</v>
      </c>
      <c r="G751" s="4">
        <v>43816</v>
      </c>
    </row>
    <row r="752" spans="2:10">
      <c r="C752" s="2" t="s">
        <v>18</v>
      </c>
      <c r="D752" s="2" t="s">
        <v>974</v>
      </c>
      <c r="E752" s="3">
        <v>50</v>
      </c>
      <c r="F752" s="3">
        <v>6</v>
      </c>
      <c r="G752" s="4">
        <v>44900</v>
      </c>
    </row>
    <row r="753" spans="3:7">
      <c r="C753" s="2" t="s">
        <v>7</v>
      </c>
      <c r="D753" s="2" t="s">
        <v>974</v>
      </c>
      <c r="E753" s="3">
        <v>35</v>
      </c>
      <c r="F753" s="3">
        <v>5</v>
      </c>
      <c r="G753" s="4">
        <v>44543</v>
      </c>
    </row>
    <row r="754" spans="3:7">
      <c r="C754" s="2" t="s">
        <v>5</v>
      </c>
      <c r="D754" s="2" t="s">
        <v>974</v>
      </c>
      <c r="E754" s="3">
        <v>8.5</v>
      </c>
      <c r="F754" s="3">
        <v>1</v>
      </c>
      <c r="G754" s="4">
        <v>44181</v>
      </c>
    </row>
    <row r="755" spans="3:7">
      <c r="C755" s="2" t="s">
        <v>4</v>
      </c>
      <c r="D755" s="2" t="s">
        <v>974</v>
      </c>
      <c r="E755" s="3">
        <v>2</v>
      </c>
      <c r="F755" s="3">
        <v>2</v>
      </c>
      <c r="G755" s="4">
        <v>43435</v>
      </c>
    </row>
    <row r="756" spans="3:7">
      <c r="C756" s="2" t="s">
        <v>5</v>
      </c>
      <c r="D756" s="2" t="s">
        <v>1023</v>
      </c>
      <c r="E756" s="3">
        <v>20</v>
      </c>
      <c r="F756" s="3">
        <v>4</v>
      </c>
      <c r="G756" s="4">
        <v>43949</v>
      </c>
    </row>
    <row r="757" spans="3:7">
      <c r="C757" s="2" t="s">
        <v>4</v>
      </c>
      <c r="D757" s="2" t="s">
        <v>1023</v>
      </c>
      <c r="E757" s="3">
        <v>5</v>
      </c>
      <c r="F757" s="3">
        <v>1</v>
      </c>
      <c r="G757" s="4">
        <v>43438</v>
      </c>
    </row>
    <row r="758" spans="3:7">
      <c r="C758" s="2" t="s">
        <v>4</v>
      </c>
      <c r="D758" s="2" t="s">
        <v>432</v>
      </c>
      <c r="E758" s="3">
        <v>7</v>
      </c>
      <c r="F758" s="3">
        <v>0.7142857142857143</v>
      </c>
      <c r="G758" s="4">
        <v>43046</v>
      </c>
    </row>
    <row r="759" spans="3:7">
      <c r="C759" s="2" t="s">
        <v>7</v>
      </c>
      <c r="D759" s="2" t="s">
        <v>535</v>
      </c>
      <c r="E759" s="3">
        <v>32</v>
      </c>
      <c r="F759" s="3">
        <f>20/7</f>
        <v>2.8571428571428572</v>
      </c>
      <c r="G759" s="4">
        <v>44364</v>
      </c>
    </row>
    <row r="760" spans="3:7">
      <c r="C760" s="2" t="s">
        <v>7</v>
      </c>
      <c r="D760" s="2" t="s">
        <v>535</v>
      </c>
      <c r="E760" s="3">
        <v>10.199999999999999</v>
      </c>
      <c r="F760" s="3">
        <v>3</v>
      </c>
      <c r="G760" s="4">
        <v>43732</v>
      </c>
    </row>
    <row r="761" spans="3:7">
      <c r="C761" s="2" t="s">
        <v>18</v>
      </c>
      <c r="D761" s="2" t="s">
        <v>317</v>
      </c>
      <c r="E761" s="3">
        <v>110</v>
      </c>
      <c r="F761" s="3">
        <f>70/5</f>
        <v>14</v>
      </c>
      <c r="G761" s="4">
        <v>44369</v>
      </c>
    </row>
    <row r="762" spans="3:7">
      <c r="C762" s="2" t="s">
        <v>7</v>
      </c>
      <c r="D762" s="2" t="s">
        <v>317</v>
      </c>
      <c r="E762" s="3">
        <v>40</v>
      </c>
      <c r="F762" s="3">
        <v>8</v>
      </c>
      <c r="G762" s="4">
        <v>43419</v>
      </c>
    </row>
    <row r="763" spans="3:7">
      <c r="C763" s="2" t="s">
        <v>5</v>
      </c>
      <c r="D763" s="2" t="s">
        <v>317</v>
      </c>
      <c r="E763" s="3">
        <v>14.7</v>
      </c>
      <c r="F763" s="3">
        <v>2.25</v>
      </c>
      <c r="G763" s="4">
        <v>43032</v>
      </c>
    </row>
    <row r="764" spans="3:7">
      <c r="C764" s="2" t="s">
        <v>8</v>
      </c>
      <c r="D764" s="2" t="s">
        <v>265</v>
      </c>
      <c r="E764" s="3">
        <v>111</v>
      </c>
      <c r="F764" s="3">
        <v>7</v>
      </c>
      <c r="G764" s="4">
        <v>44622</v>
      </c>
    </row>
    <row r="765" spans="3:7">
      <c r="C765" s="2" t="s">
        <v>18</v>
      </c>
      <c r="D765" s="2" t="s">
        <v>265</v>
      </c>
      <c r="E765" s="3">
        <v>55</v>
      </c>
      <c r="F765" s="3">
        <v>6</v>
      </c>
      <c r="G765" s="4">
        <v>44314</v>
      </c>
    </row>
    <row r="766" spans="3:7">
      <c r="C766" s="2" t="s">
        <v>7</v>
      </c>
      <c r="D766" s="2" t="s">
        <v>265</v>
      </c>
      <c r="E766" s="3">
        <v>16</v>
      </c>
      <c r="F766" s="3">
        <v>2</v>
      </c>
      <c r="G766" s="4">
        <v>44009</v>
      </c>
    </row>
    <row r="767" spans="3:7">
      <c r="C767" s="2" t="s">
        <v>5</v>
      </c>
      <c r="D767" s="2" t="s">
        <v>265</v>
      </c>
      <c r="E767" s="3">
        <v>14</v>
      </c>
      <c r="F767" s="3">
        <v>4</v>
      </c>
      <c r="G767" s="4">
        <v>43690</v>
      </c>
    </row>
    <row r="768" spans="3:7">
      <c r="C768" s="2" t="s">
        <v>4</v>
      </c>
      <c r="D768" s="2" t="s">
        <v>265</v>
      </c>
      <c r="E768" s="3">
        <v>3.5</v>
      </c>
      <c r="F768" s="3">
        <f>+E768/9</f>
        <v>0.3888888888888889</v>
      </c>
      <c r="G768" s="4">
        <v>42979</v>
      </c>
    </row>
    <row r="769" spans="2:11">
      <c r="G769" s="4"/>
    </row>
    <row r="770" spans="2:11">
      <c r="B770" s="12" t="s">
        <v>1121</v>
      </c>
      <c r="C770" s="13" t="s">
        <v>986</v>
      </c>
      <c r="D770" s="13" t="s">
        <v>985</v>
      </c>
      <c r="F770" s="15">
        <f>SUM(F771:F779)</f>
        <v>112.91666666666667</v>
      </c>
      <c r="G770" s="14">
        <f>G771</f>
        <v>45036</v>
      </c>
    </row>
    <row r="771" spans="2:11">
      <c r="C771" s="2" t="s">
        <v>7</v>
      </c>
      <c r="D771" s="2" t="s">
        <v>808</v>
      </c>
      <c r="E771" s="3">
        <v>50</v>
      </c>
      <c r="F771" s="3">
        <v>6</v>
      </c>
      <c r="G771" s="4">
        <v>45036</v>
      </c>
    </row>
    <row r="772" spans="2:11">
      <c r="C772" s="2" t="s">
        <v>7</v>
      </c>
      <c r="D772" s="2" t="s">
        <v>1001</v>
      </c>
      <c r="E772" s="3">
        <v>38</v>
      </c>
      <c r="F772" s="3">
        <f>20/3</f>
        <v>6.666666666666667</v>
      </c>
      <c r="G772" s="4">
        <v>44812</v>
      </c>
    </row>
    <row r="773" spans="2:11">
      <c r="C773" s="2" t="s">
        <v>5</v>
      </c>
      <c r="D773" s="2" t="s">
        <v>1001</v>
      </c>
      <c r="E773" s="3">
        <v>19</v>
      </c>
      <c r="F773" s="3">
        <v>7</v>
      </c>
      <c r="G773" s="4">
        <v>44467</v>
      </c>
    </row>
    <row r="774" spans="2:11">
      <c r="C774" s="2" t="s">
        <v>5</v>
      </c>
      <c r="D774" s="2" t="s">
        <v>526</v>
      </c>
      <c r="E774" s="3">
        <v>14.5</v>
      </c>
      <c r="F774" s="3">
        <v>3</v>
      </c>
      <c r="G774" s="4">
        <v>43389</v>
      </c>
    </row>
    <row r="775" spans="2:11">
      <c r="C775" s="2" t="s">
        <v>9</v>
      </c>
      <c r="D775" s="2" t="s">
        <v>159</v>
      </c>
      <c r="E775" s="3">
        <v>400</v>
      </c>
      <c r="F775" s="3">
        <v>36</v>
      </c>
      <c r="G775" s="4">
        <v>44413</v>
      </c>
      <c r="I775" s="1">
        <v>4200</v>
      </c>
    </row>
    <row r="776" spans="2:11">
      <c r="C776" s="2" t="s">
        <v>8</v>
      </c>
      <c r="D776" s="2" t="s">
        <v>159</v>
      </c>
      <c r="E776" s="3">
        <v>100</v>
      </c>
      <c r="F776" s="3">
        <f>75/6</f>
        <v>12.5</v>
      </c>
      <c r="G776" s="4">
        <v>44067</v>
      </c>
    </row>
    <row r="777" spans="2:11">
      <c r="C777" s="2" t="s">
        <v>8</v>
      </c>
      <c r="D777" s="2" t="s">
        <v>57</v>
      </c>
      <c r="E777" s="3">
        <v>200</v>
      </c>
      <c r="F777" s="3">
        <f>150/8</f>
        <v>18.75</v>
      </c>
      <c r="G777" s="4">
        <v>44055</v>
      </c>
      <c r="I777" s="1">
        <v>2000</v>
      </c>
      <c r="J777" s="1">
        <v>7000</v>
      </c>
    </row>
    <row r="778" spans="2:11">
      <c r="C778" s="2" t="s">
        <v>18</v>
      </c>
      <c r="D778" s="2" t="s">
        <v>57</v>
      </c>
      <c r="E778" s="3">
        <v>65</v>
      </c>
      <c r="F778" s="3">
        <v>8</v>
      </c>
      <c r="G778" s="4">
        <v>43802</v>
      </c>
      <c r="I778" s="1">
        <v>685</v>
      </c>
      <c r="J778" s="1">
        <v>7000</v>
      </c>
    </row>
    <row r="779" spans="2:11">
      <c r="C779" s="2" t="s">
        <v>7</v>
      </c>
      <c r="D779" s="2" t="s">
        <v>57</v>
      </c>
      <c r="E779" s="3">
        <v>40</v>
      </c>
      <c r="F779" s="3">
        <v>15</v>
      </c>
      <c r="G779" s="4">
        <v>43503</v>
      </c>
      <c r="J779" s="1">
        <v>7000</v>
      </c>
    </row>
    <row r="780" spans="2:11">
      <c r="C780" s="2" t="s">
        <v>5</v>
      </c>
      <c r="D780" s="2" t="s">
        <v>2071</v>
      </c>
      <c r="E780" s="3">
        <v>18</v>
      </c>
      <c r="F780" s="3">
        <v>9</v>
      </c>
      <c r="G780" s="4">
        <v>44866</v>
      </c>
    </row>
    <row r="781" spans="2:11">
      <c r="G781" s="4"/>
    </row>
    <row r="782" spans="2:11">
      <c r="B782" s="12" t="s">
        <v>1120</v>
      </c>
      <c r="C782" s="13" t="s">
        <v>986</v>
      </c>
      <c r="D782" s="13" t="s">
        <v>985</v>
      </c>
      <c r="F782" s="15">
        <f>SUM(F783:F793)</f>
        <v>125.02380952380952</v>
      </c>
      <c r="G782" s="14">
        <f>+G789</f>
        <v>45055</v>
      </c>
      <c r="I782" s="1" t="s">
        <v>1</v>
      </c>
      <c r="J782" s="1" t="s">
        <v>1</v>
      </c>
      <c r="K782" s="1" t="s">
        <v>1</v>
      </c>
    </row>
    <row r="783" spans="2:11">
      <c r="B783" s="12"/>
      <c r="C783" s="2" t="s">
        <v>7</v>
      </c>
      <c r="D783" s="2" t="s">
        <v>965</v>
      </c>
      <c r="E783" s="3">
        <v>350</v>
      </c>
      <c r="F783" s="3">
        <v>20</v>
      </c>
      <c r="G783" s="4">
        <v>44999</v>
      </c>
    </row>
    <row r="784" spans="2:11">
      <c r="C784" s="2" t="s">
        <v>5</v>
      </c>
      <c r="D784" s="2" t="s">
        <v>1086</v>
      </c>
      <c r="E784" s="3">
        <v>65</v>
      </c>
      <c r="F784" s="3">
        <v>10</v>
      </c>
      <c r="G784" s="4">
        <v>44984</v>
      </c>
    </row>
    <row r="785" spans="2:19">
      <c r="C785" s="2" t="s">
        <v>5</v>
      </c>
      <c r="D785" s="2" t="s">
        <v>856</v>
      </c>
      <c r="E785" s="3">
        <v>44</v>
      </c>
      <c r="F785" s="3">
        <v>10</v>
      </c>
      <c r="G785" s="4">
        <v>44671</v>
      </c>
    </row>
    <row r="786" spans="2:19">
      <c r="C786" s="2" t="s">
        <v>5</v>
      </c>
      <c r="D786" s="2" t="s">
        <v>712</v>
      </c>
      <c r="E786" s="3">
        <v>50</v>
      </c>
      <c r="F786" s="3">
        <f>30/12</f>
        <v>2.5</v>
      </c>
      <c r="G786" s="4">
        <v>44796</v>
      </c>
    </row>
    <row r="787" spans="2:19">
      <c r="C787" s="2" t="s">
        <v>4</v>
      </c>
      <c r="D787" s="2" t="s">
        <v>712</v>
      </c>
      <c r="E787" s="3">
        <v>12.5</v>
      </c>
      <c r="F787" s="3">
        <v>3</v>
      </c>
      <c r="G787" s="4">
        <v>44623</v>
      </c>
    </row>
    <row r="788" spans="2:19">
      <c r="C788" s="2" t="s">
        <v>7</v>
      </c>
      <c r="D788" s="2" t="s">
        <v>464</v>
      </c>
      <c r="E788" s="3">
        <v>26.8</v>
      </c>
      <c r="F788" s="3">
        <v>4</v>
      </c>
      <c r="G788" s="4">
        <v>44600</v>
      </c>
    </row>
    <row r="789" spans="2:19">
      <c r="C789" s="2" t="s">
        <v>18</v>
      </c>
      <c r="D789" s="2" t="s">
        <v>325</v>
      </c>
      <c r="E789" s="3">
        <v>8</v>
      </c>
      <c r="F789" s="3">
        <v>8</v>
      </c>
      <c r="G789" s="4">
        <v>45055</v>
      </c>
    </row>
    <row r="790" spans="2:19">
      <c r="C790" s="2" t="s">
        <v>9</v>
      </c>
      <c r="D790" s="2" t="s">
        <v>23</v>
      </c>
      <c r="E790" s="3">
        <v>222</v>
      </c>
      <c r="F790" s="3">
        <f>200/21</f>
        <v>9.5238095238095237</v>
      </c>
      <c r="G790" s="4">
        <v>44194</v>
      </c>
      <c r="I790" s="1">
        <v>2500</v>
      </c>
      <c r="J790" s="1">
        <v>2500</v>
      </c>
    </row>
    <row r="791" spans="2:19">
      <c r="C791" s="2" t="s">
        <v>8</v>
      </c>
      <c r="D791" s="2" t="s">
        <v>23</v>
      </c>
      <c r="E791" s="3">
        <v>200</v>
      </c>
      <c r="F791" s="3">
        <v>30</v>
      </c>
      <c r="G791" s="4">
        <v>43452</v>
      </c>
      <c r="I791" s="1">
        <v>1500</v>
      </c>
      <c r="J791" s="1">
        <v>2500</v>
      </c>
    </row>
    <row r="792" spans="2:19">
      <c r="C792" s="2" t="s">
        <v>7</v>
      </c>
      <c r="D792" s="2" t="s">
        <v>1086</v>
      </c>
      <c r="E792" s="3">
        <v>100</v>
      </c>
      <c r="F792" s="3">
        <v>15</v>
      </c>
      <c r="G792" s="4">
        <v>45106</v>
      </c>
    </row>
    <row r="793" spans="2:19">
      <c r="C793" s="2" t="s">
        <v>7</v>
      </c>
      <c r="D793" s="2" t="s">
        <v>2180</v>
      </c>
      <c r="E793" s="3">
        <v>176</v>
      </c>
      <c r="F793" s="3">
        <v>13</v>
      </c>
      <c r="G793" s="4">
        <v>44578</v>
      </c>
    </row>
    <row r="794" spans="2:19">
      <c r="G794" s="4"/>
    </row>
    <row r="795" spans="2:19" s="12" customFormat="1">
      <c r="B795" s="12" t="s">
        <v>836</v>
      </c>
      <c r="C795" s="13" t="s">
        <v>4417</v>
      </c>
      <c r="D795" s="13" t="s">
        <v>985</v>
      </c>
      <c r="E795" s="15"/>
      <c r="F795" s="15">
        <f>SUM(F796:F798)</f>
        <v>110.5</v>
      </c>
      <c r="G795" s="14">
        <f>G796</f>
        <v>44578</v>
      </c>
      <c r="M795" s="13"/>
      <c r="N795" s="13"/>
      <c r="O795" s="13"/>
      <c r="P795" s="13"/>
      <c r="Q795" s="13"/>
      <c r="R795" s="13"/>
    </row>
    <row r="796" spans="2:19">
      <c r="C796" s="2" t="s">
        <v>5</v>
      </c>
      <c r="D796" s="2" t="s">
        <v>831</v>
      </c>
      <c r="E796" s="3">
        <v>20</v>
      </c>
      <c r="F796" s="3">
        <v>2</v>
      </c>
      <c r="G796" s="4">
        <v>44578</v>
      </c>
    </row>
    <row r="797" spans="2:19">
      <c r="C797" s="2" t="s">
        <v>8</v>
      </c>
      <c r="D797" s="2" t="s">
        <v>260</v>
      </c>
      <c r="E797" s="3">
        <v>600</v>
      </c>
      <c r="F797" s="3">
        <f>500/8</f>
        <v>62.5</v>
      </c>
      <c r="G797" s="4">
        <v>44502</v>
      </c>
    </row>
    <row r="798" spans="2:19">
      <c r="C798" s="2" t="s">
        <v>5</v>
      </c>
      <c r="D798" s="2" t="s">
        <v>260</v>
      </c>
      <c r="E798" s="3">
        <v>92</v>
      </c>
      <c r="F798" s="3">
        <f>E798/2</f>
        <v>46</v>
      </c>
      <c r="G798" s="4">
        <v>43130</v>
      </c>
    </row>
    <row r="799" spans="2:19">
      <c r="G799" s="4"/>
    </row>
    <row r="800" spans="2:19">
      <c r="B800" s="12" t="s">
        <v>1119</v>
      </c>
      <c r="C800" s="13" t="s">
        <v>986</v>
      </c>
      <c r="D800" s="13" t="s">
        <v>985</v>
      </c>
      <c r="E800" s="15"/>
      <c r="F800" s="15">
        <f>SUM(F801:F807)</f>
        <v>108.33333333333333</v>
      </c>
      <c r="G800" s="14">
        <f>+G804</f>
        <v>45104</v>
      </c>
      <c r="I800" s="1">
        <v>350</v>
      </c>
      <c r="J800" s="19">
        <f>+F800/I800</f>
        <v>0.30952380952380953</v>
      </c>
      <c r="K800" s="1">
        <v>2017</v>
      </c>
      <c r="S800" s="1" t="s">
        <v>1118</v>
      </c>
    </row>
    <row r="801" spans="2:18">
      <c r="C801" s="2" t="s">
        <v>7</v>
      </c>
      <c r="D801" s="2" t="s">
        <v>969</v>
      </c>
      <c r="E801" s="3">
        <v>130</v>
      </c>
      <c r="F801" s="3">
        <f>70/3</f>
        <v>23.333333333333332</v>
      </c>
      <c r="G801" s="4">
        <v>44607</v>
      </c>
    </row>
    <row r="802" spans="2:18">
      <c r="C802" s="2" t="s">
        <v>5</v>
      </c>
      <c r="D802" s="2" t="s">
        <v>969</v>
      </c>
      <c r="E802" s="3">
        <v>40</v>
      </c>
      <c r="F802" s="3">
        <v>10</v>
      </c>
      <c r="G802" s="4">
        <v>44446</v>
      </c>
    </row>
    <row r="803" spans="2:18">
      <c r="C803" s="2" t="s">
        <v>5</v>
      </c>
      <c r="D803" s="2" t="s">
        <v>791</v>
      </c>
      <c r="E803" s="3">
        <v>33</v>
      </c>
      <c r="F803" s="3">
        <v>10</v>
      </c>
      <c r="G803" s="4">
        <v>44893</v>
      </c>
    </row>
    <row r="804" spans="2:18">
      <c r="C804" s="2" t="s">
        <v>5</v>
      </c>
      <c r="D804" s="2" t="s">
        <v>556</v>
      </c>
      <c r="E804" s="3">
        <v>58</v>
      </c>
      <c r="F804" s="3">
        <v>25</v>
      </c>
      <c r="G804" s="4">
        <v>45104</v>
      </c>
    </row>
    <row r="805" spans="2:18">
      <c r="C805" s="2" t="s">
        <v>18</v>
      </c>
      <c r="D805" s="2" t="s">
        <v>432</v>
      </c>
      <c r="E805" s="3">
        <v>75</v>
      </c>
      <c r="F805" s="3">
        <v>20</v>
      </c>
      <c r="G805" s="4">
        <v>45020</v>
      </c>
    </row>
    <row r="806" spans="2:18">
      <c r="C806" s="2" t="s">
        <v>18</v>
      </c>
      <c r="D806" s="2" t="s">
        <v>432</v>
      </c>
      <c r="E806" s="3">
        <v>80</v>
      </c>
      <c r="F806" s="3">
        <v>10</v>
      </c>
      <c r="G806" s="4">
        <v>44404</v>
      </c>
    </row>
    <row r="807" spans="2:18">
      <c r="C807" s="2" t="s">
        <v>7</v>
      </c>
      <c r="D807" s="2" t="s">
        <v>432</v>
      </c>
      <c r="E807" s="3">
        <v>40</v>
      </c>
      <c r="F807" s="3">
        <v>10</v>
      </c>
      <c r="G807" s="4">
        <v>43957</v>
      </c>
    </row>
    <row r="808" spans="2:18">
      <c r="G808" s="4"/>
    </row>
    <row r="809" spans="2:18" s="12" customFormat="1">
      <c r="B809" s="12" t="s">
        <v>78</v>
      </c>
      <c r="C809" s="13" t="s">
        <v>986</v>
      </c>
      <c r="D809" s="13" t="s">
        <v>985</v>
      </c>
      <c r="E809" s="15"/>
      <c r="F809" s="15">
        <f>SUM(F810:F816)</f>
        <v>104.5</v>
      </c>
      <c r="G809" s="14">
        <f>G814</f>
        <v>44578</v>
      </c>
      <c r="K809" s="74"/>
      <c r="M809" s="13"/>
      <c r="N809" s="13"/>
      <c r="O809" s="13"/>
      <c r="P809" s="13"/>
      <c r="Q809" s="13"/>
      <c r="R809" s="13"/>
    </row>
    <row r="810" spans="2:18">
      <c r="C810" s="2" t="s">
        <v>8</v>
      </c>
      <c r="D810" s="2" t="s">
        <v>76</v>
      </c>
      <c r="E810" s="3">
        <v>81</v>
      </c>
      <c r="F810" s="3">
        <f>+E810/6</f>
        <v>13.5</v>
      </c>
      <c r="G810" s="4">
        <v>43418</v>
      </c>
      <c r="I810" s="1">
        <v>1700</v>
      </c>
      <c r="J810" s="1">
        <v>3800</v>
      </c>
      <c r="K810" s="5">
        <f>(E810/(I810+E810))*J810*(F810/E810)</f>
        <v>28.804042672655811</v>
      </c>
    </row>
    <row r="811" spans="2:18">
      <c r="C811" s="2" t="s">
        <v>18</v>
      </c>
      <c r="D811" s="2" t="s">
        <v>76</v>
      </c>
      <c r="E811" s="3">
        <v>60</v>
      </c>
      <c r="F811" s="3">
        <f>+E811/5</f>
        <v>12</v>
      </c>
      <c r="G811" s="4">
        <v>42736</v>
      </c>
      <c r="I811" s="1">
        <v>800</v>
      </c>
      <c r="J811" s="1">
        <v>3800</v>
      </c>
      <c r="K811" s="5">
        <f>(E811/(I811+E811))*J811*(F811/E811)</f>
        <v>53.023255813953483</v>
      </c>
    </row>
    <row r="812" spans="2:18">
      <c r="C812" s="2" t="s">
        <v>7</v>
      </c>
      <c r="D812" s="2" t="s">
        <v>76</v>
      </c>
      <c r="E812" s="3">
        <v>25</v>
      </c>
      <c r="F812" s="3">
        <v>15</v>
      </c>
      <c r="G812" s="4">
        <v>42723</v>
      </c>
      <c r="I812" s="1">
        <v>245</v>
      </c>
      <c r="J812" s="1">
        <v>3800</v>
      </c>
      <c r="K812" s="5">
        <f>(E812/(I812+E812))*J812*(F812/E812)</f>
        <v>211.11111111111111</v>
      </c>
    </row>
    <row r="813" spans="2:18">
      <c r="C813" s="2" t="s">
        <v>5</v>
      </c>
      <c r="D813" s="2" t="s">
        <v>76</v>
      </c>
      <c r="E813" s="3">
        <v>27</v>
      </c>
      <c r="F813" s="3">
        <v>27</v>
      </c>
      <c r="G813" s="4">
        <v>42495</v>
      </c>
      <c r="I813" s="5">
        <v>62.5</v>
      </c>
      <c r="J813" s="1">
        <v>3800</v>
      </c>
      <c r="K813" s="5">
        <f>(E813/(I813+E813))*J813*(F813/E813)</f>
        <v>1146.3687150837989</v>
      </c>
    </row>
    <row r="814" spans="2:18">
      <c r="C814" s="2" t="s">
        <v>7</v>
      </c>
      <c r="D814" s="2" t="s">
        <v>2180</v>
      </c>
      <c r="E814" s="3">
        <v>176</v>
      </c>
      <c r="F814" s="3">
        <v>26</v>
      </c>
      <c r="G814" s="4">
        <v>44578</v>
      </c>
      <c r="I814" s="5"/>
      <c r="K814" s="5"/>
    </row>
    <row r="815" spans="2:18">
      <c r="C815" s="2" t="s">
        <v>5</v>
      </c>
      <c r="D815" s="2" t="s">
        <v>2180</v>
      </c>
      <c r="E815" s="3">
        <v>20</v>
      </c>
      <c r="F815" s="3">
        <v>3</v>
      </c>
      <c r="G815" s="4">
        <v>44044</v>
      </c>
      <c r="I815" s="5"/>
      <c r="K815" s="5"/>
    </row>
    <row r="816" spans="2:18">
      <c r="C816" s="2" t="s">
        <v>5</v>
      </c>
      <c r="D816" s="2" t="s">
        <v>2180</v>
      </c>
      <c r="E816" s="3">
        <v>20</v>
      </c>
      <c r="F816" s="3">
        <v>8</v>
      </c>
      <c r="G816" s="4">
        <v>43647</v>
      </c>
      <c r="I816" s="5"/>
      <c r="K816" s="5"/>
    </row>
    <row r="817" spans="2:18">
      <c r="G817" s="4"/>
      <c r="I817" s="5"/>
      <c r="K817" s="5"/>
    </row>
    <row r="818" spans="2:18" s="12" customFormat="1">
      <c r="B818" s="12" t="s">
        <v>1117</v>
      </c>
      <c r="C818" s="13" t="s">
        <v>986</v>
      </c>
      <c r="D818" s="13" t="s">
        <v>985</v>
      </c>
      <c r="E818" s="15"/>
      <c r="F818" s="15">
        <f>SUM(F819:F824)</f>
        <v>104.26984126984127</v>
      </c>
      <c r="G818" s="14">
        <f>G820</f>
        <v>45104</v>
      </c>
      <c r="I818" s="1" t="s">
        <v>1</v>
      </c>
      <c r="J818" s="1" t="s">
        <v>1</v>
      </c>
      <c r="K818" s="1" t="s">
        <v>1</v>
      </c>
      <c r="M818" s="13"/>
      <c r="N818" s="13"/>
      <c r="O818" s="13"/>
      <c r="P818" s="13"/>
      <c r="Q818" s="13"/>
      <c r="R818" s="13"/>
    </row>
    <row r="819" spans="2:18">
      <c r="C819" s="2" t="s">
        <v>18</v>
      </c>
      <c r="D819" s="2" t="s">
        <v>1023</v>
      </c>
      <c r="E819" s="3">
        <v>100</v>
      </c>
      <c r="F819" s="3">
        <v>10</v>
      </c>
      <c r="G819" s="4">
        <v>44754</v>
      </c>
    </row>
    <row r="820" spans="2:18">
      <c r="C820" s="2" t="s">
        <v>5</v>
      </c>
      <c r="D820" s="2" t="s">
        <v>556</v>
      </c>
      <c r="E820" s="3">
        <v>58</v>
      </c>
      <c r="F820" s="3">
        <v>8</v>
      </c>
      <c r="G820" s="4">
        <v>45104</v>
      </c>
    </row>
    <row r="821" spans="2:18">
      <c r="C821" s="2" t="s">
        <v>55</v>
      </c>
      <c r="D821" s="2" t="s">
        <v>498</v>
      </c>
      <c r="E821" s="3">
        <v>50</v>
      </c>
      <c r="F821" s="3">
        <v>20</v>
      </c>
      <c r="G821" s="4">
        <v>44174</v>
      </c>
    </row>
    <row r="822" spans="2:18">
      <c r="C822" s="2" t="s">
        <v>9</v>
      </c>
      <c r="D822" s="2" t="s">
        <v>159</v>
      </c>
      <c r="E822" s="3">
        <v>400</v>
      </c>
      <c r="F822" s="3">
        <v>35.555555555555557</v>
      </c>
      <c r="G822" s="4">
        <v>44413</v>
      </c>
    </row>
    <row r="823" spans="2:18">
      <c r="C823" s="2" t="s">
        <v>55</v>
      </c>
      <c r="D823" s="2" t="s">
        <v>49</v>
      </c>
      <c r="E823" s="3">
        <v>100</v>
      </c>
      <c r="F823" s="3">
        <f>75/7</f>
        <v>10.714285714285714</v>
      </c>
      <c r="G823" s="4">
        <v>44515</v>
      </c>
      <c r="I823" s="1">
        <v>4100</v>
      </c>
      <c r="J823" s="1">
        <v>4100</v>
      </c>
    </row>
    <row r="824" spans="2:18">
      <c r="C824" s="2" t="s">
        <v>1116</v>
      </c>
      <c r="D824" s="2" t="s">
        <v>49</v>
      </c>
      <c r="E824" s="3">
        <v>20</v>
      </c>
      <c r="F824" s="3">
        <v>20</v>
      </c>
      <c r="G824" s="4">
        <v>44265</v>
      </c>
    </row>
    <row r="825" spans="2:18">
      <c r="G825" s="4"/>
    </row>
    <row r="826" spans="2:18">
      <c r="B826" s="12" t="s">
        <v>1115</v>
      </c>
      <c r="C826" s="13" t="s">
        <v>986</v>
      </c>
      <c r="D826" s="13" t="s">
        <v>985</v>
      </c>
      <c r="E826" s="15"/>
      <c r="F826" s="15">
        <f>SUM(F827:F833)</f>
        <v>94.571428571428569</v>
      </c>
      <c r="G826" s="14">
        <f>G827</f>
        <v>45048</v>
      </c>
      <c r="I826" s="1" t="s">
        <v>1</v>
      </c>
      <c r="J826" s="1" t="s">
        <v>1</v>
      </c>
      <c r="K826" s="1" t="s">
        <v>1</v>
      </c>
    </row>
    <row r="827" spans="2:18">
      <c r="C827" s="2" t="s">
        <v>18</v>
      </c>
      <c r="D827" s="2" t="s">
        <v>969</v>
      </c>
      <c r="E827" s="3">
        <v>270</v>
      </c>
      <c r="F827" s="3">
        <v>24</v>
      </c>
      <c r="G827" s="4">
        <v>45048</v>
      </c>
    </row>
    <row r="828" spans="2:18">
      <c r="C828" s="2" t="s">
        <v>7</v>
      </c>
      <c r="D828" s="2" t="s">
        <v>965</v>
      </c>
      <c r="E828" s="3">
        <v>350</v>
      </c>
      <c r="F828" s="3">
        <v>20</v>
      </c>
      <c r="G828" s="4">
        <v>44999</v>
      </c>
    </row>
    <row r="829" spans="2:18">
      <c r="C829" s="2" t="s">
        <v>7</v>
      </c>
      <c r="D829" s="2" t="s">
        <v>464</v>
      </c>
      <c r="E829" s="3">
        <v>26.8</v>
      </c>
      <c r="F829" s="3">
        <f>20/5</f>
        <v>4</v>
      </c>
      <c r="G829" s="4">
        <v>44600</v>
      </c>
    </row>
    <row r="830" spans="2:18">
      <c r="C830" s="2" t="s">
        <v>8</v>
      </c>
      <c r="D830" s="2" t="s">
        <v>136</v>
      </c>
      <c r="E830" s="3">
        <v>135</v>
      </c>
      <c r="F830" s="3">
        <v>8</v>
      </c>
      <c r="G830" s="4">
        <v>44880</v>
      </c>
    </row>
    <row r="831" spans="2:18">
      <c r="C831" s="2" t="s">
        <v>18</v>
      </c>
      <c r="D831" s="2" t="s">
        <v>136</v>
      </c>
      <c r="E831" s="3">
        <v>73</v>
      </c>
      <c r="F831" s="3">
        <f>53/7</f>
        <v>7.5714285714285712</v>
      </c>
      <c r="G831" s="4">
        <v>44565</v>
      </c>
    </row>
    <row r="832" spans="2:18">
      <c r="C832" s="2" t="s">
        <v>18</v>
      </c>
      <c r="D832" s="2" t="s">
        <v>136</v>
      </c>
      <c r="E832" s="3">
        <v>31.7</v>
      </c>
      <c r="F832" s="3">
        <v>7</v>
      </c>
      <c r="G832" s="4">
        <v>43599</v>
      </c>
    </row>
    <row r="833" spans="2:18">
      <c r="C833" s="2" t="s">
        <v>9</v>
      </c>
      <c r="D833" s="2" t="s">
        <v>41</v>
      </c>
      <c r="E833" s="3">
        <v>230</v>
      </c>
      <c r="F833" s="3">
        <v>24</v>
      </c>
      <c r="G833" s="4">
        <v>44984</v>
      </c>
      <c r="I833" s="1">
        <v>2000</v>
      </c>
      <c r="J833" s="1">
        <v>2000</v>
      </c>
    </row>
    <row r="834" spans="2:18">
      <c r="G834" s="4"/>
    </row>
    <row r="835" spans="2:18" s="12" customFormat="1">
      <c r="B835" s="12" t="s">
        <v>1114</v>
      </c>
      <c r="C835" s="13" t="s">
        <v>986</v>
      </c>
      <c r="D835" s="13" t="s">
        <v>985</v>
      </c>
      <c r="E835" s="15"/>
      <c r="F835" s="15">
        <f>SUM(F836:F851)</f>
        <v>92.738095238095241</v>
      </c>
      <c r="G835" s="14">
        <f>G836</f>
        <v>45042</v>
      </c>
      <c r="M835" s="13"/>
      <c r="N835" s="13"/>
      <c r="O835" s="13"/>
      <c r="P835" s="13"/>
      <c r="Q835" s="13"/>
      <c r="R835" s="13"/>
    </row>
    <row r="836" spans="2:18">
      <c r="C836" s="2" t="s">
        <v>7</v>
      </c>
      <c r="D836" s="2" t="s">
        <v>1113</v>
      </c>
      <c r="E836" s="3">
        <v>100</v>
      </c>
      <c r="F836" s="3">
        <v>5</v>
      </c>
      <c r="G836" s="4">
        <v>45042</v>
      </c>
    </row>
    <row r="837" spans="2:18">
      <c r="C837" s="2" t="s">
        <v>5</v>
      </c>
      <c r="D837" s="2" t="s">
        <v>1113</v>
      </c>
      <c r="E837" s="3">
        <v>28</v>
      </c>
      <c r="F837" s="3">
        <v>6</v>
      </c>
      <c r="G837" s="4">
        <v>44649</v>
      </c>
    </row>
    <row r="838" spans="2:18">
      <c r="C838" s="2" t="s">
        <v>4</v>
      </c>
      <c r="D838" s="2" t="s">
        <v>1113</v>
      </c>
      <c r="E838" s="3">
        <v>10</v>
      </c>
      <c r="F838" s="3">
        <v>5</v>
      </c>
      <c r="G838" s="4">
        <v>44223</v>
      </c>
    </row>
    <row r="839" spans="2:18">
      <c r="C839" s="2" t="s">
        <v>7</v>
      </c>
      <c r="D839" s="2" t="s">
        <v>1029</v>
      </c>
      <c r="E839" s="3">
        <v>43</v>
      </c>
      <c r="F839" s="3">
        <f>30/5</f>
        <v>6</v>
      </c>
      <c r="G839" s="4">
        <v>44978</v>
      </c>
    </row>
    <row r="840" spans="2:18">
      <c r="C840" s="2" t="s">
        <v>7</v>
      </c>
      <c r="D840" s="2" t="s">
        <v>873</v>
      </c>
      <c r="E840" s="3">
        <v>25</v>
      </c>
      <c r="F840" s="3">
        <f>18/7</f>
        <v>2.5714285714285716</v>
      </c>
      <c r="G840" s="4">
        <v>44636</v>
      </c>
    </row>
    <row r="841" spans="2:18">
      <c r="C841" s="2" t="s">
        <v>5</v>
      </c>
      <c r="D841" s="2" t="s">
        <v>873</v>
      </c>
      <c r="E841" s="3">
        <v>12.2</v>
      </c>
      <c r="F841" s="3">
        <v>4</v>
      </c>
      <c r="G841" s="4">
        <v>44179</v>
      </c>
    </row>
    <row r="842" spans="2:18">
      <c r="C842" s="2" t="s">
        <v>4</v>
      </c>
      <c r="D842" s="2" t="s">
        <v>873</v>
      </c>
      <c r="E842" s="3">
        <v>5.0999999999999996</v>
      </c>
      <c r="F842" s="3">
        <v>1</v>
      </c>
      <c r="G842" s="4">
        <v>44046</v>
      </c>
    </row>
    <row r="843" spans="2:18">
      <c r="C843" s="2" t="s">
        <v>4</v>
      </c>
      <c r="D843" s="2" t="s">
        <v>841</v>
      </c>
      <c r="E843" s="3">
        <v>4.5</v>
      </c>
      <c r="F843" s="3">
        <v>0.5</v>
      </c>
      <c r="G843" s="4">
        <v>45056</v>
      </c>
    </row>
    <row r="844" spans="2:18">
      <c r="C844" s="2" t="s">
        <v>5</v>
      </c>
      <c r="D844" s="2" t="s">
        <v>731</v>
      </c>
      <c r="E844" s="3">
        <v>11</v>
      </c>
      <c r="F844" s="3">
        <v>4</v>
      </c>
      <c r="G844" s="4">
        <v>44483</v>
      </c>
    </row>
    <row r="845" spans="2:18">
      <c r="C845" s="2" t="s">
        <v>7</v>
      </c>
      <c r="D845" s="2" t="s">
        <v>406</v>
      </c>
      <c r="E845" s="3">
        <v>37</v>
      </c>
      <c r="F845" s="3">
        <v>4</v>
      </c>
      <c r="G845" s="4">
        <v>44860</v>
      </c>
    </row>
    <row r="846" spans="2:18">
      <c r="C846" s="2" t="s">
        <v>7</v>
      </c>
      <c r="D846" s="2" t="s">
        <v>406</v>
      </c>
      <c r="E846" s="3">
        <v>80</v>
      </c>
      <c r="F846" s="3">
        <v>10</v>
      </c>
      <c r="G846" s="4">
        <v>44327</v>
      </c>
    </row>
    <row r="847" spans="2:18">
      <c r="C847" s="2" t="s">
        <v>5</v>
      </c>
      <c r="D847" s="2" t="s">
        <v>406</v>
      </c>
      <c r="E847" s="3">
        <v>30</v>
      </c>
      <c r="F847" s="3">
        <v>6.666666666666667</v>
      </c>
      <c r="G847" s="4">
        <v>43963</v>
      </c>
    </row>
    <row r="848" spans="2:18">
      <c r="C848" s="2" t="s">
        <v>8</v>
      </c>
      <c r="D848" s="2" t="s">
        <v>57</v>
      </c>
      <c r="E848" s="3">
        <v>200</v>
      </c>
      <c r="F848" s="3">
        <f>150/8</f>
        <v>18.75</v>
      </c>
      <c r="G848" s="4">
        <v>44055</v>
      </c>
      <c r="I848" s="1">
        <v>2000</v>
      </c>
      <c r="J848" s="1">
        <v>7000</v>
      </c>
    </row>
    <row r="849" spans="2:18">
      <c r="C849" s="2" t="s">
        <v>18</v>
      </c>
      <c r="D849" s="2" t="s">
        <v>57</v>
      </c>
      <c r="E849" s="3">
        <v>65</v>
      </c>
      <c r="F849" s="3">
        <v>8</v>
      </c>
      <c r="G849" s="4">
        <v>43802</v>
      </c>
      <c r="I849" s="1">
        <v>685</v>
      </c>
      <c r="J849" s="1">
        <v>7000</v>
      </c>
    </row>
    <row r="850" spans="2:18">
      <c r="C850" s="2" t="s">
        <v>7</v>
      </c>
      <c r="D850" s="2" t="s">
        <v>57</v>
      </c>
      <c r="E850" s="3">
        <v>40</v>
      </c>
      <c r="F850" s="3">
        <v>6.25</v>
      </c>
      <c r="G850" s="4">
        <v>43503</v>
      </c>
      <c r="J850" s="1">
        <v>7000</v>
      </c>
    </row>
    <row r="851" spans="2:18">
      <c r="C851" s="2" t="s">
        <v>5</v>
      </c>
      <c r="D851" s="2" t="s">
        <v>57</v>
      </c>
      <c r="E851" s="3">
        <v>20</v>
      </c>
      <c r="F851" s="3">
        <v>5</v>
      </c>
      <c r="G851" s="4">
        <v>42898</v>
      </c>
    </row>
    <row r="852" spans="2:18">
      <c r="G852" s="4"/>
    </row>
    <row r="853" spans="2:18" s="12" customFormat="1">
      <c r="B853" s="12" t="s">
        <v>1112</v>
      </c>
      <c r="C853" s="13" t="s">
        <v>986</v>
      </c>
      <c r="D853" s="13" t="s">
        <v>985</v>
      </c>
      <c r="E853" s="15"/>
      <c r="F853" s="15">
        <f>SUM(F854:F866)</f>
        <v>90.75</v>
      </c>
      <c r="G853" s="14">
        <f>G855</f>
        <v>45005</v>
      </c>
      <c r="M853" s="13"/>
      <c r="N853" s="13"/>
      <c r="O853" s="13"/>
      <c r="P853" s="13"/>
      <c r="Q853" s="13"/>
      <c r="R853" s="13"/>
    </row>
    <row r="854" spans="2:18">
      <c r="C854" s="2" t="s">
        <v>5</v>
      </c>
      <c r="D854" s="2" t="s">
        <v>693</v>
      </c>
      <c r="E854" s="3">
        <v>15</v>
      </c>
      <c r="F854" s="3">
        <v>5</v>
      </c>
      <c r="G854" s="4">
        <v>44838</v>
      </c>
    </row>
    <row r="855" spans="2:18">
      <c r="C855" s="2" t="s">
        <v>5</v>
      </c>
      <c r="D855" s="2" t="s">
        <v>699</v>
      </c>
      <c r="E855" s="3">
        <v>13</v>
      </c>
      <c r="F855" s="3">
        <v>3</v>
      </c>
      <c r="G855" s="4">
        <v>45005</v>
      </c>
    </row>
    <row r="856" spans="2:18">
      <c r="C856" s="2" t="s">
        <v>5</v>
      </c>
      <c r="D856" s="2" t="s">
        <v>651</v>
      </c>
      <c r="E856" s="3">
        <v>11</v>
      </c>
      <c r="F856" s="3">
        <v>7</v>
      </c>
      <c r="G856" s="4">
        <v>44959</v>
      </c>
    </row>
    <row r="857" spans="2:18">
      <c r="C857" s="2" t="s">
        <v>8</v>
      </c>
      <c r="D857" s="2" t="s">
        <v>1111</v>
      </c>
      <c r="E857" s="3">
        <v>90</v>
      </c>
      <c r="F857" s="3">
        <v>5</v>
      </c>
      <c r="G857" s="4">
        <v>44776</v>
      </c>
    </row>
    <row r="858" spans="2:18">
      <c r="C858" s="2" t="s">
        <v>18</v>
      </c>
      <c r="D858" s="2" t="s">
        <v>1111</v>
      </c>
      <c r="E858" s="3">
        <v>40</v>
      </c>
      <c r="F858" s="3">
        <v>3.75</v>
      </c>
      <c r="G858" s="4">
        <v>44176</v>
      </c>
    </row>
    <row r="859" spans="2:18">
      <c r="C859" s="2" t="s">
        <v>7</v>
      </c>
      <c r="D859" s="2" t="s">
        <v>1111</v>
      </c>
      <c r="E859" s="3">
        <v>20</v>
      </c>
      <c r="F859" s="3">
        <v>5</v>
      </c>
      <c r="G859" s="4">
        <v>43879</v>
      </c>
    </row>
    <row r="860" spans="2:18">
      <c r="C860" s="2" t="s">
        <v>8</v>
      </c>
      <c r="D860" s="2" t="s">
        <v>136</v>
      </c>
      <c r="E860" s="3">
        <v>135</v>
      </c>
      <c r="F860" s="3">
        <v>8</v>
      </c>
      <c r="G860" s="4">
        <v>44880</v>
      </c>
      <c r="I860" s="1">
        <v>615</v>
      </c>
    </row>
    <row r="861" spans="2:18">
      <c r="C861" s="2" t="s">
        <v>7</v>
      </c>
      <c r="D861" s="2" t="s">
        <v>136</v>
      </c>
      <c r="E861" s="3">
        <v>32</v>
      </c>
      <c r="F861" s="3">
        <f>20/4</f>
        <v>5</v>
      </c>
      <c r="G861" s="4">
        <v>42528</v>
      </c>
    </row>
    <row r="862" spans="2:18">
      <c r="C862" s="2" t="s">
        <v>8</v>
      </c>
      <c r="D862" s="2" t="s">
        <v>57</v>
      </c>
      <c r="E862" s="3">
        <v>200</v>
      </c>
      <c r="F862" s="3">
        <v>18.75</v>
      </c>
      <c r="G862" s="4">
        <v>44055</v>
      </c>
      <c r="I862" s="1">
        <v>2000</v>
      </c>
      <c r="J862" s="1">
        <v>7000</v>
      </c>
    </row>
    <row r="863" spans="2:18">
      <c r="C863" s="2" t="s">
        <v>18</v>
      </c>
      <c r="D863" s="2" t="s">
        <v>57</v>
      </c>
      <c r="E863" s="3">
        <v>65</v>
      </c>
      <c r="F863" s="3">
        <v>8</v>
      </c>
      <c r="G863" s="4">
        <v>43802</v>
      </c>
      <c r="I863" s="1">
        <v>685</v>
      </c>
      <c r="J863" s="1">
        <v>7000</v>
      </c>
    </row>
    <row r="864" spans="2:18">
      <c r="C864" s="2" t="s">
        <v>7</v>
      </c>
      <c r="D864" s="2" t="s">
        <v>57</v>
      </c>
      <c r="E864" s="3">
        <v>40</v>
      </c>
      <c r="F864" s="3">
        <v>6.25</v>
      </c>
      <c r="G864" s="4">
        <v>43503</v>
      </c>
      <c r="J864" s="1">
        <v>7000</v>
      </c>
    </row>
    <row r="865" spans="2:18">
      <c r="C865" s="2" t="s">
        <v>5</v>
      </c>
      <c r="D865" s="2" t="s">
        <v>57</v>
      </c>
      <c r="E865" s="3">
        <v>22</v>
      </c>
      <c r="F865" s="3">
        <v>10</v>
      </c>
      <c r="G865" s="4">
        <v>46550</v>
      </c>
      <c r="J865" s="1">
        <v>7000</v>
      </c>
    </row>
    <row r="866" spans="2:18">
      <c r="C866" s="2" t="s">
        <v>4</v>
      </c>
      <c r="D866" s="2" t="s">
        <v>57</v>
      </c>
      <c r="E866" s="3">
        <v>6</v>
      </c>
      <c r="F866" s="3">
        <v>6</v>
      </c>
      <c r="G866" s="4">
        <v>42542</v>
      </c>
      <c r="J866" s="1">
        <v>7000</v>
      </c>
    </row>
    <row r="867" spans="2:18">
      <c r="G867" s="4"/>
    </row>
    <row r="868" spans="2:18" s="12" customFormat="1">
      <c r="B868" s="12" t="s">
        <v>1110</v>
      </c>
      <c r="C868" s="13" t="s">
        <v>986</v>
      </c>
      <c r="D868" s="13" t="s">
        <v>985</v>
      </c>
      <c r="E868" s="15"/>
      <c r="F868" s="15">
        <f>SUM(F869:F875)</f>
        <v>89.190476190476204</v>
      </c>
      <c r="G868" s="14">
        <f>G869</f>
        <v>44776</v>
      </c>
    </row>
    <row r="869" spans="2:18">
      <c r="C869" s="2" t="s">
        <v>8</v>
      </c>
      <c r="D869" s="2" t="s">
        <v>456</v>
      </c>
      <c r="E869" s="3">
        <v>90</v>
      </c>
      <c r="F869" s="3">
        <v>20</v>
      </c>
      <c r="G869" s="4">
        <v>44776</v>
      </c>
      <c r="M869" s="1"/>
      <c r="N869" s="1"/>
      <c r="O869" s="1"/>
      <c r="P869" s="1"/>
      <c r="Q869" s="1"/>
      <c r="R869" s="1"/>
    </row>
    <row r="870" spans="2:18">
      <c r="C870" s="2" t="s">
        <v>8</v>
      </c>
      <c r="D870" s="2" t="s">
        <v>218</v>
      </c>
      <c r="E870" s="3">
        <v>700</v>
      </c>
      <c r="F870" s="3">
        <f>400/12</f>
        <v>33.333333333333336</v>
      </c>
      <c r="G870" s="4">
        <v>44218</v>
      </c>
      <c r="M870" s="1"/>
      <c r="N870" s="1"/>
      <c r="O870" s="1"/>
      <c r="P870" s="1"/>
      <c r="Q870" s="1"/>
      <c r="R870" s="1"/>
    </row>
    <row r="871" spans="2:18">
      <c r="C871" s="2" t="s">
        <v>7</v>
      </c>
      <c r="D871" s="2" t="s">
        <v>113</v>
      </c>
      <c r="E871" s="3">
        <v>37</v>
      </c>
      <c r="F871" s="3">
        <v>6.5</v>
      </c>
      <c r="G871" s="4">
        <v>43783</v>
      </c>
      <c r="M871" s="1"/>
      <c r="N871" s="1"/>
      <c r="O871" s="1"/>
      <c r="P871" s="1"/>
      <c r="Q871" s="1"/>
      <c r="R871" s="1"/>
    </row>
    <row r="872" spans="2:18">
      <c r="C872" s="2" t="s">
        <v>5</v>
      </c>
      <c r="D872" s="2" t="s">
        <v>113</v>
      </c>
      <c r="E872" s="3">
        <v>15</v>
      </c>
      <c r="F872" s="3">
        <f>E872/2</f>
        <v>7.5</v>
      </c>
      <c r="G872" s="4">
        <v>43262</v>
      </c>
      <c r="M872" s="1"/>
      <c r="N872" s="1"/>
      <c r="O872" s="1"/>
      <c r="P872" s="1"/>
      <c r="Q872" s="1"/>
      <c r="R872" s="1"/>
    </row>
    <row r="873" spans="2:18">
      <c r="C873" s="2" t="s">
        <v>8</v>
      </c>
      <c r="D873" s="2" t="s">
        <v>104</v>
      </c>
      <c r="E873" s="3">
        <v>30</v>
      </c>
      <c r="F873" s="3">
        <f>20/7</f>
        <v>2.8571428571428572</v>
      </c>
      <c r="G873" s="4">
        <v>43178</v>
      </c>
      <c r="M873" s="1"/>
      <c r="N873" s="1"/>
      <c r="O873" s="1"/>
      <c r="P873" s="1"/>
      <c r="Q873" s="1"/>
      <c r="R873" s="1"/>
    </row>
    <row r="874" spans="2:18">
      <c r="C874" s="2" t="s">
        <v>8</v>
      </c>
      <c r="D874" s="2" t="s">
        <v>104</v>
      </c>
      <c r="E874" s="3">
        <v>40</v>
      </c>
      <c r="F874" s="3">
        <v>7</v>
      </c>
      <c r="G874" s="4">
        <v>42493</v>
      </c>
      <c r="M874" s="1"/>
      <c r="N874" s="1"/>
      <c r="O874" s="1"/>
      <c r="P874" s="1"/>
      <c r="Q874" s="1"/>
      <c r="R874" s="1"/>
    </row>
    <row r="875" spans="2:18">
      <c r="C875" s="2" t="s">
        <v>18</v>
      </c>
      <c r="D875" s="2" t="s">
        <v>104</v>
      </c>
      <c r="E875" s="3">
        <v>24</v>
      </c>
      <c r="F875" s="3">
        <v>12</v>
      </c>
      <c r="G875" s="4">
        <v>41921</v>
      </c>
      <c r="M875" s="1"/>
      <c r="N875" s="1"/>
      <c r="O875" s="1"/>
      <c r="P875" s="1"/>
      <c r="Q875" s="1"/>
      <c r="R875" s="1"/>
    </row>
    <row r="876" spans="2:18">
      <c r="G876" s="4"/>
      <c r="M876" s="1"/>
      <c r="N876" s="1"/>
      <c r="O876" s="1"/>
      <c r="P876" s="1"/>
      <c r="Q876" s="1"/>
      <c r="R876" s="1"/>
    </row>
    <row r="877" spans="2:18">
      <c r="B877" s="12" t="s">
        <v>1109</v>
      </c>
      <c r="C877" s="13" t="s">
        <v>986</v>
      </c>
      <c r="D877" s="13" t="s">
        <v>985</v>
      </c>
      <c r="E877" s="15"/>
      <c r="F877" s="15">
        <f>SUM(F878:F879)</f>
        <v>80</v>
      </c>
      <c r="G877" s="14">
        <f>G879</f>
        <v>44679</v>
      </c>
      <c r="I877" s="1">
        <v>7000</v>
      </c>
      <c r="J877" s="19">
        <f>+F877/I877</f>
        <v>1.1428571428571429E-2</v>
      </c>
      <c r="K877" s="1">
        <v>2012</v>
      </c>
    </row>
    <row r="878" spans="2:18">
      <c r="C878" s="2" t="s">
        <v>9</v>
      </c>
      <c r="D878" s="2" t="s">
        <v>815</v>
      </c>
      <c r="E878" s="3">
        <v>325</v>
      </c>
      <c r="F878" s="3">
        <f>32.5*2</f>
        <v>65</v>
      </c>
      <c r="G878" s="4">
        <v>44299</v>
      </c>
    </row>
    <row r="879" spans="2:18">
      <c r="C879" s="2" t="s">
        <v>5</v>
      </c>
      <c r="D879" s="2" t="s">
        <v>1107</v>
      </c>
      <c r="E879" s="3">
        <v>25</v>
      </c>
      <c r="F879" s="3">
        <v>15</v>
      </c>
      <c r="G879" s="4">
        <v>44679</v>
      </c>
    </row>
    <row r="880" spans="2:18">
      <c r="G880" s="4"/>
    </row>
    <row r="881" spans="2:18" s="12" customFormat="1">
      <c r="B881" s="12" t="s">
        <v>504</v>
      </c>
      <c r="C881" s="13" t="s">
        <v>986</v>
      </c>
      <c r="D881" s="13" t="s">
        <v>985</v>
      </c>
      <c r="E881" s="15"/>
      <c r="F881" s="15">
        <f>SUM(F882:F885)</f>
        <v>78.5</v>
      </c>
      <c r="G881" s="14">
        <f>G885</f>
        <v>44557</v>
      </c>
    </row>
    <row r="882" spans="2:18">
      <c r="C882" s="2" t="s">
        <v>9</v>
      </c>
      <c r="D882" s="2" t="s">
        <v>498</v>
      </c>
      <c r="E882" s="3">
        <v>206</v>
      </c>
      <c r="F882" s="3">
        <v>14</v>
      </c>
      <c r="G882" s="4">
        <v>43725</v>
      </c>
      <c r="M882" s="1"/>
      <c r="N882" s="1"/>
      <c r="O882" s="1"/>
      <c r="P882" s="1"/>
      <c r="Q882" s="1"/>
      <c r="R882" s="1"/>
    </row>
    <row r="883" spans="2:18">
      <c r="C883" s="2" t="s">
        <v>9</v>
      </c>
      <c r="D883" s="2" t="s">
        <v>49</v>
      </c>
      <c r="E883" s="3">
        <v>248</v>
      </c>
      <c r="F883" s="3">
        <f>150/4</f>
        <v>37.5</v>
      </c>
      <c r="G883" s="4">
        <v>43678</v>
      </c>
      <c r="I883" s="1">
        <v>1700</v>
      </c>
      <c r="J883" s="1">
        <v>4100</v>
      </c>
      <c r="M883" s="1"/>
      <c r="N883" s="1"/>
      <c r="O883" s="1"/>
      <c r="P883" s="1"/>
      <c r="Q883" s="1"/>
      <c r="R883" s="1"/>
    </row>
    <row r="884" spans="2:18">
      <c r="C884" s="2" t="s">
        <v>18</v>
      </c>
      <c r="D884" s="2" t="s">
        <v>49</v>
      </c>
      <c r="E884" s="3">
        <v>50</v>
      </c>
      <c r="F884" s="3">
        <v>15</v>
      </c>
      <c r="G884" s="4">
        <v>42509</v>
      </c>
      <c r="J884" s="1">
        <v>4100</v>
      </c>
      <c r="M884" s="1"/>
      <c r="N884" s="1"/>
      <c r="O884" s="1"/>
      <c r="P884" s="1"/>
      <c r="Q884" s="1"/>
      <c r="R884" s="1"/>
    </row>
    <row r="885" spans="2:18">
      <c r="C885" s="2" t="s">
        <v>18</v>
      </c>
      <c r="D885" s="2" t="s">
        <v>2178</v>
      </c>
      <c r="E885" s="3">
        <v>200</v>
      </c>
      <c r="F885" s="3">
        <v>12</v>
      </c>
      <c r="G885" s="4">
        <v>44557</v>
      </c>
      <c r="I885" s="1">
        <v>1300</v>
      </c>
      <c r="J885" s="1">
        <v>1300</v>
      </c>
      <c r="M885" s="1"/>
      <c r="N885" s="1"/>
      <c r="O885" s="1"/>
      <c r="P885" s="1"/>
      <c r="Q885" s="1"/>
      <c r="R885" s="1"/>
    </row>
    <row r="886" spans="2:18">
      <c r="G886" s="4"/>
      <c r="M886" s="1"/>
      <c r="N886" s="1"/>
      <c r="O886" s="1"/>
      <c r="P886" s="1"/>
      <c r="Q886" s="1"/>
      <c r="R886" s="1"/>
    </row>
    <row r="887" spans="2:18" s="12" customFormat="1">
      <c r="B887" s="12" t="s">
        <v>1100</v>
      </c>
      <c r="C887" s="13" t="s">
        <v>986</v>
      </c>
      <c r="D887" s="13" t="s">
        <v>985</v>
      </c>
      <c r="E887" s="15"/>
      <c r="F887" s="15">
        <f>SUM(F888:F894)</f>
        <v>79.099999999999994</v>
      </c>
      <c r="G887" s="14">
        <f>G889</f>
        <v>44880</v>
      </c>
    </row>
    <row r="888" spans="2:18">
      <c r="C888" s="2" t="s">
        <v>5</v>
      </c>
      <c r="D888" s="2" t="s">
        <v>474</v>
      </c>
      <c r="E888" s="3">
        <v>15.5</v>
      </c>
      <c r="F888" s="3">
        <v>3</v>
      </c>
      <c r="G888" s="4">
        <v>44727</v>
      </c>
      <c r="M888" s="1"/>
      <c r="N888" s="1"/>
      <c r="O888" s="1"/>
      <c r="P888" s="1"/>
      <c r="Q888" s="1"/>
      <c r="R888" s="1"/>
    </row>
    <row r="889" spans="2:18">
      <c r="C889" s="2" t="s">
        <v>8</v>
      </c>
      <c r="D889" s="2" t="s">
        <v>136</v>
      </c>
      <c r="E889" s="3">
        <v>135</v>
      </c>
      <c r="F889" s="3">
        <v>8</v>
      </c>
      <c r="G889" s="4">
        <v>44880</v>
      </c>
      <c r="M889" s="1"/>
      <c r="N889" s="1"/>
      <c r="O889" s="1"/>
      <c r="P889" s="1"/>
      <c r="Q889" s="1"/>
      <c r="R889" s="1"/>
    </row>
    <row r="890" spans="2:18">
      <c r="C890" s="2" t="s">
        <v>18</v>
      </c>
      <c r="D890" s="2" t="s">
        <v>136</v>
      </c>
      <c r="E890" s="3">
        <v>31.7</v>
      </c>
      <c r="F890" s="3">
        <v>7</v>
      </c>
      <c r="G890" s="4">
        <v>43599</v>
      </c>
      <c r="M890" s="1"/>
      <c r="N890" s="1"/>
      <c r="O890" s="1"/>
      <c r="P890" s="1"/>
      <c r="Q890" s="1"/>
      <c r="R890" s="1"/>
    </row>
    <row r="891" spans="2:18">
      <c r="C891" s="2" t="s">
        <v>7</v>
      </c>
      <c r="D891" s="2" t="s">
        <v>136</v>
      </c>
      <c r="E891" s="3">
        <v>32</v>
      </c>
      <c r="F891" s="3">
        <f>20/4</f>
        <v>5</v>
      </c>
      <c r="G891" s="4">
        <v>42528</v>
      </c>
      <c r="M891" s="1"/>
      <c r="N891" s="1"/>
      <c r="O891" s="1"/>
      <c r="P891" s="1"/>
      <c r="Q891" s="1"/>
      <c r="R891" s="1"/>
    </row>
    <row r="892" spans="2:18">
      <c r="C892" s="2" t="s">
        <v>18</v>
      </c>
      <c r="D892" s="2" t="s">
        <v>197</v>
      </c>
      <c r="E892" s="3">
        <v>235</v>
      </c>
      <c r="F892" s="3">
        <f>85/2</f>
        <v>42.5</v>
      </c>
      <c r="G892" s="4">
        <v>44384</v>
      </c>
      <c r="M892" s="1"/>
      <c r="N892" s="1"/>
      <c r="O892" s="1"/>
      <c r="P892" s="1"/>
      <c r="Q892" s="1"/>
      <c r="R892" s="1"/>
    </row>
    <row r="893" spans="2:18">
      <c r="C893" s="2" t="s">
        <v>7</v>
      </c>
      <c r="D893" s="2" t="s">
        <v>197</v>
      </c>
      <c r="E893" s="3">
        <f>43</f>
        <v>43</v>
      </c>
      <c r="F893" s="3">
        <f>E893/5</f>
        <v>8.6</v>
      </c>
      <c r="G893" s="4">
        <v>44077</v>
      </c>
      <c r="M893" s="1"/>
      <c r="N893" s="1"/>
      <c r="O893" s="1"/>
      <c r="P893" s="1"/>
      <c r="Q893" s="1"/>
      <c r="R893" s="1"/>
    </row>
    <row r="894" spans="2:18">
      <c r="C894" s="2" t="s">
        <v>5</v>
      </c>
      <c r="D894" s="2" t="s">
        <v>197</v>
      </c>
      <c r="E894" s="3">
        <v>15</v>
      </c>
      <c r="F894" s="3">
        <v>5</v>
      </c>
      <c r="G894" s="4">
        <v>43479</v>
      </c>
      <c r="M894" s="1"/>
      <c r="N894" s="1"/>
      <c r="O894" s="1"/>
      <c r="P894" s="1"/>
      <c r="Q894" s="1"/>
      <c r="R894" s="1"/>
    </row>
    <row r="895" spans="2:18">
      <c r="G895" s="4"/>
      <c r="M895" s="1"/>
      <c r="N895" s="1"/>
      <c r="O895" s="1"/>
      <c r="P895" s="1"/>
      <c r="Q895" s="1"/>
      <c r="R895" s="1"/>
    </row>
    <row r="896" spans="2:18" s="12" customFormat="1">
      <c r="B896" s="12" t="s">
        <v>1099</v>
      </c>
      <c r="C896" s="13" t="s">
        <v>986</v>
      </c>
      <c r="D896" s="13" t="s">
        <v>985</v>
      </c>
      <c r="E896" s="15"/>
      <c r="F896" s="15">
        <f>SUM(F897:F903)</f>
        <v>74.904761904761898</v>
      </c>
      <c r="G896" s="14">
        <f>G900</f>
        <v>44565</v>
      </c>
    </row>
    <row r="897" spans="2:18">
      <c r="C897" s="2" t="s">
        <v>8</v>
      </c>
      <c r="D897" s="2" t="s">
        <v>393</v>
      </c>
      <c r="E897" s="3">
        <v>140</v>
      </c>
      <c r="F897" s="3">
        <v>10</v>
      </c>
      <c r="G897" s="4">
        <v>44286</v>
      </c>
      <c r="M897" s="1"/>
      <c r="N897" s="1"/>
      <c r="O897" s="1"/>
      <c r="P897" s="1"/>
      <c r="Q897" s="1"/>
      <c r="R897" s="1"/>
    </row>
    <row r="898" spans="2:18">
      <c r="B898" s="1" t="s">
        <v>4561</v>
      </c>
      <c r="C898" s="2" t="s">
        <v>18</v>
      </c>
      <c r="D898" s="2" t="s">
        <v>299</v>
      </c>
      <c r="E898" s="3">
        <v>38</v>
      </c>
      <c r="F898" s="3">
        <v>3</v>
      </c>
      <c r="G898" s="4">
        <v>43104</v>
      </c>
      <c r="M898" s="1"/>
      <c r="N898" s="1"/>
      <c r="O898" s="1"/>
      <c r="P898" s="1"/>
      <c r="Q898" s="1"/>
      <c r="R898" s="1"/>
    </row>
    <row r="899" spans="2:18">
      <c r="B899" s="1" t="s">
        <v>4562</v>
      </c>
      <c r="C899" s="2" t="s">
        <v>18</v>
      </c>
      <c r="D899" s="2" t="s">
        <v>218</v>
      </c>
      <c r="E899" s="3">
        <v>230</v>
      </c>
      <c r="F899" s="3">
        <f>E899/6</f>
        <v>38.333333333333336</v>
      </c>
      <c r="G899" s="4">
        <v>43923</v>
      </c>
      <c r="M899" s="1"/>
      <c r="N899" s="1"/>
      <c r="O899" s="1"/>
      <c r="P899" s="1"/>
      <c r="Q899" s="1"/>
      <c r="R899" s="1"/>
    </row>
    <row r="900" spans="2:18">
      <c r="C900" s="2" t="s">
        <v>18</v>
      </c>
      <c r="D900" s="2" t="s">
        <v>136</v>
      </c>
      <c r="E900" s="3">
        <v>73</v>
      </c>
      <c r="F900" s="3">
        <f>53/7</f>
        <v>7.5714285714285712</v>
      </c>
      <c r="G900" s="4">
        <v>44565</v>
      </c>
      <c r="J900" s="1">
        <v>615</v>
      </c>
      <c r="M900" s="1"/>
      <c r="N900" s="1"/>
      <c r="O900" s="1"/>
      <c r="P900" s="1"/>
      <c r="Q900" s="1"/>
      <c r="R900" s="1"/>
    </row>
    <row r="901" spans="2:18">
      <c r="C901" s="2" t="s">
        <v>18</v>
      </c>
      <c r="D901" s="2" t="s">
        <v>57</v>
      </c>
      <c r="E901" s="3">
        <v>65</v>
      </c>
      <c r="F901" s="3">
        <v>8</v>
      </c>
      <c r="G901" s="4">
        <v>43802</v>
      </c>
      <c r="I901" s="1">
        <v>685</v>
      </c>
      <c r="J901" s="1">
        <v>7000</v>
      </c>
      <c r="M901" s="1"/>
      <c r="N901" s="1"/>
      <c r="O901" s="1"/>
      <c r="P901" s="1"/>
      <c r="Q901" s="1"/>
      <c r="R901" s="1"/>
    </row>
    <row r="902" spans="2:18">
      <c r="C902" s="2" t="s">
        <v>7</v>
      </c>
      <c r="D902" s="2" t="s">
        <v>57</v>
      </c>
      <c r="E902" s="3">
        <v>40</v>
      </c>
      <c r="F902" s="3">
        <v>6</v>
      </c>
      <c r="G902" s="4">
        <v>43503</v>
      </c>
      <c r="J902" s="1">
        <v>7000</v>
      </c>
      <c r="M902" s="1"/>
      <c r="N902" s="1"/>
      <c r="O902" s="1"/>
      <c r="P902" s="1"/>
      <c r="Q902" s="1"/>
      <c r="R902" s="1"/>
    </row>
    <row r="903" spans="2:18">
      <c r="C903" s="2" t="s">
        <v>5</v>
      </c>
      <c r="D903" s="2" t="s">
        <v>57</v>
      </c>
      <c r="E903" s="3">
        <v>2</v>
      </c>
      <c r="F903" s="3">
        <v>2</v>
      </c>
      <c r="G903" s="4">
        <v>42928</v>
      </c>
      <c r="J903" s="1">
        <v>7000</v>
      </c>
      <c r="M903" s="1"/>
      <c r="N903" s="1"/>
      <c r="O903" s="1"/>
      <c r="P903" s="1"/>
      <c r="Q903" s="1"/>
      <c r="R903" s="1"/>
    </row>
    <row r="904" spans="2:18">
      <c r="G904" s="4"/>
    </row>
    <row r="905" spans="2:18" s="12" customFormat="1">
      <c r="B905" s="12" t="s">
        <v>1106</v>
      </c>
      <c r="C905" s="13" t="s">
        <v>986</v>
      </c>
      <c r="D905" s="13" t="s">
        <v>985</v>
      </c>
      <c r="E905" s="15"/>
      <c r="F905" s="15">
        <f>SUM(F906:F910)</f>
        <v>74.5</v>
      </c>
      <c r="G905" s="14">
        <f>G908</f>
        <v>45077</v>
      </c>
      <c r="M905" s="13"/>
      <c r="N905" s="13"/>
      <c r="O905" s="13"/>
      <c r="P905" s="13"/>
      <c r="Q905" s="13"/>
      <c r="R905" s="13"/>
    </row>
    <row r="906" spans="2:18">
      <c r="C906" s="2" t="s">
        <v>18</v>
      </c>
      <c r="D906" s="2" t="s">
        <v>979</v>
      </c>
      <c r="E906" s="3">
        <v>135</v>
      </c>
      <c r="F906" s="3">
        <v>42.5</v>
      </c>
      <c r="G906" s="4">
        <v>44482</v>
      </c>
    </row>
    <row r="907" spans="2:18">
      <c r="C907" s="2" t="s">
        <v>18</v>
      </c>
      <c r="D907" s="2" t="s">
        <v>974</v>
      </c>
      <c r="E907" s="3">
        <v>50</v>
      </c>
      <c r="F907" s="3">
        <v>20</v>
      </c>
      <c r="G907" s="4">
        <v>44900</v>
      </c>
    </row>
    <row r="908" spans="2:18">
      <c r="C908" s="2" t="s">
        <v>5</v>
      </c>
      <c r="D908" s="2" t="s">
        <v>700</v>
      </c>
      <c r="E908" s="3">
        <v>28.5</v>
      </c>
      <c r="F908" s="3">
        <v>6</v>
      </c>
      <c r="G908" s="4">
        <v>45077</v>
      </c>
    </row>
    <row r="909" spans="2:18">
      <c r="C909" s="2" t="s">
        <v>7</v>
      </c>
      <c r="D909" s="2" t="s">
        <v>424</v>
      </c>
      <c r="E909" s="3">
        <v>16</v>
      </c>
      <c r="F909" s="3">
        <v>4</v>
      </c>
      <c r="G909" s="4">
        <v>42995</v>
      </c>
    </row>
    <row r="910" spans="2:18">
      <c r="C910" s="2" t="s">
        <v>5</v>
      </c>
      <c r="D910" s="2" t="s">
        <v>424</v>
      </c>
      <c r="E910" s="3">
        <v>8</v>
      </c>
      <c r="F910" s="3">
        <v>2</v>
      </c>
      <c r="G910" s="4">
        <v>42416</v>
      </c>
    </row>
    <row r="911" spans="2:18">
      <c r="G911" s="4"/>
    </row>
    <row r="912" spans="2:18">
      <c r="B912" s="12" t="s">
        <v>1105</v>
      </c>
      <c r="C912" s="13" t="s">
        <v>986</v>
      </c>
      <c r="D912" s="13" t="s">
        <v>985</v>
      </c>
      <c r="F912" s="15">
        <f>SUM(F913:F916)</f>
        <v>75</v>
      </c>
      <c r="G912" s="14">
        <f>+G915</f>
        <v>44622</v>
      </c>
    </row>
    <row r="913" spans="2:18">
      <c r="C913" s="2" t="s">
        <v>18</v>
      </c>
      <c r="D913" s="2" t="s">
        <v>810</v>
      </c>
      <c r="E913" s="3">
        <v>50</v>
      </c>
      <c r="F913" s="3">
        <v>8</v>
      </c>
      <c r="G913" s="4">
        <v>44496</v>
      </c>
    </row>
    <row r="914" spans="2:18">
      <c r="C914" s="2" t="s">
        <v>18</v>
      </c>
      <c r="D914" s="2" t="s">
        <v>896</v>
      </c>
      <c r="E914" s="3">
        <v>200</v>
      </c>
      <c r="F914" s="3">
        <v>50</v>
      </c>
      <c r="G914" s="4">
        <v>44377</v>
      </c>
    </row>
    <row r="915" spans="2:18">
      <c r="C915" s="2" t="s">
        <v>8</v>
      </c>
      <c r="D915" s="2" t="s">
        <v>265</v>
      </c>
      <c r="E915" s="3">
        <v>111</v>
      </c>
      <c r="F915" s="3">
        <v>7</v>
      </c>
      <c r="G915" s="4">
        <v>44622</v>
      </c>
    </row>
    <row r="916" spans="2:18">
      <c r="C916" s="2" t="s">
        <v>18</v>
      </c>
      <c r="D916" s="2" t="s">
        <v>265</v>
      </c>
      <c r="E916" s="3">
        <v>55</v>
      </c>
      <c r="F916" s="3">
        <v>10</v>
      </c>
      <c r="G916" s="4">
        <v>44314</v>
      </c>
    </row>
    <row r="917" spans="2:18">
      <c r="G917" s="4"/>
    </row>
    <row r="918" spans="2:18">
      <c r="B918" s="12" t="s">
        <v>1104</v>
      </c>
      <c r="C918" s="13" t="s">
        <v>986</v>
      </c>
      <c r="D918" s="13" t="s">
        <v>985</v>
      </c>
      <c r="E918" s="15"/>
      <c r="F918" s="15">
        <f>SUM(F919:F921)</f>
        <v>73.920454545454547</v>
      </c>
      <c r="G918" s="14">
        <f>G919</f>
        <v>45069</v>
      </c>
    </row>
    <row r="919" spans="2:18">
      <c r="C919" s="2" t="s">
        <v>18</v>
      </c>
      <c r="D919" s="2" t="s">
        <v>981</v>
      </c>
      <c r="E919" s="3">
        <v>450</v>
      </c>
      <c r="F919" s="3">
        <f>300/5</f>
        <v>60</v>
      </c>
      <c r="G919" s="4">
        <v>45069</v>
      </c>
    </row>
    <row r="920" spans="2:18">
      <c r="C920" s="2" t="s">
        <v>18</v>
      </c>
      <c r="D920" s="2" t="s">
        <v>703</v>
      </c>
      <c r="E920" s="3">
        <v>125</v>
      </c>
      <c r="F920" s="3">
        <f>75/8</f>
        <v>9.375</v>
      </c>
      <c r="G920" s="4">
        <v>44663</v>
      </c>
    </row>
    <row r="921" spans="2:18">
      <c r="C921" s="2" t="s">
        <v>8</v>
      </c>
      <c r="D921" s="2" t="s">
        <v>456</v>
      </c>
      <c r="E921" s="3">
        <v>90</v>
      </c>
      <c r="F921" s="3">
        <f>50/11</f>
        <v>4.5454545454545459</v>
      </c>
      <c r="G921" s="4">
        <v>44776</v>
      </c>
    </row>
    <row r="922" spans="2:18">
      <c r="G922" s="4"/>
    </row>
    <row r="923" spans="2:18" s="12" customFormat="1">
      <c r="B923" s="12" t="s">
        <v>1103</v>
      </c>
      <c r="C923" s="13" t="s">
        <v>986</v>
      </c>
      <c r="D923" s="13" t="s">
        <v>985</v>
      </c>
      <c r="E923" s="15"/>
      <c r="F923" s="15">
        <f>SUM(F924:F931)</f>
        <v>71.5</v>
      </c>
      <c r="G923" s="14">
        <f>G926</f>
        <v>44578</v>
      </c>
      <c r="M923" s="13"/>
      <c r="N923" s="13"/>
      <c r="O923" s="13"/>
      <c r="P923" s="13"/>
      <c r="Q923" s="13"/>
      <c r="R923" s="13"/>
    </row>
    <row r="924" spans="2:18">
      <c r="C924" s="2" t="s">
        <v>5</v>
      </c>
      <c r="D924" s="2" t="s">
        <v>886</v>
      </c>
      <c r="E924" s="3">
        <v>30</v>
      </c>
      <c r="F924" s="3">
        <v>4</v>
      </c>
      <c r="G924" s="4">
        <v>44522</v>
      </c>
    </row>
    <row r="925" spans="2:18">
      <c r="C925" s="2" t="s">
        <v>4</v>
      </c>
      <c r="D925" s="2" t="s">
        <v>886</v>
      </c>
      <c r="E925" s="3">
        <v>5.5</v>
      </c>
      <c r="F925" s="3">
        <v>3.5</v>
      </c>
      <c r="G925" s="4">
        <v>44096</v>
      </c>
    </row>
    <row r="926" spans="2:18">
      <c r="C926" s="2" t="s">
        <v>5</v>
      </c>
      <c r="D926" s="2" t="s">
        <v>831</v>
      </c>
      <c r="E926" s="3">
        <v>20</v>
      </c>
      <c r="F926" s="3">
        <v>2</v>
      </c>
      <c r="G926" s="4">
        <v>44578</v>
      </c>
    </row>
    <row r="927" spans="2:18">
      <c r="C927" s="2" t="s">
        <v>9</v>
      </c>
      <c r="D927" s="2" t="s">
        <v>617</v>
      </c>
      <c r="E927" s="3">
        <v>132</v>
      </c>
      <c r="F927" s="3">
        <v>20</v>
      </c>
      <c r="G927" s="4">
        <v>44215</v>
      </c>
    </row>
    <row r="928" spans="2:18">
      <c r="C928" s="2" t="s">
        <v>18</v>
      </c>
      <c r="D928" s="2" t="s">
        <v>530</v>
      </c>
      <c r="E928" s="3">
        <v>60</v>
      </c>
      <c r="F928" s="3">
        <v>5</v>
      </c>
      <c r="G928" s="4">
        <v>43606</v>
      </c>
    </row>
    <row r="929" spans="2:18">
      <c r="C929" s="2" t="s">
        <v>7</v>
      </c>
      <c r="D929" s="2" t="s">
        <v>530</v>
      </c>
      <c r="E929" s="3">
        <v>30</v>
      </c>
      <c r="F929" s="3">
        <v>5</v>
      </c>
      <c r="G929" s="4">
        <v>43396</v>
      </c>
    </row>
    <row r="930" spans="2:18">
      <c r="C930" s="2" t="s">
        <v>7</v>
      </c>
      <c r="D930" s="2" t="s">
        <v>203</v>
      </c>
      <c r="E930" s="3">
        <v>21</v>
      </c>
      <c r="F930" s="3">
        <v>21</v>
      </c>
      <c r="G930" s="4">
        <v>43140</v>
      </c>
    </row>
    <row r="931" spans="2:18">
      <c r="C931" s="2" t="s">
        <v>7</v>
      </c>
      <c r="D931" s="2" t="s">
        <v>203</v>
      </c>
      <c r="E931" s="3">
        <v>11</v>
      </c>
      <c r="F931" s="3">
        <v>11</v>
      </c>
      <c r="G931" s="4">
        <v>43025</v>
      </c>
    </row>
    <row r="932" spans="2:18">
      <c r="G932" s="4"/>
    </row>
    <row r="933" spans="2:18" s="12" customFormat="1">
      <c r="B933" s="12" t="s">
        <v>1102</v>
      </c>
      <c r="C933" s="13" t="s">
        <v>986</v>
      </c>
      <c r="D933" s="13" t="s">
        <v>985</v>
      </c>
      <c r="E933" s="15"/>
      <c r="F933" s="15">
        <f>SUM(F934:F938)</f>
        <v>69.833333333333329</v>
      </c>
      <c r="G933" s="14">
        <f>G934</f>
        <v>45048</v>
      </c>
      <c r="M933" s="13"/>
      <c r="N933" s="13"/>
      <c r="O933" s="13"/>
      <c r="P933" s="13"/>
      <c r="Q933" s="13"/>
      <c r="R933" s="13"/>
    </row>
    <row r="934" spans="2:18">
      <c r="C934" s="2" t="s">
        <v>18</v>
      </c>
      <c r="D934" s="2" t="s">
        <v>969</v>
      </c>
      <c r="E934" s="3">
        <v>270</v>
      </c>
      <c r="F934" s="3">
        <v>24</v>
      </c>
      <c r="G934" s="4">
        <v>45048</v>
      </c>
    </row>
    <row r="935" spans="2:18">
      <c r="C935" s="2" t="s">
        <v>7</v>
      </c>
      <c r="D935" s="2" t="s">
        <v>484</v>
      </c>
      <c r="E935" s="3">
        <v>90</v>
      </c>
      <c r="F935" s="3">
        <v>6</v>
      </c>
      <c r="G935" s="4">
        <v>44398</v>
      </c>
    </row>
    <row r="936" spans="2:18">
      <c r="C936" s="2" t="s">
        <v>8</v>
      </c>
      <c r="D936" s="2" t="s">
        <v>265</v>
      </c>
      <c r="E936" s="3">
        <v>111</v>
      </c>
      <c r="F936" s="3">
        <v>7</v>
      </c>
      <c r="G936" s="4">
        <v>44622</v>
      </c>
    </row>
    <row r="937" spans="2:18">
      <c r="C937" s="2" t="s">
        <v>8</v>
      </c>
      <c r="D937" s="2" t="s">
        <v>136</v>
      </c>
      <c r="E937" s="3">
        <v>135</v>
      </c>
      <c r="F937" s="3">
        <v>8</v>
      </c>
      <c r="G937" s="4">
        <v>44880</v>
      </c>
    </row>
    <row r="938" spans="2:18">
      <c r="C938" s="2" t="s">
        <v>7</v>
      </c>
      <c r="D938" s="2" t="s">
        <v>66</v>
      </c>
      <c r="E938" s="3">
        <f>1600/7</f>
        <v>228.57142857142858</v>
      </c>
      <c r="F938" s="3">
        <f>149/6</f>
        <v>24.833333333333332</v>
      </c>
      <c r="G938" s="4">
        <v>44550</v>
      </c>
    </row>
    <row r="939" spans="2:18">
      <c r="G939" s="4"/>
    </row>
    <row r="940" spans="2:18" s="12" customFormat="1">
      <c r="B940" s="12" t="s">
        <v>1101</v>
      </c>
      <c r="C940" s="13" t="s">
        <v>986</v>
      </c>
      <c r="D940" s="13" t="s">
        <v>985</v>
      </c>
      <c r="E940" s="15"/>
      <c r="F940" s="15">
        <f>SUM(F941:F945)</f>
        <v>68.900000000000006</v>
      </c>
      <c r="G940" s="14">
        <f>G941</f>
        <v>44679</v>
      </c>
    </row>
    <row r="941" spans="2:18">
      <c r="C941" s="2" t="s">
        <v>5</v>
      </c>
      <c r="D941" s="2" t="s">
        <v>674</v>
      </c>
      <c r="E941" s="3">
        <v>17</v>
      </c>
      <c r="F941" s="3">
        <v>1.5</v>
      </c>
      <c r="G941" s="4">
        <v>44679</v>
      </c>
      <c r="M941" s="1"/>
      <c r="N941" s="1"/>
      <c r="O941" s="1"/>
      <c r="P941" s="1"/>
      <c r="Q941" s="1"/>
      <c r="R941" s="1"/>
    </row>
    <row r="942" spans="2:18">
      <c r="C942" s="2" t="s">
        <v>5</v>
      </c>
      <c r="D942" s="2" t="s">
        <v>667</v>
      </c>
      <c r="E942" s="3">
        <v>12.6</v>
      </c>
      <c r="F942" s="3">
        <v>3</v>
      </c>
      <c r="G942" s="4">
        <v>44579</v>
      </c>
      <c r="M942" s="1"/>
      <c r="N942" s="1"/>
      <c r="O942" s="1"/>
      <c r="P942" s="1"/>
      <c r="Q942" s="1"/>
      <c r="R942" s="1"/>
    </row>
    <row r="943" spans="2:18">
      <c r="C943" s="2" t="s">
        <v>5</v>
      </c>
      <c r="D943" s="2" t="s">
        <v>526</v>
      </c>
      <c r="E943" s="3">
        <v>14.5</v>
      </c>
      <c r="F943" s="3">
        <v>3</v>
      </c>
      <c r="G943" s="4">
        <v>43389</v>
      </c>
      <c r="M943" s="1"/>
      <c r="N943" s="1"/>
      <c r="O943" s="1"/>
      <c r="P943" s="1"/>
      <c r="Q943" s="1"/>
      <c r="R943" s="1"/>
    </row>
    <row r="944" spans="2:18">
      <c r="C944" s="2" t="s">
        <v>8</v>
      </c>
      <c r="D944" s="2" t="s">
        <v>393</v>
      </c>
      <c r="E944" s="3">
        <v>140</v>
      </c>
      <c r="F944" s="3">
        <v>60</v>
      </c>
      <c r="G944" s="4">
        <v>44286</v>
      </c>
      <c r="M944" s="1"/>
      <c r="N944" s="1"/>
      <c r="O944" s="1"/>
      <c r="P944" s="1"/>
      <c r="Q944" s="1"/>
      <c r="R944" s="1"/>
    </row>
    <row r="945" spans="2:18">
      <c r="C945" s="2" t="s">
        <v>5</v>
      </c>
      <c r="D945" s="2" t="s">
        <v>309</v>
      </c>
      <c r="E945" s="3">
        <v>10</v>
      </c>
      <c r="F945" s="3">
        <v>1.4</v>
      </c>
      <c r="G945" s="4">
        <v>44637</v>
      </c>
      <c r="M945" s="1"/>
      <c r="N945" s="1"/>
      <c r="O945" s="1"/>
      <c r="P945" s="1"/>
      <c r="Q945" s="1"/>
      <c r="R945" s="1"/>
    </row>
    <row r="946" spans="2:18">
      <c r="G946" s="4"/>
      <c r="M946" s="1"/>
      <c r="N946" s="1"/>
      <c r="O946" s="1"/>
      <c r="P946" s="1"/>
      <c r="Q946" s="1"/>
      <c r="R946" s="1"/>
    </row>
    <row r="947" spans="2:18">
      <c r="B947" s="12" t="s">
        <v>1098</v>
      </c>
      <c r="C947" s="13" t="s">
        <v>986</v>
      </c>
      <c r="D947" s="13" t="s">
        <v>985</v>
      </c>
      <c r="E947" s="15"/>
      <c r="F947" s="15">
        <f>SUM(F948:F956)</f>
        <v>67.571428571428555</v>
      </c>
      <c r="G947" s="14">
        <f>G950</f>
        <v>44796</v>
      </c>
    </row>
    <row r="948" spans="2:18">
      <c r="C948" s="2" t="s">
        <v>7</v>
      </c>
      <c r="D948" s="2" t="s">
        <v>969</v>
      </c>
      <c r="E948" s="3">
        <v>130</v>
      </c>
      <c r="F948" s="3">
        <f>70/3</f>
        <v>23.333333333333332</v>
      </c>
      <c r="G948" s="4">
        <v>44607</v>
      </c>
    </row>
    <row r="949" spans="2:18">
      <c r="C949" s="2" t="s">
        <v>5</v>
      </c>
      <c r="D949" s="2" t="s">
        <v>969</v>
      </c>
      <c r="E949" s="3">
        <v>40</v>
      </c>
      <c r="F949" s="3">
        <v>10</v>
      </c>
      <c r="G949" s="4">
        <v>44446</v>
      </c>
    </row>
    <row r="950" spans="2:18">
      <c r="C950" s="2" t="s">
        <v>5</v>
      </c>
      <c r="D950" s="2" t="s">
        <v>712</v>
      </c>
      <c r="E950" s="3">
        <v>50</v>
      </c>
      <c r="F950" s="3">
        <v>10</v>
      </c>
      <c r="G950" s="4">
        <v>44796</v>
      </c>
    </row>
    <row r="951" spans="2:18">
      <c r="C951" s="2" t="s">
        <v>5</v>
      </c>
      <c r="D951" s="2" t="s">
        <v>742</v>
      </c>
      <c r="E951" s="3">
        <v>25</v>
      </c>
      <c r="F951" s="3">
        <f>18/7</f>
        <v>2.5714285714285716</v>
      </c>
      <c r="G951" s="4">
        <v>44757</v>
      </c>
    </row>
    <row r="952" spans="2:18">
      <c r="C952" s="2" t="s">
        <v>4</v>
      </c>
      <c r="D952" s="2" t="s">
        <v>742</v>
      </c>
      <c r="E952" s="3">
        <v>4</v>
      </c>
      <c r="F952" s="3">
        <v>0.5</v>
      </c>
      <c r="G952" s="4">
        <v>44340</v>
      </c>
    </row>
    <row r="953" spans="2:18">
      <c r="C953" s="2" t="s">
        <v>4</v>
      </c>
      <c r="D953" s="2" t="s">
        <v>742</v>
      </c>
      <c r="E953" s="3">
        <v>1.5</v>
      </c>
      <c r="F953" s="3">
        <v>0.5</v>
      </c>
      <c r="G953" s="4">
        <v>43979</v>
      </c>
    </row>
    <row r="954" spans="2:18">
      <c r="C954" s="2" t="s">
        <v>7</v>
      </c>
      <c r="D954" s="2" t="s">
        <v>317</v>
      </c>
      <c r="E954" s="3">
        <v>40</v>
      </c>
      <c r="F954" s="3">
        <f>32/8</f>
        <v>4</v>
      </c>
      <c r="G954" s="4">
        <v>43419</v>
      </c>
    </row>
    <row r="955" spans="2:18">
      <c r="C955" s="2" t="s">
        <v>18</v>
      </c>
      <c r="D955" s="2" t="s">
        <v>1078</v>
      </c>
      <c r="E955" s="3">
        <v>40</v>
      </c>
      <c r="F955" s="3">
        <f>20/3</f>
        <v>6.666666666666667</v>
      </c>
      <c r="G955" s="4">
        <v>44599</v>
      </c>
    </row>
    <row r="956" spans="2:18">
      <c r="C956" s="2" t="s">
        <v>7</v>
      </c>
      <c r="D956" s="2" t="s">
        <v>1078</v>
      </c>
      <c r="E956" s="3">
        <v>28</v>
      </c>
      <c r="F956" s="3">
        <v>10</v>
      </c>
      <c r="G956" s="4">
        <v>44377</v>
      </c>
    </row>
    <row r="957" spans="2:18">
      <c r="G957" s="4"/>
    </row>
    <row r="958" spans="2:18" s="12" customFormat="1">
      <c r="B958" s="12" t="s">
        <v>1097</v>
      </c>
      <c r="C958" s="13" t="s">
        <v>986</v>
      </c>
      <c r="D958" s="13" t="s">
        <v>985</v>
      </c>
      <c r="E958" s="15"/>
      <c r="F958" s="15">
        <f>SUM(F959:F969)</f>
        <v>66.469047619047615</v>
      </c>
      <c r="G958" s="14">
        <f>G959</f>
        <v>44893</v>
      </c>
      <c r="M958" s="13"/>
      <c r="N958" s="13"/>
      <c r="O958" s="13"/>
      <c r="P958" s="13"/>
      <c r="Q958" s="13"/>
      <c r="R958" s="13"/>
    </row>
    <row r="959" spans="2:18">
      <c r="C959" s="2" t="s">
        <v>5</v>
      </c>
      <c r="D959" s="2" t="s">
        <v>791</v>
      </c>
      <c r="E959" s="3">
        <v>33</v>
      </c>
      <c r="F959" s="3">
        <f>13/3</f>
        <v>4.333333333333333</v>
      </c>
      <c r="G959" s="4">
        <v>44893</v>
      </c>
    </row>
    <row r="960" spans="2:18">
      <c r="C960" s="2" t="s">
        <v>681</v>
      </c>
      <c r="D960" s="2" t="s">
        <v>791</v>
      </c>
      <c r="E960" s="3">
        <v>3</v>
      </c>
      <c r="F960" s="3">
        <v>2</v>
      </c>
      <c r="G960" s="4">
        <v>44183</v>
      </c>
    </row>
    <row r="961" spans="2:18">
      <c r="C961" s="2" t="s">
        <v>7</v>
      </c>
      <c r="D961" s="2" t="s">
        <v>552</v>
      </c>
      <c r="E961" s="3">
        <v>40</v>
      </c>
      <c r="F961" s="3">
        <f>25/4</f>
        <v>6.25</v>
      </c>
      <c r="G961" s="4">
        <v>44811</v>
      </c>
    </row>
    <row r="962" spans="2:18">
      <c r="C962" s="2" t="s">
        <v>5</v>
      </c>
      <c r="D962" s="2" t="s">
        <v>552</v>
      </c>
      <c r="E962" s="3">
        <v>14</v>
      </c>
      <c r="F962" s="3">
        <f>8/5</f>
        <v>1.6</v>
      </c>
      <c r="G962" s="4">
        <v>44447</v>
      </c>
    </row>
    <row r="963" spans="2:18">
      <c r="C963" s="2" t="s">
        <v>5</v>
      </c>
      <c r="D963" s="2" t="s">
        <v>552</v>
      </c>
      <c r="E963" s="3">
        <v>12</v>
      </c>
      <c r="F963" s="3">
        <v>2</v>
      </c>
      <c r="G963" s="4">
        <v>43532</v>
      </c>
    </row>
    <row r="964" spans="2:18">
      <c r="C964" s="2" t="s">
        <v>9</v>
      </c>
      <c r="D964" s="2" t="s">
        <v>23</v>
      </c>
      <c r="E964" s="3">
        <v>222</v>
      </c>
      <c r="F964" s="3">
        <v>10</v>
      </c>
      <c r="G964" s="4">
        <v>44194</v>
      </c>
      <c r="I964" s="1">
        <v>2500</v>
      </c>
      <c r="J964" s="1">
        <v>2500</v>
      </c>
    </row>
    <row r="965" spans="2:18">
      <c r="C965" s="2" t="s">
        <v>8</v>
      </c>
      <c r="D965" s="2" t="s">
        <v>23</v>
      </c>
      <c r="E965" s="3">
        <v>150</v>
      </c>
      <c r="F965" s="3">
        <v>14.285714285714286</v>
      </c>
      <c r="G965" s="4">
        <v>43885</v>
      </c>
      <c r="I965" s="1">
        <v>1800</v>
      </c>
      <c r="J965" s="1">
        <v>2500</v>
      </c>
    </row>
    <row r="966" spans="2:18">
      <c r="C966" s="2" t="s">
        <v>8</v>
      </c>
      <c r="D966" s="2" t="s">
        <v>23</v>
      </c>
      <c r="E966" s="3">
        <v>200</v>
      </c>
      <c r="F966" s="3">
        <v>13</v>
      </c>
      <c r="G966" s="4">
        <v>43452</v>
      </c>
      <c r="I966" s="1">
        <v>1500</v>
      </c>
      <c r="J966" s="1">
        <v>2500</v>
      </c>
    </row>
    <row r="967" spans="2:18">
      <c r="C967" s="2" t="s">
        <v>18</v>
      </c>
      <c r="D967" s="2" t="s">
        <v>23</v>
      </c>
      <c r="E967" s="3">
        <v>50</v>
      </c>
      <c r="F967" s="3">
        <v>5</v>
      </c>
      <c r="G967" s="4">
        <v>43051</v>
      </c>
      <c r="J967" s="1">
        <v>2500</v>
      </c>
    </row>
    <row r="968" spans="2:18">
      <c r="C968" s="2" t="s">
        <v>7</v>
      </c>
      <c r="D968" s="2" t="s">
        <v>23</v>
      </c>
      <c r="E968" s="3">
        <v>30</v>
      </c>
      <c r="F968" s="3">
        <v>3</v>
      </c>
      <c r="G968" s="4">
        <v>42936</v>
      </c>
      <c r="J968" s="1">
        <v>2500</v>
      </c>
    </row>
    <row r="969" spans="2:18">
      <c r="C969" s="2" t="s">
        <v>5</v>
      </c>
      <c r="D969" s="2" t="s">
        <v>23</v>
      </c>
      <c r="E969" s="3">
        <v>30</v>
      </c>
      <c r="F969" s="3">
        <v>5</v>
      </c>
      <c r="G969" s="4">
        <v>42674</v>
      </c>
      <c r="J969" s="1">
        <v>2500</v>
      </c>
    </row>
    <row r="970" spans="2:18">
      <c r="G970" s="4"/>
    </row>
    <row r="971" spans="2:18" s="12" customFormat="1">
      <c r="B971" s="12" t="s">
        <v>1096</v>
      </c>
      <c r="C971" s="13" t="s">
        <v>986</v>
      </c>
      <c r="D971" s="13" t="s">
        <v>985</v>
      </c>
      <c r="E971" s="15"/>
      <c r="F971" s="15">
        <f>SUM(F972:F979)</f>
        <v>65</v>
      </c>
      <c r="G971" s="14">
        <f>G973</f>
        <v>44860</v>
      </c>
      <c r="M971" s="13"/>
      <c r="N971" s="13"/>
      <c r="O971" s="13"/>
      <c r="P971" s="13"/>
      <c r="Q971" s="13"/>
      <c r="R971" s="13"/>
    </row>
    <row r="972" spans="2:18">
      <c r="C972" s="2" t="s">
        <v>7</v>
      </c>
      <c r="D972" s="2" t="s">
        <v>905</v>
      </c>
      <c r="E972" s="3">
        <v>40</v>
      </c>
      <c r="F972" s="3">
        <v>10</v>
      </c>
      <c r="G972" s="4">
        <v>44650</v>
      </c>
    </row>
    <row r="973" spans="2:18">
      <c r="C973" s="2" t="s">
        <v>7</v>
      </c>
      <c r="D973" s="2" t="s">
        <v>1095</v>
      </c>
      <c r="E973" s="3">
        <v>37</v>
      </c>
      <c r="F973" s="3">
        <v>4</v>
      </c>
      <c r="G973" s="4">
        <v>44860</v>
      </c>
    </row>
    <row r="974" spans="2:18">
      <c r="C974" s="2" t="s">
        <v>7</v>
      </c>
      <c r="D974" s="2" t="s">
        <v>1095</v>
      </c>
      <c r="E974" s="3">
        <v>80</v>
      </c>
      <c r="F974" s="3">
        <v>10</v>
      </c>
      <c r="G974" s="4">
        <v>44327</v>
      </c>
    </row>
    <row r="975" spans="2:18">
      <c r="C975" s="2" t="s">
        <v>5</v>
      </c>
      <c r="D975" s="2" t="s">
        <v>1095</v>
      </c>
      <c r="E975" s="3">
        <v>30</v>
      </c>
      <c r="F975" s="3">
        <v>10</v>
      </c>
      <c r="G975" s="4">
        <v>43963</v>
      </c>
    </row>
    <row r="976" spans="2:18">
      <c r="C976" s="2" t="s">
        <v>9</v>
      </c>
      <c r="D976" s="2" t="s">
        <v>23</v>
      </c>
      <c r="E976" s="3">
        <v>222</v>
      </c>
      <c r="F976" s="3">
        <v>10</v>
      </c>
      <c r="G976" s="4">
        <v>44194</v>
      </c>
      <c r="I976" s="1">
        <v>2500</v>
      </c>
      <c r="J976" s="1">
        <v>2500</v>
      </c>
    </row>
    <row r="977" spans="2:11">
      <c r="C977" s="2" t="s">
        <v>8</v>
      </c>
      <c r="D977" s="2" t="s">
        <v>23</v>
      </c>
      <c r="E977" s="3">
        <v>200</v>
      </c>
      <c r="F977" s="3">
        <v>13</v>
      </c>
      <c r="G977" s="4">
        <v>43452</v>
      </c>
      <c r="I977" s="1">
        <v>1500</v>
      </c>
      <c r="J977" s="1">
        <v>2500</v>
      </c>
    </row>
    <row r="978" spans="2:11">
      <c r="C978" s="2" t="s">
        <v>18</v>
      </c>
      <c r="D978" s="2" t="s">
        <v>23</v>
      </c>
      <c r="E978" s="3">
        <v>50</v>
      </c>
      <c r="F978" s="3">
        <v>5</v>
      </c>
      <c r="G978" s="4">
        <v>43051</v>
      </c>
      <c r="J978" s="1">
        <v>2500</v>
      </c>
    </row>
    <row r="979" spans="2:11">
      <c r="C979" s="2" t="s">
        <v>7</v>
      </c>
      <c r="D979" s="2" t="s">
        <v>23</v>
      </c>
      <c r="E979" s="3">
        <v>30</v>
      </c>
      <c r="F979" s="3">
        <v>3</v>
      </c>
      <c r="G979" s="4">
        <v>42936</v>
      </c>
      <c r="J979" s="1">
        <v>2500</v>
      </c>
    </row>
    <row r="980" spans="2:11">
      <c r="G980" s="4"/>
    </row>
    <row r="981" spans="2:11">
      <c r="B981" s="12" t="s">
        <v>1094</v>
      </c>
      <c r="C981" s="13" t="s">
        <v>986</v>
      </c>
      <c r="D981" s="13" t="s">
        <v>985</v>
      </c>
      <c r="F981" s="15">
        <f>SUM(F982:F991)</f>
        <v>65.214285714285708</v>
      </c>
      <c r="G981" s="14">
        <f>G984</f>
        <v>44690</v>
      </c>
      <c r="I981" s="1">
        <f>140+191</f>
        <v>331</v>
      </c>
      <c r="J981" s="19">
        <f>+F981/I981</f>
        <v>0.19702201122140697</v>
      </c>
      <c r="K981" s="1">
        <v>2014</v>
      </c>
    </row>
    <row r="982" spans="2:11">
      <c r="B982" s="12"/>
      <c r="C982" s="2" t="s">
        <v>5</v>
      </c>
      <c r="D982" s="2" t="s">
        <v>949</v>
      </c>
      <c r="E982" s="3">
        <v>150</v>
      </c>
      <c r="F982" s="3">
        <v>15</v>
      </c>
      <c r="G982" s="4">
        <v>45008</v>
      </c>
    </row>
    <row r="983" spans="2:11">
      <c r="B983" s="12"/>
      <c r="C983" s="2" t="s">
        <v>7</v>
      </c>
      <c r="D983" s="2" t="s">
        <v>965</v>
      </c>
      <c r="E983" s="3">
        <v>350</v>
      </c>
      <c r="F983" s="3">
        <v>10</v>
      </c>
      <c r="G983" s="4">
        <v>44999</v>
      </c>
    </row>
    <row r="984" spans="2:11">
      <c r="C984" s="2" t="s">
        <v>18</v>
      </c>
      <c r="D984" s="2" t="s">
        <v>940</v>
      </c>
      <c r="E984" s="3">
        <v>100</v>
      </c>
      <c r="F984" s="3">
        <v>9</v>
      </c>
      <c r="G984" s="4">
        <v>44690</v>
      </c>
    </row>
    <row r="985" spans="2:11">
      <c r="C985" s="2" t="s">
        <v>7</v>
      </c>
      <c r="D985" s="2" t="s">
        <v>940</v>
      </c>
      <c r="E985" s="3">
        <v>40</v>
      </c>
      <c r="F985" s="3">
        <v>7</v>
      </c>
      <c r="G985" s="4">
        <v>44327</v>
      </c>
    </row>
    <row r="986" spans="2:11">
      <c r="C986" s="2" t="s">
        <v>5</v>
      </c>
      <c r="D986" s="2" t="s">
        <v>940</v>
      </c>
      <c r="E986" s="3">
        <v>15</v>
      </c>
      <c r="F986" s="3">
        <v>3</v>
      </c>
      <c r="G986" s="4">
        <v>43816</v>
      </c>
    </row>
    <row r="987" spans="2:11">
      <c r="C987" s="2" t="s">
        <v>4</v>
      </c>
      <c r="D987" s="2" t="s">
        <v>940</v>
      </c>
      <c r="E987" s="3">
        <v>4</v>
      </c>
      <c r="F987" s="3">
        <v>1</v>
      </c>
      <c r="G987" s="4">
        <v>43243</v>
      </c>
    </row>
    <row r="988" spans="2:11">
      <c r="C988" s="2" t="s">
        <v>5</v>
      </c>
      <c r="D988" s="2" t="s">
        <v>921</v>
      </c>
      <c r="E988" s="3">
        <v>20</v>
      </c>
      <c r="F988" s="3">
        <v>10</v>
      </c>
      <c r="G988" s="4">
        <v>44245</v>
      </c>
    </row>
    <row r="989" spans="2:11">
      <c r="C989" s="2" t="s">
        <v>7</v>
      </c>
      <c r="D989" s="2" t="s">
        <v>1093</v>
      </c>
      <c r="E989" s="3">
        <v>18</v>
      </c>
      <c r="F989" s="3">
        <v>4.5</v>
      </c>
      <c r="G989" s="4">
        <v>44831</v>
      </c>
    </row>
    <row r="990" spans="2:11">
      <c r="C990" s="2" t="s">
        <v>5</v>
      </c>
      <c r="D990" s="2" t="s">
        <v>1093</v>
      </c>
      <c r="E990" s="3">
        <v>18.5</v>
      </c>
      <c r="F990" s="3">
        <v>5</v>
      </c>
      <c r="G990" s="4">
        <v>44658</v>
      </c>
    </row>
    <row r="991" spans="2:11">
      <c r="C991" s="2" t="s">
        <v>4</v>
      </c>
      <c r="D991" s="2" t="s">
        <v>432</v>
      </c>
      <c r="E991" s="3">
        <v>7</v>
      </c>
      <c r="F991" s="3">
        <v>0.7142857142857143</v>
      </c>
      <c r="G991" s="4">
        <v>43046</v>
      </c>
    </row>
    <row r="992" spans="2:11">
      <c r="G992" s="4"/>
    </row>
    <row r="993" spans="2:18" s="12" customFormat="1">
      <c r="B993" s="12" t="s">
        <v>1091</v>
      </c>
      <c r="C993" s="13" t="s">
        <v>986</v>
      </c>
      <c r="D993" s="13" t="s">
        <v>985</v>
      </c>
      <c r="E993" s="15"/>
      <c r="F993" s="15">
        <f>SUM(F994:F1019)</f>
        <v>63.104761904761894</v>
      </c>
      <c r="G993" s="14">
        <f>+G998</f>
        <v>45041</v>
      </c>
      <c r="M993" s="13"/>
      <c r="N993" s="13"/>
      <c r="O993" s="13"/>
      <c r="P993" s="13"/>
      <c r="Q993" s="13"/>
      <c r="R993" s="13"/>
    </row>
    <row r="994" spans="2:18">
      <c r="C994" s="2" t="s">
        <v>9</v>
      </c>
      <c r="D994" s="2" t="s">
        <v>815</v>
      </c>
      <c r="E994" s="3">
        <v>325</v>
      </c>
      <c r="F994" s="3">
        <v>18.5</v>
      </c>
      <c r="G994" s="4">
        <v>44299</v>
      </c>
    </row>
    <row r="995" spans="2:18">
      <c r="C995" s="2" t="s">
        <v>7</v>
      </c>
      <c r="D995" s="2" t="s">
        <v>815</v>
      </c>
      <c r="E995" s="3">
        <v>18</v>
      </c>
      <c r="F995" s="3">
        <v>3</v>
      </c>
      <c r="G995" s="4">
        <v>43319</v>
      </c>
    </row>
    <row r="996" spans="2:18">
      <c r="C996" s="2" t="s">
        <v>5</v>
      </c>
      <c r="D996" s="2" t="s">
        <v>815</v>
      </c>
      <c r="E996" s="3">
        <v>4.5</v>
      </c>
      <c r="F996" s="3">
        <v>1.5</v>
      </c>
      <c r="G996" s="4">
        <v>42878</v>
      </c>
    </row>
    <row r="997" spans="2:18">
      <c r="C997" s="2" t="s">
        <v>4</v>
      </c>
      <c r="D997" s="2" t="s">
        <v>815</v>
      </c>
      <c r="E997" s="3">
        <v>0.12</v>
      </c>
      <c r="F997" s="3">
        <v>0.12</v>
      </c>
      <c r="G997" s="4">
        <v>42604</v>
      </c>
    </row>
    <row r="998" spans="2:18">
      <c r="C998" s="2" t="s">
        <v>7</v>
      </c>
      <c r="D998" s="2" t="s">
        <v>921</v>
      </c>
      <c r="E998" s="3">
        <v>97.4</v>
      </c>
      <c r="F998" s="3">
        <f>47/6</f>
        <v>7.833333333333333</v>
      </c>
      <c r="G998" s="4">
        <v>45041</v>
      </c>
    </row>
    <row r="999" spans="2:18">
      <c r="C999" s="2" t="s">
        <v>4</v>
      </c>
      <c r="D999" s="2" t="s">
        <v>732</v>
      </c>
      <c r="E999" s="3">
        <v>0.12</v>
      </c>
      <c r="F999" s="3">
        <v>0.12</v>
      </c>
      <c r="G999" s="4">
        <v>44068</v>
      </c>
    </row>
    <row r="1000" spans="2:18">
      <c r="C1000" s="2" t="s">
        <v>4</v>
      </c>
      <c r="D1000" s="2" t="s">
        <v>721</v>
      </c>
      <c r="E1000" s="3">
        <v>5.5</v>
      </c>
      <c r="F1000" s="3">
        <v>0.5</v>
      </c>
      <c r="G1000" s="4">
        <v>45092</v>
      </c>
    </row>
    <row r="1001" spans="2:18">
      <c r="C1001" s="2" t="s">
        <v>285</v>
      </c>
      <c r="D1001" s="2" t="s">
        <v>721</v>
      </c>
      <c r="E1001" s="3">
        <v>0.125</v>
      </c>
      <c r="F1001" s="3">
        <v>0.125</v>
      </c>
      <c r="G1001" s="4">
        <f>G1000</f>
        <v>45092</v>
      </c>
    </row>
    <row r="1002" spans="2:18">
      <c r="C1002" s="2" t="s">
        <v>5</v>
      </c>
      <c r="D1002" s="2" t="s">
        <v>687</v>
      </c>
      <c r="E1002" s="3">
        <v>15</v>
      </c>
      <c r="F1002" s="3">
        <v>3.3</v>
      </c>
      <c r="G1002" s="4">
        <v>44482</v>
      </c>
    </row>
    <row r="1003" spans="2:18">
      <c r="C1003" s="2" t="s">
        <v>4</v>
      </c>
      <c r="D1003" s="2" t="s">
        <v>687</v>
      </c>
      <c r="E1003" s="3">
        <v>4.5</v>
      </c>
      <c r="F1003" s="3">
        <v>0.5</v>
      </c>
      <c r="G1003" s="4">
        <v>44362</v>
      </c>
    </row>
    <row r="1004" spans="2:18">
      <c r="C1004" s="2" t="s">
        <v>4</v>
      </c>
      <c r="D1004" s="2" t="s">
        <v>687</v>
      </c>
      <c r="E1004" s="3">
        <v>0.125</v>
      </c>
      <c r="F1004" s="3">
        <v>0.125</v>
      </c>
      <c r="G1004" s="4">
        <v>44246</v>
      </c>
    </row>
    <row r="1005" spans="2:18">
      <c r="C1005" s="2" t="s">
        <v>5</v>
      </c>
      <c r="D1005" s="2" t="s">
        <v>1092</v>
      </c>
      <c r="E1005" s="3">
        <v>12.5</v>
      </c>
      <c r="F1005" s="3">
        <v>3</v>
      </c>
      <c r="G1005" s="4">
        <v>44978</v>
      </c>
    </row>
    <row r="1006" spans="2:18">
      <c r="C1006" s="2" t="s">
        <v>285</v>
      </c>
      <c r="D1006" s="2" t="s">
        <v>631</v>
      </c>
      <c r="E1006" s="3">
        <v>0.5</v>
      </c>
      <c r="F1006" s="3">
        <v>0.5</v>
      </c>
      <c r="G1006" s="4">
        <v>45021</v>
      </c>
    </row>
    <row r="1007" spans="2:18">
      <c r="C1007" s="2" t="s">
        <v>5</v>
      </c>
      <c r="D1007" s="2" t="s">
        <v>703</v>
      </c>
      <c r="E1007" s="3">
        <v>8</v>
      </c>
      <c r="F1007" s="3">
        <v>1</v>
      </c>
      <c r="G1007" s="4">
        <v>43249</v>
      </c>
    </row>
    <row r="1008" spans="2:18">
      <c r="C1008" s="2" t="s">
        <v>285</v>
      </c>
      <c r="D1008" s="2" t="s">
        <v>703</v>
      </c>
      <c r="E1008" s="3">
        <v>0.12</v>
      </c>
      <c r="F1008" s="3">
        <v>0.12</v>
      </c>
      <c r="G1008" s="4">
        <v>43104</v>
      </c>
    </row>
    <row r="1009" spans="2:7">
      <c r="C1009" s="2" t="s">
        <v>285</v>
      </c>
      <c r="D1009" s="2" t="s">
        <v>595</v>
      </c>
      <c r="E1009" s="3">
        <v>0.12</v>
      </c>
      <c r="F1009" s="3">
        <v>0.12</v>
      </c>
      <c r="G1009" s="4">
        <v>44439</v>
      </c>
    </row>
    <row r="1010" spans="2:7">
      <c r="C1010" s="2" t="s">
        <v>18</v>
      </c>
      <c r="D1010" s="2" t="s">
        <v>530</v>
      </c>
      <c r="E1010" s="3">
        <v>60</v>
      </c>
      <c r="F1010" s="3">
        <v>5</v>
      </c>
      <c r="G1010" s="4">
        <v>43606</v>
      </c>
    </row>
    <row r="1011" spans="2:7">
      <c r="C1011" s="2" t="s">
        <v>7</v>
      </c>
      <c r="D1011" s="2" t="s">
        <v>530</v>
      </c>
      <c r="E1011" s="3">
        <v>30</v>
      </c>
      <c r="F1011" s="3">
        <v>5</v>
      </c>
      <c r="G1011" s="4">
        <v>43396</v>
      </c>
    </row>
    <row r="1012" spans="2:7">
      <c r="C1012" s="2" t="s">
        <v>4</v>
      </c>
      <c r="D1012" s="2" t="s">
        <v>530</v>
      </c>
      <c r="E1012" s="3">
        <v>3</v>
      </c>
      <c r="F1012" s="3">
        <v>0.5</v>
      </c>
      <c r="G1012" s="4">
        <v>42606</v>
      </c>
    </row>
    <row r="1013" spans="2:7">
      <c r="C1013" s="2" t="s">
        <v>7</v>
      </c>
      <c r="D1013" s="2" t="s">
        <v>454</v>
      </c>
      <c r="E1013" s="3">
        <v>30</v>
      </c>
      <c r="F1013" s="3">
        <v>5</v>
      </c>
      <c r="G1013" s="4">
        <v>44756</v>
      </c>
    </row>
    <row r="1014" spans="2:7">
      <c r="C1014" s="2" t="s">
        <v>5</v>
      </c>
      <c r="D1014" s="2" t="s">
        <v>454</v>
      </c>
      <c r="E1014" s="3">
        <v>28</v>
      </c>
      <c r="F1014" s="3">
        <v>5</v>
      </c>
      <c r="G1014" s="4">
        <v>44624</v>
      </c>
    </row>
    <row r="1015" spans="2:7">
      <c r="C1015" s="2" t="s">
        <v>4</v>
      </c>
      <c r="D1015" s="2" t="s">
        <v>454</v>
      </c>
      <c r="E1015" s="3">
        <v>0.12</v>
      </c>
      <c r="F1015" s="3">
        <v>0.12</v>
      </c>
      <c r="G1015" s="4">
        <v>42970</v>
      </c>
    </row>
    <row r="1016" spans="2:7">
      <c r="C1016" s="2" t="s">
        <v>4</v>
      </c>
      <c r="D1016" s="2" t="s">
        <v>284</v>
      </c>
      <c r="E1016" s="3">
        <v>0.125</v>
      </c>
      <c r="F1016" s="3">
        <v>0.125</v>
      </c>
      <c r="G1016" s="4">
        <v>44265</v>
      </c>
    </row>
    <row r="1017" spans="2:7">
      <c r="C1017" s="2" t="s">
        <v>4</v>
      </c>
      <c r="D1017" s="2" t="s">
        <v>1091</v>
      </c>
      <c r="E1017" s="3">
        <v>1.6</v>
      </c>
      <c r="F1017" s="3">
        <f>E1017/2</f>
        <v>0.8</v>
      </c>
      <c r="G1017" s="4">
        <v>43060</v>
      </c>
    </row>
    <row r="1018" spans="2:7">
      <c r="C1018" s="2" t="s">
        <v>4</v>
      </c>
      <c r="D1018" s="2" t="s">
        <v>89</v>
      </c>
      <c r="E1018" s="3">
        <v>5.3</v>
      </c>
      <c r="F1018" s="3">
        <f>4/7</f>
        <v>0.5714285714285714</v>
      </c>
      <c r="G1018" s="4">
        <v>43398</v>
      </c>
    </row>
    <row r="1019" spans="2:7">
      <c r="C1019" s="2" t="s">
        <v>4</v>
      </c>
      <c r="D1019" s="2" t="s">
        <v>89</v>
      </c>
      <c r="E1019" s="3">
        <v>4</v>
      </c>
      <c r="F1019" s="3">
        <f>2.5/4</f>
        <v>0.625</v>
      </c>
      <c r="G1019" s="4">
        <v>43122</v>
      </c>
    </row>
    <row r="1020" spans="2:7">
      <c r="G1020" s="4"/>
    </row>
    <row r="1021" spans="2:7" s="12" customFormat="1">
      <c r="B1021" s="12" t="s">
        <v>1090</v>
      </c>
      <c r="C1021" s="13" t="s">
        <v>986</v>
      </c>
      <c r="D1021" s="13" t="s">
        <v>985</v>
      </c>
      <c r="E1021" s="15"/>
      <c r="F1021" s="15">
        <f>SUM(F1022:F1032)</f>
        <v>58.585714285714282</v>
      </c>
      <c r="G1021" s="14">
        <f>G1024</f>
        <v>44727</v>
      </c>
    </row>
    <row r="1022" spans="2:7">
      <c r="C1022" s="2" t="s">
        <v>5</v>
      </c>
      <c r="D1022" s="2" t="s">
        <v>1003</v>
      </c>
      <c r="E1022" s="3">
        <v>25</v>
      </c>
      <c r="F1022" s="3">
        <f>15/4</f>
        <v>3.75</v>
      </c>
      <c r="G1022" s="4">
        <v>44615</v>
      </c>
    </row>
    <row r="1023" spans="2:7">
      <c r="C1023" s="2" t="s">
        <v>5</v>
      </c>
      <c r="D1023" s="2" t="s">
        <v>747</v>
      </c>
      <c r="E1023" s="3">
        <v>21</v>
      </c>
      <c r="F1023" s="3">
        <f>14/5</f>
        <v>2.8</v>
      </c>
      <c r="G1023" s="4">
        <v>44489</v>
      </c>
    </row>
    <row r="1024" spans="2:7">
      <c r="C1024" s="2" t="s">
        <v>5</v>
      </c>
      <c r="D1024" s="2" t="s">
        <v>474</v>
      </c>
      <c r="E1024" s="3">
        <v>15.5</v>
      </c>
      <c r="F1024" s="3">
        <v>3</v>
      </c>
      <c r="G1024" s="4">
        <v>44727</v>
      </c>
    </row>
    <row r="1025" spans="2:18">
      <c r="C1025" s="2" t="s">
        <v>4</v>
      </c>
      <c r="D1025" s="2" t="s">
        <v>432</v>
      </c>
      <c r="E1025" s="3">
        <v>7</v>
      </c>
      <c r="F1025" s="3">
        <v>0.7142857142857143</v>
      </c>
      <c r="G1025" s="4">
        <v>43046</v>
      </c>
    </row>
    <row r="1026" spans="2:18">
      <c r="C1026" s="2" t="s">
        <v>7</v>
      </c>
      <c r="D1026" s="2" t="s">
        <v>370</v>
      </c>
      <c r="E1026" s="3">
        <v>120</v>
      </c>
      <c r="F1026" s="3">
        <f>90/8</f>
        <v>11.25</v>
      </c>
      <c r="G1026" s="4">
        <v>44602</v>
      </c>
    </row>
    <row r="1027" spans="2:18">
      <c r="C1027" s="2" t="s">
        <v>5</v>
      </c>
      <c r="D1027" s="2" t="s">
        <v>320</v>
      </c>
      <c r="E1027" s="3">
        <v>57</v>
      </c>
      <c r="F1027" s="3">
        <v>6</v>
      </c>
      <c r="G1027" s="4">
        <v>44508</v>
      </c>
    </row>
    <row r="1028" spans="2:18">
      <c r="C1028" s="2" t="s">
        <v>18</v>
      </c>
      <c r="D1028" s="2" t="s">
        <v>299</v>
      </c>
      <c r="E1028" s="3">
        <v>38</v>
      </c>
      <c r="F1028" s="3">
        <f>20/6</f>
        <v>3.3333333333333335</v>
      </c>
      <c r="G1028" s="4">
        <v>43104</v>
      </c>
    </row>
    <row r="1029" spans="2:18">
      <c r="C1029" s="2" t="s">
        <v>8</v>
      </c>
      <c r="D1029" s="2" t="s">
        <v>136</v>
      </c>
      <c r="E1029" s="3">
        <v>135</v>
      </c>
      <c r="F1029" s="3">
        <f>115/14</f>
        <v>8.2142857142857135</v>
      </c>
      <c r="G1029" s="4">
        <v>44880</v>
      </c>
    </row>
    <row r="1030" spans="2:18">
      <c r="C1030" s="2" t="s">
        <v>9</v>
      </c>
      <c r="D1030" s="2" t="s">
        <v>23</v>
      </c>
      <c r="E1030" s="3">
        <v>222</v>
      </c>
      <c r="F1030" s="3">
        <f>200/21</f>
        <v>9.5238095238095237</v>
      </c>
      <c r="G1030" s="4">
        <v>44194</v>
      </c>
      <c r="I1030" s="1">
        <v>2500</v>
      </c>
      <c r="J1030" s="1">
        <v>2500</v>
      </c>
    </row>
    <row r="1031" spans="2:18">
      <c r="C1031" s="2" t="s">
        <v>18</v>
      </c>
      <c r="D1031" s="2" t="s">
        <v>23</v>
      </c>
      <c r="E1031" s="3">
        <v>50</v>
      </c>
      <c r="F1031" s="3">
        <v>5</v>
      </c>
      <c r="G1031" s="4">
        <v>43051</v>
      </c>
      <c r="J1031" s="1">
        <v>2500</v>
      </c>
    </row>
    <row r="1032" spans="2:18">
      <c r="C1032" s="2" t="s">
        <v>5</v>
      </c>
      <c r="D1032" s="2" t="s">
        <v>23</v>
      </c>
      <c r="E1032" s="3">
        <v>30</v>
      </c>
      <c r="F1032" s="3">
        <v>5</v>
      </c>
      <c r="G1032" s="4">
        <v>42674</v>
      </c>
      <c r="J1032" s="1">
        <v>2500</v>
      </c>
    </row>
    <row r="1033" spans="2:18">
      <c r="G1033" s="4"/>
    </row>
    <row r="1034" spans="2:18" s="12" customFormat="1">
      <c r="B1034" s="12" t="s">
        <v>469</v>
      </c>
      <c r="C1034" s="13" t="s">
        <v>986</v>
      </c>
      <c r="D1034" s="13" t="s">
        <v>985</v>
      </c>
      <c r="E1034" s="15"/>
      <c r="F1034" s="15">
        <f>SUM(F1035:F1037)</f>
        <v>59.383333333333333</v>
      </c>
      <c r="G1034" s="14">
        <f>G1035</f>
        <v>44600</v>
      </c>
    </row>
    <row r="1035" spans="2:18">
      <c r="C1035" s="2" t="s">
        <v>7</v>
      </c>
      <c r="D1035" s="2" t="s">
        <v>464</v>
      </c>
      <c r="E1035" s="3">
        <v>26.8</v>
      </c>
      <c r="F1035" s="3">
        <v>6.8</v>
      </c>
      <c r="G1035" s="4">
        <v>44600</v>
      </c>
      <c r="M1035" s="1"/>
      <c r="N1035" s="1"/>
      <c r="O1035" s="1"/>
      <c r="P1035" s="1"/>
      <c r="Q1035" s="1"/>
      <c r="R1035" s="1"/>
    </row>
    <row r="1036" spans="2:18">
      <c r="C1036" s="2" t="s">
        <v>55</v>
      </c>
      <c r="D1036" s="2" t="s">
        <v>181</v>
      </c>
      <c r="E1036" s="3">
        <v>475</v>
      </c>
      <c r="F1036" s="3">
        <f>E1036/12</f>
        <v>39.583333333333336</v>
      </c>
      <c r="G1036" s="4">
        <v>44278</v>
      </c>
      <c r="M1036" s="1"/>
      <c r="N1036" s="1"/>
      <c r="O1036" s="1"/>
      <c r="P1036" s="1"/>
      <c r="Q1036" s="1"/>
      <c r="R1036" s="1"/>
    </row>
    <row r="1037" spans="2:18">
      <c r="C1037" s="2" t="s">
        <v>7</v>
      </c>
      <c r="D1037" s="2" t="s">
        <v>2180</v>
      </c>
      <c r="E1037" s="3">
        <v>176</v>
      </c>
      <c r="F1037" s="3">
        <v>13</v>
      </c>
      <c r="G1037" s="4">
        <v>44578</v>
      </c>
      <c r="M1037" s="1"/>
      <c r="N1037" s="1"/>
      <c r="O1037" s="1"/>
      <c r="P1037" s="1"/>
      <c r="Q1037" s="1"/>
      <c r="R1037" s="1"/>
    </row>
    <row r="1038" spans="2:18">
      <c r="G1038" s="4"/>
      <c r="M1038" s="1"/>
      <c r="N1038" s="1"/>
      <c r="O1038" s="1"/>
      <c r="P1038" s="1"/>
      <c r="Q1038" s="1"/>
      <c r="R1038" s="1"/>
    </row>
    <row r="1039" spans="2:18" s="12" customFormat="1">
      <c r="B1039" s="12" t="s">
        <v>161</v>
      </c>
      <c r="C1039" s="13" t="s">
        <v>986</v>
      </c>
      <c r="D1039" s="13" t="s">
        <v>985</v>
      </c>
      <c r="E1039" s="15"/>
      <c r="F1039" s="15">
        <f>SUM(F1040:F1044)</f>
        <v>58.214285714285715</v>
      </c>
      <c r="G1039" s="14">
        <f>G1040</f>
        <v>44067</v>
      </c>
      <c r="M1039" s="13"/>
      <c r="N1039" s="13"/>
      <c r="O1039" s="13"/>
      <c r="P1039" s="13"/>
      <c r="Q1039" s="13"/>
      <c r="R1039" s="13"/>
    </row>
    <row r="1040" spans="2:18">
      <c r="C1040" s="2" t="s">
        <v>18</v>
      </c>
      <c r="D1040" s="2" t="s">
        <v>159</v>
      </c>
      <c r="E1040" s="3">
        <v>101</v>
      </c>
      <c r="F1040" s="3">
        <v>25</v>
      </c>
      <c r="G1040" s="4">
        <v>44067</v>
      </c>
    </row>
    <row r="1041" spans="2:7">
      <c r="C1041" s="2" t="s">
        <v>4</v>
      </c>
      <c r="D1041" s="2" t="s">
        <v>159</v>
      </c>
      <c r="E1041" s="3">
        <v>4</v>
      </c>
      <c r="F1041" s="3">
        <v>1.5</v>
      </c>
      <c r="G1041" s="4">
        <v>42023</v>
      </c>
    </row>
    <row r="1042" spans="2:7">
      <c r="C1042" s="2" t="s">
        <v>18</v>
      </c>
      <c r="D1042" s="2" t="s">
        <v>34</v>
      </c>
      <c r="E1042" s="3">
        <v>230</v>
      </c>
      <c r="F1042" s="3">
        <f>110/7</f>
        <v>15.714285714285714</v>
      </c>
      <c r="G1042" s="4">
        <v>43634</v>
      </c>
    </row>
    <row r="1043" spans="2:7">
      <c r="C1043" s="2" t="s">
        <v>7</v>
      </c>
      <c r="D1043" s="2" t="s">
        <v>34</v>
      </c>
      <c r="E1043" s="3">
        <v>45</v>
      </c>
      <c r="F1043" s="3">
        <v>11</v>
      </c>
      <c r="G1043" s="4">
        <v>43263</v>
      </c>
    </row>
    <row r="1044" spans="2:7">
      <c r="C1044" s="2" t="s">
        <v>5</v>
      </c>
      <c r="D1044" s="2" t="s">
        <v>34</v>
      </c>
      <c r="E1044" s="3">
        <v>18</v>
      </c>
      <c r="F1044" s="3">
        <v>5</v>
      </c>
      <c r="G1044" s="4">
        <v>42983</v>
      </c>
    </row>
    <row r="1045" spans="2:7">
      <c r="G1045" s="4"/>
    </row>
    <row r="1046" spans="2:7">
      <c r="B1046" s="12" t="s">
        <v>1088</v>
      </c>
      <c r="C1046" s="13" t="s">
        <v>986</v>
      </c>
      <c r="D1046" s="13" t="s">
        <v>985</v>
      </c>
      <c r="E1046" s="15"/>
      <c r="F1046" s="15">
        <f>SUM(F1047:F1058)</f>
        <v>57.2</v>
      </c>
      <c r="G1046" s="14">
        <f>G1054</f>
        <v>45005</v>
      </c>
    </row>
    <row r="1047" spans="2:7">
      <c r="C1047" s="2" t="s">
        <v>18</v>
      </c>
      <c r="D1047" s="2" t="s">
        <v>974</v>
      </c>
      <c r="E1047" s="3">
        <v>50</v>
      </c>
      <c r="F1047" s="3">
        <f>30/5</f>
        <v>6</v>
      </c>
      <c r="G1047" s="4">
        <v>44900</v>
      </c>
    </row>
    <row r="1048" spans="2:7">
      <c r="C1048" s="2" t="s">
        <v>18</v>
      </c>
      <c r="D1048" s="2" t="s">
        <v>1087</v>
      </c>
      <c r="E1048" s="3">
        <v>85</v>
      </c>
      <c r="F1048" s="3">
        <v>10</v>
      </c>
      <c r="G1048" s="4">
        <v>44501</v>
      </c>
    </row>
    <row r="1049" spans="2:7">
      <c r="C1049" s="2" t="s">
        <v>7</v>
      </c>
      <c r="D1049" s="2" t="s">
        <v>1087</v>
      </c>
      <c r="E1049" s="3">
        <v>28</v>
      </c>
      <c r="F1049" s="3">
        <v>5</v>
      </c>
      <c r="G1049" s="4">
        <v>44272</v>
      </c>
    </row>
    <row r="1050" spans="2:7">
      <c r="C1050" s="2" t="s">
        <v>5</v>
      </c>
      <c r="D1050" s="2" t="s">
        <v>1087</v>
      </c>
      <c r="E1050" s="3">
        <v>15</v>
      </c>
      <c r="F1050" s="3">
        <v>5</v>
      </c>
      <c r="G1050" s="4">
        <v>43924</v>
      </c>
    </row>
    <row r="1051" spans="2:7">
      <c r="C1051" s="2" t="s">
        <v>4</v>
      </c>
      <c r="D1051" s="2" t="s">
        <v>1087</v>
      </c>
      <c r="E1051" s="3">
        <v>3.9</v>
      </c>
      <c r="F1051" s="3">
        <v>2.9</v>
      </c>
      <c r="G1051" s="4">
        <v>43761</v>
      </c>
    </row>
    <row r="1052" spans="2:7">
      <c r="C1052" s="2" t="s">
        <v>4</v>
      </c>
      <c r="D1052" s="2" t="s">
        <v>1044</v>
      </c>
      <c r="E1052" s="3">
        <v>2.8</v>
      </c>
      <c r="F1052" s="3">
        <v>0.8</v>
      </c>
      <c r="G1052" s="4">
        <v>44994</v>
      </c>
    </row>
    <row r="1053" spans="2:7">
      <c r="C1053" s="2" t="s">
        <v>4</v>
      </c>
      <c r="D1053" s="2" t="s">
        <v>1044</v>
      </c>
      <c r="E1053" s="3">
        <v>2.6</v>
      </c>
      <c r="F1053" s="3">
        <v>1</v>
      </c>
      <c r="G1053" s="4">
        <v>44147</v>
      </c>
    </row>
    <row r="1054" spans="2:7">
      <c r="C1054" s="2" t="s">
        <v>5</v>
      </c>
      <c r="D1054" s="2" t="s">
        <v>699</v>
      </c>
      <c r="E1054" s="3">
        <v>12.5</v>
      </c>
      <c r="F1054" s="3">
        <v>7</v>
      </c>
      <c r="G1054" s="4">
        <v>45005</v>
      </c>
    </row>
    <row r="1055" spans="2:7">
      <c r="C1055" s="2" t="s">
        <v>4</v>
      </c>
      <c r="D1055" s="2" t="s">
        <v>663</v>
      </c>
      <c r="E1055" s="3">
        <v>12</v>
      </c>
      <c r="F1055" s="3">
        <v>2</v>
      </c>
      <c r="G1055" s="4">
        <v>44971</v>
      </c>
    </row>
    <row r="1056" spans="2:7">
      <c r="C1056" s="2" t="s">
        <v>4</v>
      </c>
      <c r="D1056" s="2" t="s">
        <v>607</v>
      </c>
      <c r="E1056" s="3">
        <v>6</v>
      </c>
      <c r="F1056" s="3">
        <v>2</v>
      </c>
      <c r="G1056" s="4">
        <v>44781</v>
      </c>
    </row>
    <row r="1057" spans="2:18">
      <c r="C1057" s="2" t="s">
        <v>285</v>
      </c>
      <c r="D1057" s="2" t="s">
        <v>607</v>
      </c>
      <c r="E1057" s="3">
        <v>1</v>
      </c>
      <c r="F1057" s="3">
        <v>0.5</v>
      </c>
      <c r="G1057" s="4">
        <v>44476</v>
      </c>
    </row>
    <row r="1058" spans="2:18">
      <c r="C1058" s="2" t="s">
        <v>7</v>
      </c>
      <c r="D1058" s="2" t="s">
        <v>1086</v>
      </c>
      <c r="E1058" s="3">
        <v>100</v>
      </c>
      <c r="F1058" s="3">
        <v>15</v>
      </c>
      <c r="G1058" s="4">
        <v>45106</v>
      </c>
    </row>
    <row r="1059" spans="2:18">
      <c r="G1059" s="4"/>
    </row>
    <row r="1060" spans="2:18">
      <c r="B1060" s="12" t="s">
        <v>1089</v>
      </c>
      <c r="C1060" s="13" t="s">
        <v>986</v>
      </c>
      <c r="D1060" s="13" t="s">
        <v>985</v>
      </c>
      <c r="F1060" s="15">
        <f>SUM(F1061:F1065)</f>
        <v>56.133333333333333</v>
      </c>
      <c r="G1060" s="14">
        <f>G1062</f>
        <v>45070</v>
      </c>
    </row>
    <row r="1061" spans="2:18">
      <c r="C1061" s="2" t="s">
        <v>18</v>
      </c>
      <c r="D1061" s="2" t="s">
        <v>969</v>
      </c>
      <c r="E1061" s="3">
        <v>270</v>
      </c>
      <c r="F1061" s="3">
        <v>50</v>
      </c>
      <c r="G1061" s="4">
        <v>45048</v>
      </c>
    </row>
    <row r="1062" spans="2:18">
      <c r="C1062" s="2" t="s">
        <v>5</v>
      </c>
      <c r="D1062" s="2" t="s">
        <v>795</v>
      </c>
      <c r="E1062" s="3">
        <v>10.9</v>
      </c>
      <c r="F1062" s="3">
        <f>8/6</f>
        <v>1.3333333333333333</v>
      </c>
      <c r="G1062" s="4">
        <v>45070</v>
      </c>
    </row>
    <row r="1063" spans="2:18">
      <c r="C1063" s="2" t="s">
        <v>5</v>
      </c>
      <c r="D1063" s="2" t="s">
        <v>714</v>
      </c>
      <c r="E1063" s="3">
        <v>6</v>
      </c>
      <c r="F1063" s="3">
        <v>1</v>
      </c>
      <c r="G1063" s="4">
        <v>44917</v>
      </c>
    </row>
    <row r="1064" spans="2:18">
      <c r="C1064" s="2" t="s">
        <v>4</v>
      </c>
      <c r="D1064" s="2" t="s">
        <v>714</v>
      </c>
      <c r="E1064" s="3">
        <v>3.6</v>
      </c>
      <c r="F1064" s="3">
        <v>1.8</v>
      </c>
      <c r="G1064" s="4">
        <v>43361</v>
      </c>
    </row>
    <row r="1065" spans="2:18">
      <c r="C1065" s="2" t="s">
        <v>5</v>
      </c>
      <c r="D1065" s="2" t="s">
        <v>305</v>
      </c>
      <c r="E1065" s="3">
        <v>15</v>
      </c>
      <c r="F1065" s="3">
        <v>2</v>
      </c>
      <c r="G1065" s="4">
        <v>44314</v>
      </c>
    </row>
    <row r="1066" spans="2:18">
      <c r="G1066" s="4"/>
    </row>
    <row r="1067" spans="2:18" s="12" customFormat="1">
      <c r="B1067" s="12" t="s">
        <v>1085</v>
      </c>
      <c r="C1067" s="13" t="s">
        <v>986</v>
      </c>
      <c r="D1067" s="13" t="s">
        <v>985</v>
      </c>
      <c r="E1067" s="15"/>
      <c r="F1067" s="15">
        <f>SUM(F1068:F1073)</f>
        <v>54.3</v>
      </c>
      <c r="G1067" s="14">
        <f>+G1068</f>
        <v>44754</v>
      </c>
      <c r="M1067" s="13"/>
      <c r="N1067" s="13"/>
      <c r="O1067" s="13"/>
      <c r="P1067" s="13"/>
      <c r="Q1067" s="13"/>
      <c r="R1067" s="13"/>
    </row>
    <row r="1068" spans="2:18">
      <c r="C1068" s="2" t="s">
        <v>18</v>
      </c>
      <c r="D1068" s="2" t="s">
        <v>1023</v>
      </c>
      <c r="E1068" s="3">
        <v>100</v>
      </c>
      <c r="F1068" s="3">
        <v>10</v>
      </c>
      <c r="G1068" s="4">
        <v>44754</v>
      </c>
    </row>
    <row r="1069" spans="2:18">
      <c r="C1069" s="2" t="s">
        <v>7</v>
      </c>
      <c r="D1069" s="2" t="s">
        <v>908</v>
      </c>
      <c r="E1069" s="3">
        <v>40</v>
      </c>
      <c r="F1069" s="3">
        <v>5</v>
      </c>
      <c r="G1069" s="4">
        <v>44728</v>
      </c>
    </row>
    <row r="1070" spans="2:18">
      <c r="C1070" s="2" t="s">
        <v>7</v>
      </c>
      <c r="D1070" s="2" t="s">
        <v>908</v>
      </c>
      <c r="E1070" s="3">
        <v>18.600000000000001</v>
      </c>
      <c r="F1070" s="3">
        <f>8.6/2</f>
        <v>4.3</v>
      </c>
      <c r="G1070" s="4">
        <v>44112</v>
      </c>
    </row>
    <row r="1071" spans="2:18">
      <c r="C1071" s="2" t="s">
        <v>18</v>
      </c>
      <c r="D1071" s="2" t="s">
        <v>896</v>
      </c>
      <c r="E1071" s="3">
        <v>200</v>
      </c>
      <c r="F1071" s="3">
        <v>20</v>
      </c>
      <c r="G1071" s="4">
        <v>44377</v>
      </c>
    </row>
    <row r="1072" spans="2:18">
      <c r="C1072" s="2" t="s">
        <v>7</v>
      </c>
      <c r="D1072" s="2" t="s">
        <v>896</v>
      </c>
      <c r="E1072" s="3">
        <v>75</v>
      </c>
      <c r="F1072" s="3">
        <v>5</v>
      </c>
      <c r="G1072" s="4">
        <v>43783</v>
      </c>
    </row>
    <row r="1073" spans="2:18">
      <c r="C1073" s="2" t="s">
        <v>5</v>
      </c>
      <c r="D1073" s="2" t="s">
        <v>896</v>
      </c>
      <c r="E1073" s="3">
        <v>30</v>
      </c>
      <c r="F1073" s="3">
        <v>10</v>
      </c>
      <c r="G1073" s="4">
        <v>43573</v>
      </c>
    </row>
    <row r="1074" spans="2:18">
      <c r="G1074" s="4"/>
    </row>
    <row r="1075" spans="2:18" s="12" customFormat="1">
      <c r="B1075" s="12" t="s">
        <v>857</v>
      </c>
      <c r="C1075" s="13" t="s">
        <v>986</v>
      </c>
      <c r="D1075" s="13" t="s">
        <v>985</v>
      </c>
      <c r="E1075" s="15"/>
      <c r="F1075" s="15">
        <f>SUM(F1076:F1078)</f>
        <v>52.5</v>
      </c>
      <c r="G1075" s="14">
        <f>G1076</f>
        <v>44796</v>
      </c>
      <c r="M1075" s="13"/>
      <c r="N1075" s="13"/>
      <c r="O1075" s="13"/>
      <c r="P1075" s="13"/>
      <c r="Q1075" s="13"/>
      <c r="R1075" s="13"/>
    </row>
    <row r="1076" spans="2:18">
      <c r="C1076" s="2" t="s">
        <v>5</v>
      </c>
      <c r="D1076" s="2" t="s">
        <v>712</v>
      </c>
      <c r="E1076" s="3">
        <v>50</v>
      </c>
      <c r="F1076" s="3">
        <f>30/12</f>
        <v>2.5</v>
      </c>
      <c r="G1076" s="4">
        <v>44796</v>
      </c>
    </row>
    <row r="1077" spans="2:18">
      <c r="C1077" s="2" t="s">
        <v>5</v>
      </c>
      <c r="D1077" s="2" t="s">
        <v>856</v>
      </c>
      <c r="E1077" s="3">
        <v>44</v>
      </c>
      <c r="F1077" s="3">
        <v>10</v>
      </c>
      <c r="G1077" s="4">
        <v>44671</v>
      </c>
    </row>
    <row r="1078" spans="2:18">
      <c r="C1078" s="2" t="s">
        <v>18</v>
      </c>
      <c r="D1078" s="2" t="s">
        <v>239</v>
      </c>
      <c r="E1078" s="3">
        <v>460</v>
      </c>
      <c r="F1078" s="3">
        <v>40</v>
      </c>
      <c r="G1078" s="4">
        <v>43040</v>
      </c>
    </row>
    <row r="1079" spans="2:18">
      <c r="C1079" s="2" t="s">
        <v>7</v>
      </c>
      <c r="D1079" s="2" t="s">
        <v>2181</v>
      </c>
      <c r="E1079" s="3">
        <v>186</v>
      </c>
      <c r="F1079" s="3">
        <v>30</v>
      </c>
      <c r="G1079" s="4">
        <v>44648</v>
      </c>
    </row>
    <row r="1080" spans="2:18">
      <c r="G1080" s="4"/>
    </row>
    <row r="1081" spans="2:18" s="12" customFormat="1">
      <c r="B1081" s="12" t="s">
        <v>954</v>
      </c>
      <c r="C1081" s="13" t="s">
        <v>986</v>
      </c>
      <c r="D1081" s="13" t="s">
        <v>985</v>
      </c>
      <c r="E1081" s="15"/>
      <c r="F1081" s="15">
        <f>SUM(F1082:F1083)</f>
        <v>52.583333333333336</v>
      </c>
      <c r="G1081" s="14">
        <f>G1082</f>
        <v>44860</v>
      </c>
      <c r="M1081" s="13"/>
      <c r="N1081" s="13"/>
      <c r="O1081" s="13"/>
      <c r="P1081" s="13"/>
      <c r="Q1081" s="13"/>
      <c r="R1081" s="13"/>
    </row>
    <row r="1082" spans="2:18">
      <c r="C1082" s="2" t="s">
        <v>7</v>
      </c>
      <c r="D1082" s="2" t="s">
        <v>406</v>
      </c>
      <c r="E1082" s="3">
        <v>37</v>
      </c>
      <c r="F1082" s="3">
        <v>13</v>
      </c>
      <c r="G1082" s="4">
        <v>44860</v>
      </c>
    </row>
    <row r="1083" spans="2:18">
      <c r="C1083" s="2" t="s">
        <v>55</v>
      </c>
      <c r="D1083" s="2" t="s">
        <v>181</v>
      </c>
      <c r="E1083" s="3">
        <v>475</v>
      </c>
      <c r="F1083" s="3">
        <f>E1083/12</f>
        <v>39.583333333333336</v>
      </c>
      <c r="G1083" s="4">
        <v>44278</v>
      </c>
    </row>
    <row r="1084" spans="2:18">
      <c r="G1084" s="4"/>
    </row>
    <row r="1085" spans="2:18" s="12" customFormat="1">
      <c r="B1085" s="12" t="s">
        <v>817</v>
      </c>
      <c r="C1085" s="13" t="s">
        <v>986</v>
      </c>
      <c r="D1085" s="13" t="s">
        <v>985</v>
      </c>
      <c r="E1085" s="15"/>
      <c r="F1085" s="15">
        <f>SUM(F1086:F1087)</f>
        <v>51.6</v>
      </c>
      <c r="G1085" s="14">
        <f>G1087</f>
        <v>45044</v>
      </c>
      <c r="M1085" s="13"/>
      <c r="N1085" s="13"/>
      <c r="O1085" s="13"/>
      <c r="P1085" s="13"/>
      <c r="Q1085" s="13"/>
      <c r="R1085" s="13"/>
    </row>
    <row r="1086" spans="2:18">
      <c r="C1086" s="2" t="s">
        <v>5</v>
      </c>
      <c r="D1086" s="2" t="s">
        <v>677</v>
      </c>
      <c r="E1086" s="3">
        <v>12.7</v>
      </c>
      <c r="F1086" s="3">
        <f>8/5</f>
        <v>1.6</v>
      </c>
      <c r="G1086" s="4">
        <v>44952</v>
      </c>
    </row>
    <row r="1087" spans="2:18">
      <c r="C1087" s="2" t="s">
        <v>1</v>
      </c>
      <c r="D1087" s="2" t="s">
        <v>0</v>
      </c>
      <c r="E1087" s="3">
        <v>300</v>
      </c>
      <c r="F1087" s="3">
        <f>E1087/6</f>
        <v>50</v>
      </c>
      <c r="G1087" s="4">
        <v>45044</v>
      </c>
      <c r="I1087" s="1">
        <v>2870</v>
      </c>
      <c r="J1087" s="1">
        <v>28700</v>
      </c>
    </row>
    <row r="1088" spans="2:18">
      <c r="G1088" s="4"/>
    </row>
    <row r="1089" spans="2:18" s="12" customFormat="1">
      <c r="B1089" s="12" t="s">
        <v>1084</v>
      </c>
      <c r="C1089" s="13" t="s">
        <v>986</v>
      </c>
      <c r="D1089" s="13" t="s">
        <v>985</v>
      </c>
      <c r="E1089" s="15"/>
      <c r="F1089" s="15">
        <f>SUM(F1090:F1093)</f>
        <v>46.5</v>
      </c>
      <c r="G1089" s="14">
        <f>G1092</f>
        <v>44599</v>
      </c>
    </row>
    <row r="1090" spans="2:18">
      <c r="C1090" s="2" t="s">
        <v>7</v>
      </c>
      <c r="D1090" s="2" t="s">
        <v>462</v>
      </c>
      <c r="E1090" s="3">
        <v>25</v>
      </c>
      <c r="F1090" s="3">
        <v>10</v>
      </c>
      <c r="G1090" s="4">
        <v>43972</v>
      </c>
      <c r="M1090" s="1"/>
      <c r="N1090" s="1"/>
      <c r="O1090" s="1"/>
      <c r="P1090" s="1"/>
      <c r="Q1090" s="1"/>
      <c r="R1090" s="1"/>
    </row>
    <row r="1091" spans="2:18">
      <c r="C1091" s="2" t="s">
        <v>5</v>
      </c>
      <c r="D1091" s="2" t="s">
        <v>462</v>
      </c>
      <c r="E1091" s="3">
        <v>11.5</v>
      </c>
      <c r="F1091" s="3">
        <v>11.5</v>
      </c>
      <c r="G1091" s="4">
        <v>43104</v>
      </c>
      <c r="M1091" s="1"/>
      <c r="N1091" s="1"/>
      <c r="O1091" s="1"/>
      <c r="P1091" s="1"/>
      <c r="Q1091" s="1"/>
      <c r="R1091" s="1"/>
    </row>
    <row r="1092" spans="2:18">
      <c r="C1092" s="2" t="s">
        <v>18</v>
      </c>
      <c r="D1092" s="2" t="s">
        <v>1078</v>
      </c>
      <c r="E1092" s="3">
        <v>40</v>
      </c>
      <c r="F1092" s="3">
        <v>7</v>
      </c>
      <c r="G1092" s="4">
        <v>44599</v>
      </c>
      <c r="M1092" s="1"/>
      <c r="N1092" s="1"/>
      <c r="O1092" s="1"/>
      <c r="P1092" s="1"/>
      <c r="Q1092" s="1"/>
      <c r="R1092" s="1"/>
    </row>
    <row r="1093" spans="2:18">
      <c r="C1093" s="2" t="s">
        <v>7</v>
      </c>
      <c r="D1093" s="2" t="s">
        <v>1078</v>
      </c>
      <c r="E1093" s="3">
        <v>28</v>
      </c>
      <c r="F1093" s="3">
        <v>18</v>
      </c>
      <c r="G1093" s="4">
        <v>44377</v>
      </c>
      <c r="M1093" s="1"/>
      <c r="N1093" s="1"/>
      <c r="O1093" s="1"/>
      <c r="P1093" s="1"/>
      <c r="Q1093" s="1"/>
      <c r="R1093" s="1"/>
    </row>
    <row r="1094" spans="2:18">
      <c r="G1094" s="4"/>
      <c r="M1094" s="1"/>
      <c r="N1094" s="1"/>
      <c r="O1094" s="1"/>
      <c r="P1094" s="1"/>
      <c r="Q1094" s="1"/>
      <c r="R1094" s="1"/>
    </row>
    <row r="1095" spans="2:18" s="12" customFormat="1">
      <c r="B1095" s="12" t="s">
        <v>937</v>
      </c>
      <c r="C1095" s="13" t="s">
        <v>986</v>
      </c>
      <c r="D1095" s="13" t="s">
        <v>985</v>
      </c>
      <c r="E1095" s="15"/>
      <c r="F1095" s="15">
        <f>SUM(F1096:F1099)</f>
        <v>46.917748917748916</v>
      </c>
      <c r="G1095" s="14">
        <f>G1096</f>
        <v>45090</v>
      </c>
      <c r="M1095" s="13"/>
      <c r="N1095" s="13"/>
      <c r="O1095" s="13"/>
      <c r="P1095" s="13"/>
      <c r="Q1095" s="13"/>
      <c r="R1095" s="13"/>
    </row>
    <row r="1096" spans="2:18">
      <c r="C1096" s="2" t="s">
        <v>4</v>
      </c>
      <c r="D1096" s="2" t="s">
        <v>717</v>
      </c>
      <c r="E1096" s="3">
        <v>113</v>
      </c>
      <c r="F1096" s="3">
        <v>8</v>
      </c>
      <c r="G1096" s="4">
        <v>45090</v>
      </c>
    </row>
    <row r="1097" spans="2:18">
      <c r="C1097" s="2" t="s">
        <v>9</v>
      </c>
      <c r="D1097" s="2" t="s">
        <v>23</v>
      </c>
      <c r="E1097" s="3">
        <v>222</v>
      </c>
      <c r="F1097" s="3">
        <f>200/21</f>
        <v>9.5238095238095237</v>
      </c>
      <c r="G1097" s="4">
        <v>44194</v>
      </c>
      <c r="I1097" s="1">
        <v>2500</v>
      </c>
      <c r="J1097" s="1">
        <v>2500</v>
      </c>
    </row>
    <row r="1098" spans="2:18">
      <c r="C1098" s="2" t="s">
        <v>8</v>
      </c>
      <c r="D1098" s="2" t="s">
        <v>23</v>
      </c>
      <c r="E1098" s="3">
        <v>150</v>
      </c>
      <c r="F1098" s="3">
        <f>100/6</f>
        <v>16.666666666666668</v>
      </c>
      <c r="G1098" s="4">
        <v>43885</v>
      </c>
      <c r="I1098" s="1">
        <v>1800</v>
      </c>
      <c r="J1098" s="1">
        <v>2500</v>
      </c>
    </row>
    <row r="1099" spans="2:18">
      <c r="C1099" s="2" t="s">
        <v>8</v>
      </c>
      <c r="D1099" s="2" t="s">
        <v>23</v>
      </c>
      <c r="E1099" s="3">
        <v>200</v>
      </c>
      <c r="F1099" s="3">
        <v>12.727272727272727</v>
      </c>
      <c r="G1099" s="4">
        <v>43452</v>
      </c>
      <c r="I1099" s="1">
        <v>1500</v>
      </c>
      <c r="J1099" s="1">
        <v>2500</v>
      </c>
    </row>
    <row r="1100" spans="2:18">
      <c r="G1100" s="4"/>
    </row>
    <row r="1101" spans="2:18" s="12" customFormat="1">
      <c r="B1101" s="12" t="s">
        <v>1047</v>
      </c>
      <c r="C1101" s="13" t="s">
        <v>986</v>
      </c>
      <c r="D1101" s="13" t="s">
        <v>985</v>
      </c>
      <c r="E1101" s="15"/>
      <c r="F1101" s="15">
        <f>SUM(F1102:F1106)</f>
        <v>47.238095238095241</v>
      </c>
      <c r="G1101" s="14">
        <f>G1103</f>
        <v>44851</v>
      </c>
      <c r="M1101" s="13"/>
      <c r="N1101" s="13"/>
      <c r="O1101" s="13"/>
      <c r="P1101" s="13"/>
      <c r="Q1101" s="13"/>
      <c r="R1101" s="13"/>
    </row>
    <row r="1102" spans="2:18">
      <c r="C1102" s="2" t="s">
        <v>5</v>
      </c>
      <c r="D1102" s="2" t="s">
        <v>742</v>
      </c>
      <c r="E1102" s="3">
        <v>25</v>
      </c>
      <c r="F1102" s="3">
        <f>18/7</f>
        <v>2.5714285714285716</v>
      </c>
      <c r="G1102" s="4">
        <v>44757</v>
      </c>
    </row>
    <row r="1103" spans="2:18">
      <c r="C1103" s="2" t="s">
        <v>5</v>
      </c>
      <c r="D1103" s="2" t="s">
        <v>288</v>
      </c>
      <c r="E1103" s="3">
        <v>32</v>
      </c>
      <c r="F1103" s="3">
        <v>5</v>
      </c>
      <c r="G1103" s="4">
        <v>44851</v>
      </c>
    </row>
    <row r="1104" spans="2:18">
      <c r="C1104" s="2" t="s">
        <v>9</v>
      </c>
      <c r="D1104" s="2" t="s">
        <v>23</v>
      </c>
      <c r="E1104" s="3">
        <v>222</v>
      </c>
      <c r="F1104" s="3">
        <v>10</v>
      </c>
      <c r="G1104" s="4">
        <v>44194</v>
      </c>
      <c r="I1104" s="1">
        <v>2500</v>
      </c>
      <c r="J1104" s="1">
        <v>2500</v>
      </c>
    </row>
    <row r="1105" spans="2:18">
      <c r="C1105" s="2" t="s">
        <v>8</v>
      </c>
      <c r="D1105" s="2" t="s">
        <v>23</v>
      </c>
      <c r="E1105" s="3">
        <v>150</v>
      </c>
      <c r="F1105" s="3">
        <v>16.666666666666668</v>
      </c>
      <c r="G1105" s="4">
        <v>43885</v>
      </c>
      <c r="I1105" s="1">
        <v>1800</v>
      </c>
      <c r="J1105" s="1">
        <v>2500</v>
      </c>
    </row>
    <row r="1106" spans="2:18">
      <c r="C1106" s="2" t="s">
        <v>8</v>
      </c>
      <c r="D1106" s="2" t="s">
        <v>23</v>
      </c>
      <c r="E1106" s="3">
        <v>200</v>
      </c>
      <c r="F1106" s="3">
        <v>13</v>
      </c>
      <c r="G1106" s="4">
        <v>43452</v>
      </c>
      <c r="I1106" s="1">
        <v>1500</v>
      </c>
      <c r="J1106" s="1">
        <v>2500</v>
      </c>
    </row>
    <row r="1107" spans="2:18">
      <c r="G1107" s="4"/>
    </row>
    <row r="1108" spans="2:18" s="12" customFormat="1">
      <c r="B1108" s="12" t="s">
        <v>461</v>
      </c>
      <c r="C1108" s="13" t="s">
        <v>986</v>
      </c>
      <c r="D1108" s="13" t="s">
        <v>985</v>
      </c>
      <c r="E1108" s="15"/>
      <c r="F1108" s="15">
        <f>SUM(F1109:F1110)</f>
        <v>50</v>
      </c>
      <c r="G1108" s="14">
        <f>G1109</f>
        <v>44776</v>
      </c>
    </row>
    <row r="1109" spans="2:18">
      <c r="C1109" s="2" t="s">
        <v>8</v>
      </c>
      <c r="D1109" s="2" t="s">
        <v>456</v>
      </c>
      <c r="E1109" s="3">
        <v>90</v>
      </c>
      <c r="F1109" s="3">
        <v>20</v>
      </c>
      <c r="G1109" s="4">
        <v>44776</v>
      </c>
      <c r="M1109" s="1"/>
      <c r="N1109" s="1"/>
      <c r="O1109" s="1"/>
      <c r="P1109" s="1"/>
      <c r="Q1109" s="1"/>
      <c r="R1109" s="1"/>
    </row>
    <row r="1110" spans="2:18">
      <c r="C1110" s="2" t="s">
        <v>18</v>
      </c>
      <c r="D1110" s="2" t="s">
        <v>2178</v>
      </c>
      <c r="E1110" s="3">
        <v>200</v>
      </c>
      <c r="F1110" s="3">
        <v>30</v>
      </c>
      <c r="G1110" s="4">
        <v>44557</v>
      </c>
      <c r="I1110" s="1">
        <v>1300</v>
      </c>
      <c r="J1110" s="1">
        <v>1300</v>
      </c>
      <c r="M1110" s="1"/>
      <c r="N1110" s="1"/>
      <c r="O1110" s="1"/>
      <c r="P1110" s="1"/>
      <c r="Q1110" s="1"/>
      <c r="R1110" s="1"/>
    </row>
    <row r="1111" spans="2:18">
      <c r="G1111" s="4"/>
      <c r="M1111" s="1"/>
      <c r="N1111" s="1"/>
      <c r="O1111" s="1"/>
      <c r="P1111" s="1"/>
      <c r="Q1111" s="1"/>
      <c r="R1111" s="1"/>
    </row>
    <row r="1112" spans="2:18">
      <c r="B1112" s="12" t="s">
        <v>1083</v>
      </c>
      <c r="C1112" s="13" t="s">
        <v>986</v>
      </c>
      <c r="D1112" s="13" t="s">
        <v>985</v>
      </c>
      <c r="E1112" s="15"/>
      <c r="F1112" s="15">
        <f>SUM(F1113:F1125)</f>
        <v>42.916666666666664</v>
      </c>
      <c r="G1112" s="14">
        <f>G1116</f>
        <v>45041</v>
      </c>
    </row>
    <row r="1113" spans="2:18">
      <c r="C1113" s="2" t="s">
        <v>7</v>
      </c>
      <c r="D1113" s="2" t="s">
        <v>979</v>
      </c>
      <c r="E1113" s="3">
        <v>45</v>
      </c>
      <c r="F1113" s="3">
        <v>10</v>
      </c>
      <c r="G1113" s="4">
        <v>44228</v>
      </c>
    </row>
    <row r="1114" spans="2:18">
      <c r="C1114" s="2" t="s">
        <v>5</v>
      </c>
      <c r="D1114" s="2" t="s">
        <v>979</v>
      </c>
      <c r="E1114" s="3">
        <v>5</v>
      </c>
      <c r="F1114" s="3">
        <v>1</v>
      </c>
      <c r="G1114" s="4">
        <v>43251</v>
      </c>
    </row>
    <row r="1115" spans="2:18">
      <c r="C1115" s="2" t="s">
        <v>5</v>
      </c>
      <c r="D1115" s="2" t="s">
        <v>905</v>
      </c>
      <c r="E1115" s="3">
        <v>14</v>
      </c>
      <c r="F1115" s="3">
        <v>2</v>
      </c>
      <c r="G1115" s="4">
        <v>44131</v>
      </c>
    </row>
    <row r="1116" spans="2:18">
      <c r="C1116" s="2" t="s">
        <v>7</v>
      </c>
      <c r="D1116" s="2" t="s">
        <v>921</v>
      </c>
      <c r="E1116" s="3">
        <v>97.4</v>
      </c>
      <c r="F1116" s="3">
        <f>47/6</f>
        <v>7.833333333333333</v>
      </c>
      <c r="G1116" s="4">
        <v>45041</v>
      </c>
    </row>
    <row r="1117" spans="2:18">
      <c r="C1117" s="2" t="s">
        <v>5</v>
      </c>
      <c r="D1117" s="2" t="s">
        <v>921</v>
      </c>
      <c r="E1117" s="3">
        <v>80</v>
      </c>
      <c r="F1117" s="3">
        <f>40/6</f>
        <v>6.666666666666667</v>
      </c>
      <c r="G1117" s="4">
        <v>44539</v>
      </c>
    </row>
    <row r="1118" spans="2:18">
      <c r="C1118" s="2" t="s">
        <v>4</v>
      </c>
      <c r="D1118" s="2" t="s">
        <v>663</v>
      </c>
      <c r="E1118" s="3">
        <v>12</v>
      </c>
      <c r="F1118" s="3">
        <v>2</v>
      </c>
      <c r="G1118" s="4">
        <v>44971</v>
      </c>
    </row>
    <row r="1119" spans="2:18">
      <c r="C1119" s="2" t="s">
        <v>4</v>
      </c>
      <c r="D1119" s="2" t="s">
        <v>663</v>
      </c>
      <c r="E1119" s="3">
        <v>5</v>
      </c>
      <c r="F1119" s="3">
        <v>1</v>
      </c>
      <c r="G1119" s="4">
        <v>44769</v>
      </c>
    </row>
    <row r="1120" spans="2:18">
      <c r="C1120" s="2" t="s">
        <v>7</v>
      </c>
      <c r="D1120" s="2" t="s">
        <v>535</v>
      </c>
      <c r="E1120" s="3">
        <v>32</v>
      </c>
      <c r="F1120" s="3">
        <v>3</v>
      </c>
      <c r="G1120" s="4">
        <v>44364</v>
      </c>
    </row>
    <row r="1121" spans="2:18">
      <c r="C1121" s="2" t="s">
        <v>5</v>
      </c>
      <c r="D1121" s="2" t="s">
        <v>535</v>
      </c>
      <c r="E1121" s="3">
        <v>10.199999999999999</v>
      </c>
      <c r="F1121" s="3">
        <v>2</v>
      </c>
      <c r="G1121" s="4">
        <v>43732</v>
      </c>
    </row>
    <row r="1122" spans="2:18">
      <c r="C1122" s="2" t="s">
        <v>4</v>
      </c>
      <c r="D1122" s="2" t="s">
        <v>535</v>
      </c>
      <c r="E1122" s="3">
        <v>3</v>
      </c>
      <c r="F1122" s="3">
        <v>0.75</v>
      </c>
      <c r="G1122" s="4">
        <v>43374</v>
      </c>
    </row>
    <row r="1123" spans="2:18">
      <c r="C1123" s="2" t="s">
        <v>7</v>
      </c>
      <c r="D1123" s="2" t="s">
        <v>317</v>
      </c>
      <c r="E1123" s="3">
        <v>40</v>
      </c>
      <c r="F1123" s="3">
        <v>4</v>
      </c>
      <c r="G1123" s="4">
        <v>43419</v>
      </c>
    </row>
    <row r="1124" spans="2:18">
      <c r="C1124" s="2" t="s">
        <v>5</v>
      </c>
      <c r="D1124" s="2" t="s">
        <v>3</v>
      </c>
      <c r="E1124" s="3">
        <v>10.5</v>
      </c>
      <c r="F1124" s="3">
        <v>2</v>
      </c>
      <c r="G1124" s="4">
        <v>42828</v>
      </c>
    </row>
    <row r="1125" spans="2:18">
      <c r="C1125" s="2" t="s">
        <v>4</v>
      </c>
      <c r="D1125" s="2" t="s">
        <v>3</v>
      </c>
      <c r="E1125" s="3">
        <v>2</v>
      </c>
      <c r="F1125" s="3">
        <f>+E1125/3</f>
        <v>0.66666666666666663</v>
      </c>
      <c r="G1125" s="4">
        <v>42521</v>
      </c>
    </row>
    <row r="1126" spans="2:18">
      <c r="G1126" s="4"/>
    </row>
    <row r="1127" spans="2:18" s="12" customFormat="1">
      <c r="B1127" s="12" t="s">
        <v>855</v>
      </c>
      <c r="C1127" s="13" t="s">
        <v>986</v>
      </c>
      <c r="D1127" s="13" t="s">
        <v>985</v>
      </c>
      <c r="E1127" s="15"/>
      <c r="F1127" s="15">
        <f>SUM(F1128:F1130)</f>
        <v>41.5</v>
      </c>
      <c r="G1127" s="14">
        <f>G1129</f>
        <v>44984</v>
      </c>
      <c r="M1127" s="13"/>
      <c r="N1127" s="13"/>
      <c r="O1127" s="13"/>
      <c r="P1127" s="13"/>
      <c r="Q1127" s="13"/>
      <c r="R1127" s="13"/>
    </row>
    <row r="1128" spans="2:18">
      <c r="C1128" s="2" t="s">
        <v>5</v>
      </c>
      <c r="D1128" s="2" t="s">
        <v>712</v>
      </c>
      <c r="E1128" s="3">
        <v>50</v>
      </c>
      <c r="F1128" s="3">
        <f>30/12</f>
        <v>2.5</v>
      </c>
      <c r="G1128" s="4">
        <v>44796</v>
      </c>
    </row>
    <row r="1129" spans="2:18">
      <c r="C1129" s="2" t="s">
        <v>9</v>
      </c>
      <c r="D1129" s="2" t="s">
        <v>41</v>
      </c>
      <c r="E1129" s="3">
        <v>230</v>
      </c>
      <c r="F1129" s="3">
        <v>24</v>
      </c>
      <c r="G1129" s="4">
        <v>44984</v>
      </c>
      <c r="I1129" s="1">
        <v>2000</v>
      </c>
      <c r="J1129" s="1">
        <v>2000</v>
      </c>
    </row>
    <row r="1130" spans="2:18">
      <c r="C1130" s="2" t="s">
        <v>18</v>
      </c>
      <c r="D1130" s="2" t="s">
        <v>41</v>
      </c>
      <c r="E1130" s="3">
        <v>100</v>
      </c>
      <c r="F1130" s="3">
        <v>15</v>
      </c>
      <c r="G1130" s="4">
        <v>44025</v>
      </c>
      <c r="J1130" s="1">
        <v>2000</v>
      </c>
    </row>
    <row r="1131" spans="2:18">
      <c r="G1131" s="4"/>
    </row>
    <row r="1132" spans="2:18" s="12" customFormat="1">
      <c r="B1132" s="12" t="s">
        <v>1082</v>
      </c>
      <c r="C1132" s="13" t="s">
        <v>986</v>
      </c>
      <c r="D1132" s="13" t="s">
        <v>985</v>
      </c>
      <c r="E1132" s="15"/>
      <c r="F1132" s="15">
        <f>SUM(F1133:F1135)</f>
        <v>39.625</v>
      </c>
      <c r="G1132" s="14">
        <f>G1133</f>
        <v>44999</v>
      </c>
      <c r="M1132" s="13"/>
      <c r="N1132" s="13"/>
      <c r="O1132" s="13"/>
      <c r="P1132" s="13"/>
      <c r="Q1132" s="13"/>
      <c r="R1132" s="13"/>
    </row>
    <row r="1133" spans="2:18">
      <c r="C1133" s="2" t="s">
        <v>7</v>
      </c>
      <c r="D1133" s="2" t="s">
        <v>965</v>
      </c>
      <c r="E1133" s="3">
        <v>350</v>
      </c>
      <c r="F1133" s="3">
        <v>20</v>
      </c>
      <c r="G1133" s="4">
        <v>44999</v>
      </c>
    </row>
    <row r="1134" spans="2:18">
      <c r="C1134" s="2" t="s">
        <v>8</v>
      </c>
      <c r="D1134" s="2" t="s">
        <v>265</v>
      </c>
      <c r="E1134" s="3">
        <v>111</v>
      </c>
      <c r="F1134" s="3">
        <v>14</v>
      </c>
      <c r="G1134" s="4">
        <v>44622</v>
      </c>
    </row>
    <row r="1135" spans="2:18">
      <c r="C1135" s="2" t="s">
        <v>18</v>
      </c>
      <c r="D1135" s="2" t="s">
        <v>265</v>
      </c>
      <c r="E1135" s="3">
        <v>55</v>
      </c>
      <c r="F1135" s="3">
        <v>5.625</v>
      </c>
      <c r="G1135" s="4">
        <v>44314</v>
      </c>
    </row>
    <row r="1136" spans="2:18">
      <c r="G1136" s="4"/>
    </row>
    <row r="1137" spans="2:18" s="12" customFormat="1">
      <c r="B1137" s="12" t="s">
        <v>1081</v>
      </c>
      <c r="C1137" s="13" t="s">
        <v>986</v>
      </c>
      <c r="D1137" s="13" t="s">
        <v>985</v>
      </c>
      <c r="E1137" s="15"/>
      <c r="F1137" s="15">
        <f>SUM(F1138:F1146)</f>
        <v>40.360606060606067</v>
      </c>
      <c r="G1137" s="14">
        <f>G1138</f>
        <v>44642</v>
      </c>
      <c r="M1137" s="13"/>
      <c r="N1137" s="13"/>
      <c r="O1137" s="13"/>
      <c r="P1137" s="13"/>
      <c r="Q1137" s="13"/>
      <c r="R1137" s="13"/>
    </row>
    <row r="1138" spans="2:18">
      <c r="C1138" s="2" t="s">
        <v>7</v>
      </c>
      <c r="D1138" s="2" t="s">
        <v>89</v>
      </c>
      <c r="E1138" s="3">
        <v>25</v>
      </c>
      <c r="F1138" s="3">
        <f>15/6</f>
        <v>2.5</v>
      </c>
      <c r="G1138" s="4">
        <v>44642</v>
      </c>
    </row>
    <row r="1139" spans="2:18">
      <c r="C1139" s="2" t="s">
        <v>5</v>
      </c>
      <c r="D1139" s="2" t="s">
        <v>89</v>
      </c>
      <c r="E1139" s="3">
        <v>13.5</v>
      </c>
      <c r="F1139" s="3">
        <f>10/6</f>
        <v>1.6666666666666667</v>
      </c>
      <c r="G1139" s="4">
        <v>43978</v>
      </c>
    </row>
    <row r="1140" spans="2:18">
      <c r="C1140" s="2" t="s">
        <v>4</v>
      </c>
      <c r="D1140" s="2" t="s">
        <v>89</v>
      </c>
      <c r="E1140" s="3">
        <v>5.3</v>
      </c>
      <c r="F1140" s="3">
        <v>1.3</v>
      </c>
      <c r="G1140" s="4">
        <v>43398</v>
      </c>
    </row>
    <row r="1141" spans="2:18">
      <c r="C1141" s="2" t="s">
        <v>4</v>
      </c>
      <c r="D1141" s="2" t="s">
        <v>89</v>
      </c>
      <c r="E1141" s="3">
        <v>4</v>
      </c>
      <c r="F1141" s="3">
        <v>1.5</v>
      </c>
      <c r="G1141" s="4">
        <v>43122</v>
      </c>
    </row>
    <row r="1142" spans="2:18">
      <c r="C1142" s="2" t="s">
        <v>9</v>
      </c>
      <c r="D1142" s="2" t="s">
        <v>23</v>
      </c>
      <c r="E1142" s="3">
        <v>222</v>
      </c>
      <c r="F1142" s="3">
        <f>200/21</f>
        <v>9.5238095238095237</v>
      </c>
      <c r="G1142" s="4">
        <v>44194</v>
      </c>
      <c r="I1142" s="1">
        <v>2500</v>
      </c>
      <c r="J1142" s="1">
        <v>2500</v>
      </c>
    </row>
    <row r="1143" spans="2:18">
      <c r="C1143" s="2" t="s">
        <v>8</v>
      </c>
      <c r="D1143" s="2" t="s">
        <v>23</v>
      </c>
      <c r="E1143" s="3">
        <v>200</v>
      </c>
      <c r="F1143" s="3">
        <v>12.727272727272727</v>
      </c>
      <c r="G1143" s="4">
        <v>43452</v>
      </c>
      <c r="I1143" s="1">
        <v>1500</v>
      </c>
      <c r="J1143" s="1">
        <v>2500</v>
      </c>
    </row>
    <row r="1144" spans="2:18">
      <c r="C1144" s="2" t="s">
        <v>18</v>
      </c>
      <c r="D1144" s="2" t="s">
        <v>23</v>
      </c>
      <c r="E1144" s="3">
        <v>50</v>
      </c>
      <c r="F1144" s="3">
        <v>5</v>
      </c>
      <c r="G1144" s="4">
        <v>43051</v>
      </c>
      <c r="J1144" s="1">
        <v>2500</v>
      </c>
    </row>
    <row r="1145" spans="2:18">
      <c r="C1145" s="2" t="s">
        <v>7</v>
      </c>
      <c r="D1145" s="2" t="s">
        <v>23</v>
      </c>
      <c r="E1145" s="3">
        <v>30</v>
      </c>
      <c r="F1145" s="3">
        <v>3.1428571428571428</v>
      </c>
      <c r="G1145" s="4">
        <v>42936</v>
      </c>
      <c r="J1145" s="1">
        <v>2500</v>
      </c>
    </row>
    <row r="1146" spans="2:18">
      <c r="C1146" s="2" t="s">
        <v>5</v>
      </c>
      <c r="D1146" s="2" t="s">
        <v>23</v>
      </c>
      <c r="E1146" s="3">
        <v>30</v>
      </c>
      <c r="F1146" s="3">
        <v>3</v>
      </c>
      <c r="G1146" s="4">
        <v>42674</v>
      </c>
      <c r="J1146" s="1">
        <v>2500</v>
      </c>
    </row>
    <row r="1147" spans="2:18">
      <c r="G1147" s="4"/>
    </row>
    <row r="1148" spans="2:18" s="12" customFormat="1">
      <c r="B1148" s="12" t="s">
        <v>879</v>
      </c>
      <c r="C1148" s="13" t="s">
        <v>986</v>
      </c>
      <c r="D1148" s="13" t="s">
        <v>985</v>
      </c>
      <c r="E1148" s="15"/>
      <c r="F1148" s="15">
        <f>SUM(F1149:F1154)</f>
        <v>38.523809523809526</v>
      </c>
      <c r="G1148" s="14">
        <f>G1149</f>
        <v>44378</v>
      </c>
      <c r="M1148" s="13"/>
      <c r="N1148" s="13"/>
      <c r="O1148" s="13"/>
      <c r="P1148" s="13"/>
      <c r="Q1148" s="13"/>
      <c r="R1148" s="13"/>
    </row>
    <row r="1149" spans="2:18">
      <c r="C1149" s="2" t="s">
        <v>5</v>
      </c>
      <c r="D1149" s="2" t="s">
        <v>877</v>
      </c>
      <c r="E1149" s="3">
        <v>10</v>
      </c>
      <c r="F1149" s="3">
        <v>3</v>
      </c>
      <c r="G1149" s="4">
        <v>44378</v>
      </c>
    </row>
    <row r="1150" spans="2:18">
      <c r="C1150" s="2" t="s">
        <v>5</v>
      </c>
      <c r="D1150" s="2" t="s">
        <v>203</v>
      </c>
      <c r="E1150" s="3">
        <v>5</v>
      </c>
      <c r="F1150" s="3">
        <f>E1150/3</f>
        <v>1.6666666666666667</v>
      </c>
      <c r="G1150" s="4">
        <v>42688</v>
      </c>
    </row>
    <row r="1151" spans="2:18">
      <c r="C1151" s="2" t="s">
        <v>7</v>
      </c>
      <c r="D1151" s="2" t="s">
        <v>82</v>
      </c>
      <c r="E1151" s="3">
        <v>100</v>
      </c>
      <c r="F1151" s="3">
        <v>20</v>
      </c>
      <c r="G1151" s="4">
        <v>43958</v>
      </c>
    </row>
    <row r="1152" spans="2:18">
      <c r="C1152" s="2" t="s">
        <v>4</v>
      </c>
      <c r="D1152" s="2" t="s">
        <v>82</v>
      </c>
      <c r="E1152" s="3">
        <v>49</v>
      </c>
      <c r="F1152" s="3">
        <v>7.5</v>
      </c>
      <c r="G1152" s="4">
        <v>43319</v>
      </c>
    </row>
    <row r="1153" spans="2:18">
      <c r="C1153" s="2" t="s">
        <v>285</v>
      </c>
      <c r="D1153" s="2" t="s">
        <v>82</v>
      </c>
      <c r="E1153" s="3">
        <f>9.5/7</f>
        <v>1.3571428571428572</v>
      </c>
      <c r="F1153" s="3">
        <f>+E1153</f>
        <v>1.3571428571428572</v>
      </c>
      <c r="G1153" s="4">
        <v>43185</v>
      </c>
    </row>
    <row r="1154" spans="2:18">
      <c r="C1154" s="2" t="s">
        <v>5</v>
      </c>
      <c r="D1154" s="2" t="s">
        <v>66</v>
      </c>
      <c r="E1154" s="3">
        <v>50</v>
      </c>
      <c r="F1154" s="3">
        <f>20/4</f>
        <v>5</v>
      </c>
      <c r="G1154" s="4">
        <v>44165</v>
      </c>
    </row>
    <row r="1155" spans="2:18">
      <c r="G1155" s="4"/>
    </row>
    <row r="1156" spans="2:18" s="12" customFormat="1">
      <c r="B1156" s="12" t="s">
        <v>1080</v>
      </c>
      <c r="C1156" s="13" t="s">
        <v>986</v>
      </c>
      <c r="D1156" s="13" t="s">
        <v>985</v>
      </c>
      <c r="E1156" s="15"/>
      <c r="F1156" s="15">
        <f>SUM(F1157:F1161)</f>
        <v>38.4</v>
      </c>
      <c r="G1156" s="14">
        <f>G1157</f>
        <v>44698</v>
      </c>
      <c r="M1156" s="13"/>
      <c r="N1156" s="13"/>
      <c r="O1156" s="13"/>
      <c r="P1156" s="13"/>
      <c r="Q1156" s="13"/>
      <c r="R1156" s="13"/>
    </row>
    <row r="1157" spans="2:18">
      <c r="C1157" s="2" t="s">
        <v>5</v>
      </c>
      <c r="D1157" s="2" t="s">
        <v>785</v>
      </c>
      <c r="E1157" s="3">
        <v>12.8</v>
      </c>
      <c r="F1157" s="3">
        <v>6.8</v>
      </c>
      <c r="G1157" s="4">
        <v>44698</v>
      </c>
    </row>
    <row r="1158" spans="2:18">
      <c r="C1158" s="2" t="s">
        <v>5</v>
      </c>
      <c r="D1158" s="2" t="s">
        <v>552</v>
      </c>
      <c r="E1158" s="3">
        <v>14</v>
      </c>
      <c r="F1158" s="3">
        <f>8/5</f>
        <v>1.6</v>
      </c>
      <c r="G1158" s="4">
        <v>44447</v>
      </c>
    </row>
    <row r="1159" spans="2:18">
      <c r="C1159" s="2" t="s">
        <v>5</v>
      </c>
      <c r="D1159" s="2" t="s">
        <v>552</v>
      </c>
      <c r="E1159" s="3">
        <v>12</v>
      </c>
      <c r="F1159" s="3">
        <f>8/4</f>
        <v>2</v>
      </c>
      <c r="G1159" s="4">
        <v>43532</v>
      </c>
    </row>
    <row r="1160" spans="2:18">
      <c r="C1160" s="2" t="s">
        <v>9</v>
      </c>
      <c r="D1160" s="2" t="s">
        <v>498</v>
      </c>
      <c r="E1160" s="3">
        <v>206</v>
      </c>
      <c r="F1160" s="3">
        <v>14</v>
      </c>
      <c r="G1160" s="4">
        <v>43725</v>
      </c>
    </row>
    <row r="1161" spans="2:18">
      <c r="C1161" s="2" t="s">
        <v>18</v>
      </c>
      <c r="D1161" s="2" t="s">
        <v>317</v>
      </c>
      <c r="E1161" s="3">
        <v>110</v>
      </c>
      <c r="F1161" s="3">
        <v>14</v>
      </c>
      <c r="G1161" s="4">
        <v>44369</v>
      </c>
    </row>
    <row r="1162" spans="2:18">
      <c r="G1162" s="4"/>
    </row>
    <row r="1163" spans="2:18" s="12" customFormat="1">
      <c r="B1163" s="12" t="s">
        <v>1079</v>
      </c>
      <c r="C1163" s="13" t="s">
        <v>986</v>
      </c>
      <c r="D1163" s="13" t="s">
        <v>985</v>
      </c>
      <c r="E1163" s="15"/>
      <c r="F1163" s="15">
        <f>SUM(F1164:F1165)</f>
        <v>38</v>
      </c>
      <c r="G1163" s="14">
        <f>G1164</f>
        <v>44812</v>
      </c>
      <c r="M1163" s="13"/>
      <c r="N1163" s="13"/>
      <c r="O1163" s="13"/>
      <c r="P1163" s="13"/>
      <c r="Q1163" s="13"/>
      <c r="R1163" s="13"/>
    </row>
    <row r="1164" spans="2:18">
      <c r="C1164" s="2" t="s">
        <v>7</v>
      </c>
      <c r="D1164" s="2" t="s">
        <v>1001</v>
      </c>
      <c r="E1164" s="3">
        <v>38</v>
      </c>
      <c r="F1164" s="3">
        <v>18</v>
      </c>
      <c r="G1164" s="4">
        <v>44812</v>
      </c>
    </row>
    <row r="1165" spans="2:18">
      <c r="C1165" s="2" t="s">
        <v>18</v>
      </c>
      <c r="D1165" s="2" t="s">
        <v>1078</v>
      </c>
      <c r="E1165" s="3">
        <v>40</v>
      </c>
      <c r="F1165" s="3">
        <v>20</v>
      </c>
      <c r="G1165" s="4">
        <v>44599</v>
      </c>
    </row>
    <row r="1166" spans="2:18">
      <c r="G1166" s="4"/>
    </row>
    <row r="1167" spans="2:18" s="12" customFormat="1">
      <c r="B1167" s="12" t="s">
        <v>0</v>
      </c>
      <c r="C1167" s="13" t="s">
        <v>986</v>
      </c>
      <c r="D1167" s="13" t="s">
        <v>985</v>
      </c>
      <c r="E1167" s="15"/>
      <c r="F1167" s="15">
        <f>SUM(F1168:F1171)</f>
        <v>36.666666666666664</v>
      </c>
      <c r="G1167" s="14">
        <f>G1168</f>
        <v>45027</v>
      </c>
      <c r="M1167" s="13"/>
      <c r="N1167" s="13"/>
      <c r="O1167" s="13"/>
      <c r="P1167" s="13"/>
      <c r="Q1167" s="13"/>
      <c r="R1167" s="13"/>
    </row>
    <row r="1168" spans="2:18">
      <c r="C1168" s="2" t="s">
        <v>5</v>
      </c>
      <c r="D1168" s="2" t="s">
        <v>695</v>
      </c>
      <c r="E1168" s="3">
        <v>21</v>
      </c>
      <c r="F1168" s="3">
        <f>11/3</f>
        <v>3.6666666666666665</v>
      </c>
      <c r="G1168" s="4">
        <v>45027</v>
      </c>
    </row>
    <row r="1169" spans="2:18">
      <c r="C1169" s="2" t="s">
        <v>4</v>
      </c>
      <c r="D1169" s="2" t="s">
        <v>695</v>
      </c>
      <c r="E1169" s="3">
        <v>5</v>
      </c>
      <c r="F1169" s="3">
        <v>3</v>
      </c>
      <c r="G1169" s="4">
        <v>44888</v>
      </c>
    </row>
    <row r="1170" spans="2:18">
      <c r="C1170" s="2" t="s">
        <v>5</v>
      </c>
      <c r="D1170" s="2" t="s">
        <v>708</v>
      </c>
      <c r="E1170" s="3">
        <v>23.5</v>
      </c>
      <c r="F1170" s="3">
        <v>15</v>
      </c>
      <c r="G1170" s="4">
        <v>44875</v>
      </c>
    </row>
    <row r="1171" spans="2:18">
      <c r="C1171" s="2" t="s">
        <v>7</v>
      </c>
      <c r="D1171" s="2" t="s">
        <v>822</v>
      </c>
      <c r="E1171" s="3">
        <v>27</v>
      </c>
      <c r="F1171" s="3">
        <v>15</v>
      </c>
      <c r="G1171" s="4">
        <v>44882</v>
      </c>
    </row>
    <row r="1172" spans="2:18">
      <c r="G1172" s="4"/>
    </row>
    <row r="1173" spans="2:18" s="12" customFormat="1">
      <c r="B1173" s="12" t="s">
        <v>1077</v>
      </c>
      <c r="C1173" s="13" t="s">
        <v>986</v>
      </c>
      <c r="D1173" s="13" t="s">
        <v>985</v>
      </c>
      <c r="E1173" s="15"/>
      <c r="F1173" s="15">
        <f>SUM(F1174:F1182)</f>
        <v>37.314285714285717</v>
      </c>
      <c r="G1173" s="14">
        <f>G1177</f>
        <v>44860</v>
      </c>
    </row>
    <row r="1174" spans="2:18">
      <c r="C1174" s="2" t="s">
        <v>5</v>
      </c>
      <c r="D1174" s="2" t="s">
        <v>667</v>
      </c>
      <c r="E1174" s="3">
        <v>12.6</v>
      </c>
      <c r="F1174" s="3">
        <f>6.6/3</f>
        <v>2.1999999999999997</v>
      </c>
      <c r="G1174" s="4">
        <v>44579</v>
      </c>
      <c r="M1174" s="1"/>
      <c r="N1174" s="1"/>
      <c r="O1174" s="1"/>
      <c r="P1174" s="1"/>
      <c r="Q1174" s="1"/>
      <c r="R1174" s="1"/>
    </row>
    <row r="1175" spans="2:18">
      <c r="C1175" s="2" t="s">
        <v>4</v>
      </c>
      <c r="D1175" s="2" t="s">
        <v>667</v>
      </c>
      <c r="E1175" s="3">
        <v>3</v>
      </c>
      <c r="F1175" s="3">
        <v>1</v>
      </c>
      <c r="G1175" s="4">
        <v>43999</v>
      </c>
      <c r="M1175" s="1"/>
      <c r="N1175" s="1"/>
      <c r="O1175" s="1"/>
      <c r="P1175" s="1"/>
      <c r="Q1175" s="1"/>
      <c r="R1175" s="1"/>
    </row>
    <row r="1176" spans="2:18">
      <c r="C1176" s="2" t="s">
        <v>4</v>
      </c>
      <c r="D1176" s="2" t="s">
        <v>662</v>
      </c>
      <c r="E1176" s="3">
        <v>12.3</v>
      </c>
      <c r="F1176" s="3">
        <v>3</v>
      </c>
      <c r="G1176" s="4">
        <v>44622</v>
      </c>
      <c r="M1176" s="1"/>
      <c r="N1176" s="1"/>
      <c r="O1176" s="1"/>
      <c r="P1176" s="1"/>
      <c r="Q1176" s="1"/>
      <c r="R1176" s="1"/>
    </row>
    <row r="1177" spans="2:18">
      <c r="C1177" s="2" t="s">
        <v>5</v>
      </c>
      <c r="D1177" s="2" t="s">
        <v>653</v>
      </c>
      <c r="E1177" s="3">
        <v>12</v>
      </c>
      <c r="F1177" s="3">
        <v>2</v>
      </c>
      <c r="G1177" s="4">
        <v>44860</v>
      </c>
      <c r="M1177" s="1"/>
      <c r="N1177" s="1"/>
      <c r="O1177" s="1"/>
      <c r="P1177" s="1"/>
      <c r="Q1177" s="1"/>
      <c r="R1177" s="1"/>
    </row>
    <row r="1178" spans="2:18">
      <c r="C1178" s="2" t="s">
        <v>4</v>
      </c>
      <c r="D1178" s="2" t="s">
        <v>653</v>
      </c>
      <c r="E1178" s="3">
        <v>2.8</v>
      </c>
      <c r="F1178" s="3">
        <v>1.4</v>
      </c>
      <c r="G1178" s="4">
        <v>44215</v>
      </c>
      <c r="M1178" s="1"/>
      <c r="N1178" s="1"/>
      <c r="O1178" s="1"/>
      <c r="P1178" s="1"/>
      <c r="Q1178" s="1"/>
      <c r="R1178" s="1"/>
    </row>
    <row r="1179" spans="2:18">
      <c r="C1179" s="2" t="s">
        <v>285</v>
      </c>
      <c r="D1179" s="2" t="s">
        <v>593</v>
      </c>
      <c r="E1179" s="3">
        <v>2</v>
      </c>
      <c r="F1179" s="3">
        <v>1</v>
      </c>
      <c r="G1179" s="4">
        <v>44223</v>
      </c>
      <c r="M1179" s="1"/>
      <c r="N1179" s="1"/>
      <c r="O1179" s="1"/>
      <c r="P1179" s="1"/>
      <c r="Q1179" s="1"/>
      <c r="R1179" s="1"/>
    </row>
    <row r="1180" spans="2:18">
      <c r="C1180" s="2" t="s">
        <v>18</v>
      </c>
      <c r="D1180" s="2" t="s">
        <v>34</v>
      </c>
      <c r="E1180" s="3">
        <v>230</v>
      </c>
      <c r="F1180" s="3">
        <f>110/7</f>
        <v>15.714285714285714</v>
      </c>
      <c r="G1180" s="4">
        <v>43634</v>
      </c>
      <c r="M1180" s="1"/>
      <c r="N1180" s="1"/>
      <c r="O1180" s="1"/>
      <c r="P1180" s="1"/>
      <c r="Q1180" s="1"/>
      <c r="R1180" s="1"/>
    </row>
    <row r="1181" spans="2:18">
      <c r="C1181" s="2" t="s">
        <v>7</v>
      </c>
      <c r="D1181" s="2" t="s">
        <v>34</v>
      </c>
      <c r="E1181" s="3">
        <v>45</v>
      </c>
      <c r="F1181" s="3">
        <v>6</v>
      </c>
      <c r="G1181" s="4">
        <v>43293</v>
      </c>
      <c r="M1181" s="1"/>
      <c r="N1181" s="1"/>
      <c r="O1181" s="1"/>
      <c r="P1181" s="1"/>
      <c r="Q1181" s="1"/>
      <c r="R1181" s="1"/>
    </row>
    <row r="1182" spans="2:18">
      <c r="C1182" s="2" t="s">
        <v>5</v>
      </c>
      <c r="D1182" s="2" t="s">
        <v>34</v>
      </c>
      <c r="E1182" s="3">
        <v>18</v>
      </c>
      <c r="F1182" s="3">
        <v>5</v>
      </c>
      <c r="G1182" s="4">
        <v>42983</v>
      </c>
      <c r="M1182" s="1"/>
      <c r="N1182" s="1"/>
      <c r="O1182" s="1"/>
      <c r="P1182" s="1"/>
      <c r="Q1182" s="1"/>
      <c r="R1182" s="1"/>
    </row>
    <row r="1183" spans="2:18">
      <c r="G1183" s="4"/>
      <c r="M1183" s="1"/>
      <c r="N1183" s="1"/>
      <c r="O1183" s="1"/>
      <c r="P1183" s="1"/>
      <c r="Q1183" s="1"/>
      <c r="R1183" s="1"/>
    </row>
    <row r="1184" spans="2:18" s="12" customFormat="1">
      <c r="B1184" s="12" t="s">
        <v>871</v>
      </c>
      <c r="C1184" s="13" t="s">
        <v>986</v>
      </c>
      <c r="D1184" s="13" t="s">
        <v>985</v>
      </c>
      <c r="E1184" s="15"/>
      <c r="F1184" s="15">
        <f>SUM(F1185:F1187)</f>
        <v>36</v>
      </c>
      <c r="G1184" s="14">
        <f>G1185</f>
        <v>44860</v>
      </c>
      <c r="M1184" s="13"/>
      <c r="N1184" s="13"/>
      <c r="O1184" s="13"/>
      <c r="P1184" s="13"/>
      <c r="Q1184" s="13"/>
      <c r="R1184" s="13"/>
    </row>
    <row r="1185" spans="2:18">
      <c r="C1185" s="2" t="s">
        <v>5</v>
      </c>
      <c r="D1185" s="2" t="s">
        <v>653</v>
      </c>
      <c r="E1185" s="3">
        <v>12</v>
      </c>
      <c r="F1185" s="3">
        <v>3</v>
      </c>
      <c r="G1185" s="4">
        <v>44860</v>
      </c>
    </row>
    <row r="1186" spans="2:18">
      <c r="C1186" s="2" t="s">
        <v>7</v>
      </c>
      <c r="D1186" s="2" t="s">
        <v>215</v>
      </c>
      <c r="E1186" s="3">
        <v>150</v>
      </c>
      <c r="F1186" s="3">
        <v>20</v>
      </c>
      <c r="G1186" s="4">
        <v>43556</v>
      </c>
    </row>
    <row r="1187" spans="2:18">
      <c r="C1187" s="2" t="s">
        <v>5</v>
      </c>
      <c r="D1187" s="2" t="s">
        <v>215</v>
      </c>
      <c r="E1187" s="3">
        <v>56</v>
      </c>
      <c r="F1187" s="3">
        <v>13</v>
      </c>
      <c r="G1187" s="4">
        <v>43174</v>
      </c>
    </row>
    <row r="1188" spans="2:18">
      <c r="G1188" s="4"/>
    </row>
    <row r="1189" spans="2:18" s="12" customFormat="1">
      <c r="B1189" s="12" t="s">
        <v>948</v>
      </c>
      <c r="C1189" s="13" t="s">
        <v>986</v>
      </c>
      <c r="D1189" s="13" t="s">
        <v>985</v>
      </c>
      <c r="E1189" s="15"/>
      <c r="F1189" s="15">
        <f>SUM(F1190:F1192)</f>
        <v>35</v>
      </c>
      <c r="G1189" s="14">
        <f>G1190</f>
        <v>44671</v>
      </c>
      <c r="M1189" s="13"/>
      <c r="N1189" s="13"/>
      <c r="O1189" s="13"/>
      <c r="P1189" s="13"/>
      <c r="Q1189" s="13"/>
      <c r="R1189" s="13"/>
    </row>
    <row r="1190" spans="2:18">
      <c r="C1190" s="2" t="s">
        <v>5</v>
      </c>
      <c r="D1190" s="2" t="s">
        <v>856</v>
      </c>
      <c r="E1190" s="3">
        <v>44</v>
      </c>
      <c r="F1190" s="3">
        <v>10</v>
      </c>
      <c r="G1190" s="4">
        <v>44671</v>
      </c>
    </row>
    <row r="1191" spans="2:18">
      <c r="C1191" s="2" t="s">
        <v>18</v>
      </c>
      <c r="D1191" s="2" t="s">
        <v>41</v>
      </c>
      <c r="E1191" s="3">
        <v>100</v>
      </c>
      <c r="F1191" s="3">
        <f>60/4</f>
        <v>15</v>
      </c>
      <c r="G1191" s="4">
        <v>44025</v>
      </c>
    </row>
    <row r="1192" spans="2:18">
      <c r="C1192" s="2" t="s">
        <v>7</v>
      </c>
      <c r="D1192" s="2" t="s">
        <v>41</v>
      </c>
      <c r="E1192" s="3">
        <f>42</f>
        <v>42</v>
      </c>
      <c r="F1192" s="3">
        <v>10</v>
      </c>
      <c r="G1192" s="4">
        <v>43144</v>
      </c>
    </row>
    <row r="1194" spans="2:18" s="12" customFormat="1">
      <c r="B1194" s="12" t="s">
        <v>972</v>
      </c>
      <c r="C1194" s="13" t="s">
        <v>986</v>
      </c>
      <c r="D1194" s="13" t="s">
        <v>985</v>
      </c>
      <c r="E1194" s="15"/>
      <c r="F1194" s="15">
        <f>SUM(F1195:F1196)</f>
        <v>33.523809523809526</v>
      </c>
      <c r="G1194" s="14">
        <f>G1195</f>
        <v>45048</v>
      </c>
      <c r="M1194" s="13"/>
      <c r="N1194" s="13"/>
      <c r="O1194" s="13"/>
      <c r="P1194" s="13"/>
      <c r="Q1194" s="13"/>
      <c r="R1194" s="13"/>
    </row>
    <row r="1195" spans="2:18">
      <c r="C1195" s="2" t="s">
        <v>18</v>
      </c>
      <c r="D1195" s="2" t="s">
        <v>969</v>
      </c>
      <c r="E1195" s="3">
        <v>270</v>
      </c>
      <c r="F1195" s="3">
        <v>24</v>
      </c>
      <c r="G1195" s="4">
        <v>45048</v>
      </c>
    </row>
    <row r="1196" spans="2:18">
      <c r="C1196" s="2" t="s">
        <v>9</v>
      </c>
      <c r="D1196" s="2" t="s">
        <v>23</v>
      </c>
      <c r="E1196" s="3">
        <v>222</v>
      </c>
      <c r="F1196" s="3">
        <f>200/21</f>
        <v>9.5238095238095237</v>
      </c>
      <c r="G1196" s="4">
        <v>44194</v>
      </c>
      <c r="I1196" s="1">
        <v>2500</v>
      </c>
      <c r="J1196" s="1">
        <v>2500</v>
      </c>
    </row>
    <row r="1197" spans="2:18">
      <c r="G1197" s="4"/>
    </row>
    <row r="1198" spans="2:18" s="12" customFormat="1">
      <c r="B1198" s="12" t="s">
        <v>945</v>
      </c>
      <c r="C1198" s="13" t="s">
        <v>986</v>
      </c>
      <c r="D1198" s="13" t="s">
        <v>985</v>
      </c>
      <c r="E1198" s="15"/>
      <c r="F1198" s="15">
        <f>SUM(F1199:F1201)</f>
        <v>34</v>
      </c>
      <c r="G1198" s="14">
        <f>G1199</f>
        <v>44392</v>
      </c>
      <c r="M1198" s="13"/>
      <c r="N1198" s="13"/>
      <c r="O1198" s="13"/>
      <c r="P1198" s="13"/>
      <c r="Q1198" s="13"/>
      <c r="R1198" s="13"/>
    </row>
    <row r="1199" spans="2:18">
      <c r="C1199" s="2" t="s">
        <v>5</v>
      </c>
      <c r="D1199" s="2" t="s">
        <v>706</v>
      </c>
      <c r="E1199" s="3">
        <v>20</v>
      </c>
      <c r="F1199" s="3">
        <v>10</v>
      </c>
      <c r="G1199" s="4">
        <v>44392</v>
      </c>
    </row>
    <row r="1200" spans="2:18">
      <c r="C1200" s="2" t="s">
        <v>8</v>
      </c>
      <c r="D1200" s="2" t="s">
        <v>181</v>
      </c>
      <c r="E1200" s="3">
        <v>130</v>
      </c>
      <c r="F1200" s="3">
        <v>12</v>
      </c>
      <c r="G1200" s="4">
        <v>42080</v>
      </c>
    </row>
    <row r="1201" spans="2:18">
      <c r="C1201" s="2" t="s">
        <v>18</v>
      </c>
      <c r="D1201" s="2" t="s">
        <v>104</v>
      </c>
      <c r="E1201" s="3">
        <v>24</v>
      </c>
      <c r="F1201" s="3">
        <v>12</v>
      </c>
      <c r="G1201" s="4">
        <v>41921</v>
      </c>
    </row>
    <row r="1202" spans="2:18">
      <c r="G1202" s="4"/>
    </row>
    <row r="1203" spans="2:18">
      <c r="B1203" s="12" t="s">
        <v>1040</v>
      </c>
      <c r="C1203" s="13" t="s">
        <v>986</v>
      </c>
      <c r="D1203" s="13" t="s">
        <v>985</v>
      </c>
      <c r="F1203" s="15">
        <f>SUM(F1204:F1208)</f>
        <v>33.142857142857139</v>
      </c>
      <c r="G1203" s="14">
        <f>G1205</f>
        <v>44650</v>
      </c>
    </row>
    <row r="1204" spans="2:18">
      <c r="C1204" s="2" t="s">
        <v>7</v>
      </c>
      <c r="D1204" s="2" t="s">
        <v>877</v>
      </c>
      <c r="E1204" s="3">
        <v>50</v>
      </c>
      <c r="F1204" s="3">
        <f>E1204/7</f>
        <v>7.1428571428571432</v>
      </c>
      <c r="G1204" s="4">
        <v>44628</v>
      </c>
    </row>
    <row r="1205" spans="2:18">
      <c r="C1205" s="2" t="s">
        <v>7</v>
      </c>
      <c r="D1205" s="2" t="s">
        <v>905</v>
      </c>
      <c r="E1205" s="3">
        <v>40</v>
      </c>
      <c r="F1205" s="3">
        <v>5</v>
      </c>
      <c r="G1205" s="4">
        <v>44650</v>
      </c>
    </row>
    <row r="1206" spans="2:18">
      <c r="C1206" s="2" t="s">
        <v>5</v>
      </c>
      <c r="D1206" s="2" t="s">
        <v>905</v>
      </c>
      <c r="E1206" s="3">
        <v>14</v>
      </c>
      <c r="F1206" s="3">
        <v>5</v>
      </c>
      <c r="G1206" s="4">
        <v>44131</v>
      </c>
    </row>
    <row r="1207" spans="2:18">
      <c r="C1207" s="2" t="s">
        <v>7</v>
      </c>
      <c r="D1207" s="2" t="s">
        <v>293</v>
      </c>
      <c r="E1207" s="3">
        <v>35</v>
      </c>
      <c r="F1207" s="3">
        <v>10</v>
      </c>
      <c r="G1207" s="4">
        <v>44309</v>
      </c>
    </row>
    <row r="1208" spans="2:18">
      <c r="C1208" s="2" t="s">
        <v>7</v>
      </c>
      <c r="D1208" s="2" t="s">
        <v>203</v>
      </c>
      <c r="E1208" s="3">
        <v>46</v>
      </c>
      <c r="F1208" s="3">
        <v>6</v>
      </c>
      <c r="G1208" s="4">
        <v>42941</v>
      </c>
    </row>
    <row r="1210" spans="2:18" s="12" customFormat="1">
      <c r="B1210" s="12" t="s">
        <v>1076</v>
      </c>
      <c r="C1210" s="13" t="s">
        <v>986</v>
      </c>
      <c r="D1210" s="13" t="s">
        <v>985</v>
      </c>
      <c r="E1210" s="15"/>
      <c r="F1210" s="15">
        <f>SUM(F1211:F1214)</f>
        <v>33</v>
      </c>
      <c r="G1210" s="14">
        <f>G1211</f>
        <v>44636</v>
      </c>
      <c r="M1210" s="13"/>
      <c r="N1210" s="13"/>
      <c r="O1210" s="13"/>
      <c r="P1210" s="13"/>
      <c r="Q1210" s="13"/>
      <c r="R1210" s="13"/>
    </row>
    <row r="1211" spans="2:18">
      <c r="C1211" s="2" t="s">
        <v>7</v>
      </c>
      <c r="D1211" s="2" t="s">
        <v>873</v>
      </c>
      <c r="E1211" s="3">
        <v>25</v>
      </c>
      <c r="F1211" s="3">
        <v>3</v>
      </c>
      <c r="G1211" s="4">
        <v>44636</v>
      </c>
    </row>
    <row r="1212" spans="2:18">
      <c r="C1212" s="2" t="s">
        <v>5</v>
      </c>
      <c r="D1212" s="2" t="s">
        <v>873</v>
      </c>
      <c r="E1212" s="3">
        <v>12</v>
      </c>
      <c r="F1212" s="3">
        <v>2</v>
      </c>
      <c r="G1212" s="4">
        <v>44179</v>
      </c>
    </row>
    <row r="1213" spans="2:18">
      <c r="C1213" s="2" t="s">
        <v>55</v>
      </c>
      <c r="D1213" s="2" t="s">
        <v>498</v>
      </c>
      <c r="E1213" s="3">
        <v>270</v>
      </c>
      <c r="F1213" s="3">
        <v>22</v>
      </c>
      <c r="G1213" s="4">
        <v>44152</v>
      </c>
    </row>
    <row r="1214" spans="2:18">
      <c r="C1214" s="2" t="s">
        <v>18</v>
      </c>
      <c r="D1214" s="2" t="s">
        <v>299</v>
      </c>
      <c r="E1214" s="3">
        <v>38</v>
      </c>
      <c r="F1214" s="3">
        <v>6</v>
      </c>
      <c r="G1214" s="4">
        <v>43104</v>
      </c>
    </row>
    <row r="1215" spans="2:18">
      <c r="G1215" s="4"/>
    </row>
    <row r="1216" spans="2:18" s="12" customFormat="1">
      <c r="B1216" s="12" t="s">
        <v>968</v>
      </c>
      <c r="C1216" s="13" t="s">
        <v>986</v>
      </c>
      <c r="D1216" s="13" t="s">
        <v>985</v>
      </c>
      <c r="E1216" s="15"/>
      <c r="F1216" s="15">
        <f>SUM(F1217:F1218)</f>
        <v>32.222222222222221</v>
      </c>
      <c r="G1216" s="14">
        <f>G1217</f>
        <v>44999</v>
      </c>
      <c r="M1216" s="13"/>
      <c r="N1216" s="13"/>
      <c r="O1216" s="13"/>
      <c r="P1216" s="13"/>
      <c r="Q1216" s="13"/>
      <c r="R1216" s="13"/>
    </row>
    <row r="1217" spans="2:18">
      <c r="C1217" s="2" t="s">
        <v>7</v>
      </c>
      <c r="D1217" s="2" t="s">
        <v>965</v>
      </c>
      <c r="E1217" s="3">
        <v>350</v>
      </c>
      <c r="F1217" s="3">
        <v>20</v>
      </c>
      <c r="G1217" s="4">
        <v>44999</v>
      </c>
    </row>
    <row r="1218" spans="2:18">
      <c r="C1218" s="2" t="s">
        <v>18</v>
      </c>
      <c r="D1218" s="2" t="s">
        <v>2178</v>
      </c>
      <c r="E1218" s="3">
        <v>200</v>
      </c>
      <c r="F1218" s="3">
        <f>110/9</f>
        <v>12.222222222222221</v>
      </c>
      <c r="G1218" s="4">
        <v>44557</v>
      </c>
      <c r="I1218" s="1">
        <v>1300</v>
      </c>
      <c r="J1218" s="1">
        <v>1300</v>
      </c>
    </row>
    <row r="1219" spans="2:18">
      <c r="G1219" s="4"/>
    </row>
    <row r="1220" spans="2:18" s="12" customFormat="1">
      <c r="B1220" s="12" t="s">
        <v>1075</v>
      </c>
      <c r="C1220" s="13" t="s">
        <v>986</v>
      </c>
      <c r="D1220" s="13" t="s">
        <v>985</v>
      </c>
      <c r="E1220" s="15"/>
      <c r="F1220" s="15">
        <f>SUM(F1221:F1227)</f>
        <v>31.066666666666666</v>
      </c>
      <c r="G1220" s="14">
        <f>G1221</f>
        <v>45048</v>
      </c>
      <c r="M1220" s="13"/>
      <c r="N1220" s="13"/>
      <c r="O1220" s="13"/>
      <c r="P1220" s="13"/>
      <c r="Q1220" s="13"/>
      <c r="R1220" s="13"/>
    </row>
    <row r="1221" spans="2:18">
      <c r="C1221" s="2" t="s">
        <v>4</v>
      </c>
      <c r="D1221" s="2" t="s">
        <v>573</v>
      </c>
      <c r="E1221" s="3">
        <v>5.6</v>
      </c>
      <c r="F1221" s="3">
        <f>E1221/3</f>
        <v>1.8666666666666665</v>
      </c>
      <c r="G1221" s="4">
        <v>45048</v>
      </c>
    </row>
    <row r="1222" spans="2:18">
      <c r="C1222" s="2" t="s">
        <v>4</v>
      </c>
      <c r="D1222" s="2" t="s">
        <v>526</v>
      </c>
      <c r="E1222" s="3">
        <v>4</v>
      </c>
      <c r="F1222" s="3">
        <f>4/3</f>
        <v>1.3333333333333333</v>
      </c>
      <c r="G1222" s="4">
        <v>42647</v>
      </c>
    </row>
    <row r="1223" spans="2:18">
      <c r="C1223" s="2" t="s">
        <v>18</v>
      </c>
      <c r="D1223" s="2" t="s">
        <v>317</v>
      </c>
      <c r="E1223" s="3">
        <v>110</v>
      </c>
      <c r="F1223" s="3">
        <v>14</v>
      </c>
      <c r="G1223" s="4">
        <v>44369</v>
      </c>
    </row>
    <row r="1224" spans="2:18">
      <c r="C1224" s="2" t="s">
        <v>7</v>
      </c>
      <c r="D1224" s="2" t="s">
        <v>317</v>
      </c>
      <c r="E1224" s="3">
        <v>40</v>
      </c>
      <c r="F1224" s="3">
        <v>4</v>
      </c>
      <c r="G1224" s="4">
        <v>43419</v>
      </c>
    </row>
    <row r="1225" spans="2:18">
      <c r="C1225" s="2" t="s">
        <v>5</v>
      </c>
      <c r="D1225" s="2" t="s">
        <v>317</v>
      </c>
      <c r="E1225" s="3">
        <v>14.7</v>
      </c>
      <c r="F1225" s="3">
        <v>5.7</v>
      </c>
      <c r="G1225" s="4">
        <v>43032</v>
      </c>
    </row>
    <row r="1226" spans="2:18">
      <c r="C1226" s="2" t="s">
        <v>5</v>
      </c>
      <c r="D1226" s="2" t="s">
        <v>97</v>
      </c>
      <c r="E1226" s="3">
        <v>10</v>
      </c>
      <c r="F1226" s="3">
        <v>2.5</v>
      </c>
      <c r="G1226" s="4">
        <v>42304</v>
      </c>
    </row>
    <row r="1227" spans="2:18">
      <c r="C1227" s="2" t="s">
        <v>4</v>
      </c>
      <c r="D1227" s="2" t="s">
        <v>97</v>
      </c>
      <c r="E1227" s="3">
        <v>5</v>
      </c>
      <c r="F1227" s="3">
        <f>E1227/3</f>
        <v>1.6666666666666667</v>
      </c>
      <c r="G1227" s="4">
        <v>41940</v>
      </c>
    </row>
    <row r="1228" spans="2:18">
      <c r="G1228" s="4"/>
    </row>
    <row r="1229" spans="2:18" s="12" customFormat="1">
      <c r="B1229" s="12" t="s">
        <v>1074</v>
      </c>
      <c r="C1229" s="13" t="s">
        <v>986</v>
      </c>
      <c r="D1229" s="13" t="s">
        <v>985</v>
      </c>
      <c r="E1229" s="15"/>
      <c r="F1229" s="15">
        <f>SUM(F1230:F1237)</f>
        <v>30.549999999999997</v>
      </c>
      <c r="G1229" s="14">
        <f>G1230</f>
        <v>44952</v>
      </c>
    </row>
    <row r="1230" spans="2:18">
      <c r="C1230" s="2" t="s">
        <v>5</v>
      </c>
      <c r="D1230" s="2" t="s">
        <v>677</v>
      </c>
      <c r="E1230" s="3">
        <v>12.7</v>
      </c>
      <c r="F1230" s="3">
        <f>8/5</f>
        <v>1.6</v>
      </c>
      <c r="G1230" s="4">
        <v>44952</v>
      </c>
      <c r="M1230" s="1"/>
      <c r="N1230" s="1"/>
      <c r="O1230" s="1"/>
      <c r="P1230" s="1"/>
      <c r="Q1230" s="1"/>
      <c r="R1230" s="1"/>
    </row>
    <row r="1231" spans="2:18">
      <c r="C1231" s="2" t="s">
        <v>18</v>
      </c>
      <c r="D1231" s="2" t="s">
        <v>617</v>
      </c>
      <c r="E1231" s="3">
        <v>48</v>
      </c>
      <c r="F1231" s="3">
        <v>4</v>
      </c>
      <c r="G1231" s="4">
        <v>43888</v>
      </c>
      <c r="M1231" s="1"/>
      <c r="N1231" s="1"/>
      <c r="O1231" s="1"/>
      <c r="P1231" s="1"/>
      <c r="Q1231" s="1"/>
      <c r="R1231" s="1"/>
    </row>
    <row r="1232" spans="2:18">
      <c r="C1232" s="2" t="s">
        <v>7</v>
      </c>
      <c r="D1232" s="2" t="s">
        <v>617</v>
      </c>
      <c r="E1232" s="3">
        <v>25</v>
      </c>
      <c r="F1232" s="3">
        <v>5</v>
      </c>
      <c r="G1232" s="4">
        <v>43440</v>
      </c>
      <c r="M1232" s="1"/>
      <c r="N1232" s="1"/>
      <c r="O1232" s="1"/>
      <c r="P1232" s="1"/>
      <c r="Q1232" s="1"/>
      <c r="R1232" s="1"/>
    </row>
    <row r="1233" spans="2:18">
      <c r="C1233" s="2" t="s">
        <v>5</v>
      </c>
      <c r="D1233" s="2" t="s">
        <v>617</v>
      </c>
      <c r="E1233" s="3">
        <v>5.8</v>
      </c>
      <c r="F1233" s="3">
        <f>E1233/4</f>
        <v>1.45</v>
      </c>
      <c r="G1233" s="4">
        <v>43117</v>
      </c>
      <c r="M1233" s="1"/>
      <c r="N1233" s="1"/>
      <c r="O1233" s="1"/>
      <c r="P1233" s="1"/>
      <c r="Q1233" s="1"/>
      <c r="R1233" s="1"/>
    </row>
    <row r="1234" spans="2:18">
      <c r="C1234" s="2" t="s">
        <v>4</v>
      </c>
      <c r="D1234" s="2" t="s">
        <v>617</v>
      </c>
      <c r="E1234" s="3">
        <v>3.3</v>
      </c>
      <c r="F1234" s="3">
        <v>0.5</v>
      </c>
      <c r="G1234" s="4">
        <v>42678</v>
      </c>
      <c r="M1234" s="1"/>
      <c r="N1234" s="1"/>
      <c r="O1234" s="1"/>
      <c r="P1234" s="1"/>
      <c r="Q1234" s="1"/>
      <c r="R1234" s="1"/>
    </row>
    <row r="1235" spans="2:18">
      <c r="C1235" s="2" t="s">
        <v>5</v>
      </c>
      <c r="D1235" s="2" t="s">
        <v>296</v>
      </c>
      <c r="E1235" s="3">
        <v>30</v>
      </c>
      <c r="F1235" s="3">
        <f>20/5</f>
        <v>4</v>
      </c>
      <c r="G1235" s="4">
        <v>44474</v>
      </c>
      <c r="M1235" s="1"/>
      <c r="N1235" s="1"/>
      <c r="O1235" s="1"/>
      <c r="P1235" s="1"/>
      <c r="Q1235" s="1"/>
      <c r="R1235" s="1"/>
    </row>
    <row r="1236" spans="2:18">
      <c r="C1236" s="2" t="s">
        <v>4</v>
      </c>
      <c r="D1236" s="2" t="s">
        <v>296</v>
      </c>
      <c r="E1236" s="3">
        <v>15</v>
      </c>
      <c r="F1236" s="3">
        <v>5</v>
      </c>
      <c r="G1236" s="4">
        <v>43775</v>
      </c>
      <c r="M1236" s="1"/>
      <c r="N1236" s="1"/>
      <c r="O1236" s="1"/>
      <c r="P1236" s="1"/>
      <c r="Q1236" s="1"/>
      <c r="R1236" s="1"/>
    </row>
    <row r="1237" spans="2:18">
      <c r="C1237" s="2" t="s">
        <v>5</v>
      </c>
      <c r="D1237" s="2" t="s">
        <v>166</v>
      </c>
      <c r="E1237" s="3">
        <v>112</v>
      </c>
      <c r="F1237" s="3">
        <v>9</v>
      </c>
      <c r="G1237" s="4">
        <v>43115</v>
      </c>
      <c r="M1237" s="1"/>
      <c r="N1237" s="1"/>
      <c r="O1237" s="1"/>
      <c r="P1237" s="1"/>
      <c r="Q1237" s="1"/>
      <c r="R1237" s="1"/>
    </row>
    <row r="1238" spans="2:18">
      <c r="G1238" s="4"/>
      <c r="M1238" s="1"/>
      <c r="N1238" s="1"/>
      <c r="O1238" s="1"/>
      <c r="P1238" s="1"/>
      <c r="Q1238" s="1"/>
      <c r="R1238" s="1"/>
    </row>
    <row r="1239" spans="2:18">
      <c r="B1239" s="12" t="s">
        <v>1073</v>
      </c>
      <c r="C1239" s="13" t="s">
        <v>986</v>
      </c>
      <c r="D1239" s="13" t="s">
        <v>985</v>
      </c>
      <c r="E1239" s="15"/>
      <c r="F1239" s="15">
        <f>SUM(F1240:F1248)</f>
        <v>28.683333333333334</v>
      </c>
      <c r="G1239" s="14">
        <f>G1243</f>
        <v>44861</v>
      </c>
    </row>
    <row r="1240" spans="2:18">
      <c r="C1240" s="2" t="s">
        <v>5</v>
      </c>
      <c r="D1240" s="2" t="s">
        <v>1003</v>
      </c>
      <c r="E1240" s="3">
        <v>25</v>
      </c>
      <c r="F1240" s="3">
        <f>15/4</f>
        <v>3.75</v>
      </c>
      <c r="G1240" s="4">
        <v>44615</v>
      </c>
    </row>
    <row r="1241" spans="2:18">
      <c r="C1241" s="2" t="s">
        <v>4</v>
      </c>
      <c r="D1241" s="2" t="s">
        <v>1003</v>
      </c>
      <c r="E1241" s="3">
        <v>5</v>
      </c>
      <c r="F1241" s="3">
        <v>2</v>
      </c>
      <c r="G1241" s="4">
        <v>44292</v>
      </c>
    </row>
    <row r="1242" spans="2:18">
      <c r="C1242" s="2" t="s">
        <v>4</v>
      </c>
      <c r="D1242" s="2" t="s">
        <v>576</v>
      </c>
      <c r="E1242" s="3">
        <v>9</v>
      </c>
      <c r="F1242" s="3">
        <v>2</v>
      </c>
      <c r="G1242" s="4">
        <v>44859</v>
      </c>
    </row>
    <row r="1243" spans="2:18">
      <c r="C1243" s="2" t="s">
        <v>7</v>
      </c>
      <c r="D1243" s="2" t="s">
        <v>358</v>
      </c>
      <c r="E1243" s="3">
        <v>22</v>
      </c>
      <c r="F1243" s="3">
        <v>5</v>
      </c>
      <c r="G1243" s="4">
        <v>44861</v>
      </c>
    </row>
    <row r="1244" spans="2:18">
      <c r="C1244" s="2" t="s">
        <v>5</v>
      </c>
      <c r="D1244" s="2" t="s">
        <v>358</v>
      </c>
      <c r="E1244" s="3">
        <v>15</v>
      </c>
      <c r="F1244" s="3">
        <v>9</v>
      </c>
      <c r="G1244" s="4">
        <v>44487</v>
      </c>
    </row>
    <row r="1245" spans="2:18">
      <c r="C1245" s="2" t="s">
        <v>5</v>
      </c>
      <c r="D1245" s="2" t="s">
        <v>288</v>
      </c>
      <c r="E1245" s="3">
        <v>13</v>
      </c>
      <c r="F1245" s="3">
        <f>+E1245/3</f>
        <v>4.333333333333333</v>
      </c>
      <c r="G1245" s="4">
        <v>44453</v>
      </c>
    </row>
    <row r="1246" spans="2:18">
      <c r="C1246" s="2" t="s">
        <v>4</v>
      </c>
      <c r="D1246" s="2" t="s">
        <v>288</v>
      </c>
      <c r="E1246" s="3">
        <v>6.2</v>
      </c>
      <c r="F1246" s="3">
        <v>2.6</v>
      </c>
      <c r="G1246" s="4">
        <v>44201</v>
      </c>
    </row>
    <row r="1247" spans="2:18">
      <c r="C1247" s="2" t="s">
        <v>9</v>
      </c>
      <c r="D1247" s="2" t="s">
        <v>153</v>
      </c>
      <c r="E1247" s="3">
        <v>300</v>
      </c>
      <c r="F1247" s="6" t="s">
        <v>1068</v>
      </c>
      <c r="G1247" s="4">
        <v>44271</v>
      </c>
    </row>
    <row r="1248" spans="2:18">
      <c r="C1248" s="2" t="s">
        <v>5</v>
      </c>
      <c r="D1248" s="2" t="s">
        <v>153</v>
      </c>
      <c r="E1248" s="3">
        <v>3</v>
      </c>
      <c r="F1248" s="6" t="s">
        <v>1072</v>
      </c>
      <c r="G1248" s="4">
        <v>41879</v>
      </c>
      <c r="I1248" s="1">
        <v>11</v>
      </c>
    </row>
    <row r="1249" spans="2:18">
      <c r="G1249" s="4"/>
    </row>
    <row r="1250" spans="2:18" s="12" customFormat="1">
      <c r="B1250" s="12" t="s">
        <v>748</v>
      </c>
      <c r="C1250" s="13" t="s">
        <v>986</v>
      </c>
      <c r="D1250" s="13" t="s">
        <v>985</v>
      </c>
      <c r="E1250" s="15"/>
      <c r="F1250" s="15">
        <f>SUM(F1251:F1255)</f>
        <v>29</v>
      </c>
      <c r="G1250" s="14">
        <f>G1252</f>
        <v>44776</v>
      </c>
    </row>
    <row r="1251" spans="2:18">
      <c r="C1251" s="2" t="s">
        <v>7</v>
      </c>
      <c r="D1251" s="2" t="s">
        <v>747</v>
      </c>
      <c r="E1251" s="3">
        <v>25</v>
      </c>
      <c r="F1251" s="3">
        <f>15/5</f>
        <v>3</v>
      </c>
      <c r="G1251" s="4">
        <v>44755</v>
      </c>
    </row>
    <row r="1252" spans="2:18">
      <c r="C1252" s="2" t="s">
        <v>8</v>
      </c>
      <c r="D1252" s="2" t="s">
        <v>456</v>
      </c>
      <c r="E1252" s="3">
        <v>90</v>
      </c>
      <c r="F1252" s="3">
        <v>5</v>
      </c>
      <c r="G1252" s="4">
        <v>44776</v>
      </c>
    </row>
    <row r="1253" spans="2:18">
      <c r="C1253" s="2" t="s">
        <v>18</v>
      </c>
      <c r="D1253" s="2" t="s">
        <v>456</v>
      </c>
      <c r="E1253" s="3">
        <v>40</v>
      </c>
      <c r="F1253" s="3">
        <v>10</v>
      </c>
      <c r="G1253" s="4">
        <v>44176</v>
      </c>
    </row>
    <row r="1254" spans="2:18">
      <c r="C1254" s="2" t="s">
        <v>18</v>
      </c>
      <c r="D1254" s="2" t="s">
        <v>424</v>
      </c>
      <c r="E1254" s="3">
        <v>23</v>
      </c>
      <c r="F1254" s="3">
        <v>3</v>
      </c>
      <c r="G1254" s="4">
        <v>44328</v>
      </c>
    </row>
    <row r="1255" spans="2:18">
      <c r="C1255" s="2" t="s">
        <v>7</v>
      </c>
      <c r="D1255" s="2" t="s">
        <v>424</v>
      </c>
      <c r="E1255" s="3">
        <v>16</v>
      </c>
      <c r="F1255" s="3">
        <v>8</v>
      </c>
      <c r="G1255" s="4">
        <v>42995</v>
      </c>
    </row>
    <row r="1256" spans="2:18">
      <c r="G1256" s="4"/>
    </row>
    <row r="1257" spans="2:18" s="12" customFormat="1">
      <c r="B1257" s="12" t="s">
        <v>1071</v>
      </c>
      <c r="C1257" s="13" t="s">
        <v>986</v>
      </c>
      <c r="D1257" s="13" t="s">
        <v>985</v>
      </c>
      <c r="E1257" s="15"/>
      <c r="F1257" s="15">
        <f>SUM(F1258:F1265)</f>
        <v>28.774999999999999</v>
      </c>
      <c r="G1257" s="14">
        <f>+G1258</f>
        <v>44698</v>
      </c>
      <c r="M1257" s="13"/>
      <c r="N1257" s="13"/>
      <c r="O1257" s="13"/>
      <c r="P1257" s="13"/>
      <c r="Q1257" s="13"/>
      <c r="R1257" s="13"/>
    </row>
    <row r="1258" spans="2:18">
      <c r="C1258" s="2" t="s">
        <v>5</v>
      </c>
      <c r="D1258" s="2" t="s">
        <v>785</v>
      </c>
      <c r="E1258" s="3">
        <v>12.8</v>
      </c>
      <c r="F1258" s="3">
        <v>3</v>
      </c>
      <c r="G1258" s="4">
        <v>44698</v>
      </c>
    </row>
    <row r="1259" spans="2:18">
      <c r="C1259" s="2" t="s">
        <v>4</v>
      </c>
      <c r="D1259" s="2" t="s">
        <v>785</v>
      </c>
      <c r="E1259" s="3">
        <v>5.5</v>
      </c>
      <c r="F1259" s="3">
        <v>1</v>
      </c>
      <c r="G1259" s="4">
        <v>44488</v>
      </c>
    </row>
    <row r="1260" spans="2:18">
      <c r="C1260" s="2" t="s">
        <v>4</v>
      </c>
      <c r="D1260" s="2" t="s">
        <v>660</v>
      </c>
      <c r="E1260" s="3">
        <v>8</v>
      </c>
      <c r="F1260" s="3">
        <v>1</v>
      </c>
      <c r="G1260" s="4">
        <v>44677</v>
      </c>
    </row>
    <row r="1261" spans="2:18">
      <c r="C1261" s="2" t="s">
        <v>7</v>
      </c>
      <c r="D1261" s="2" t="s">
        <v>484</v>
      </c>
      <c r="E1261" s="3">
        <v>90</v>
      </c>
      <c r="F1261" s="3">
        <v>6</v>
      </c>
      <c r="G1261" s="4">
        <v>44398</v>
      </c>
    </row>
    <row r="1262" spans="2:18">
      <c r="C1262" s="2" t="s">
        <v>5</v>
      </c>
      <c r="D1262" s="2" t="s">
        <v>484</v>
      </c>
      <c r="E1262" s="3">
        <v>22.8</v>
      </c>
      <c r="F1262" s="3">
        <v>6.4</v>
      </c>
      <c r="G1262" s="4">
        <v>43160</v>
      </c>
    </row>
    <row r="1263" spans="2:18">
      <c r="C1263" s="2" t="s">
        <v>5</v>
      </c>
      <c r="D1263" s="2" t="s">
        <v>320</v>
      </c>
      <c r="E1263" s="3">
        <v>57</v>
      </c>
      <c r="F1263" s="3">
        <v>6</v>
      </c>
      <c r="G1263" s="4">
        <v>44508</v>
      </c>
    </row>
    <row r="1264" spans="2:18">
      <c r="C1264" s="2" t="s">
        <v>7</v>
      </c>
      <c r="D1264" s="2" t="s">
        <v>133</v>
      </c>
      <c r="E1264" s="3">
        <v>23.5</v>
      </c>
      <c r="F1264" s="3">
        <f>13.5/4</f>
        <v>3.375</v>
      </c>
      <c r="G1264" s="4">
        <v>45008</v>
      </c>
    </row>
    <row r="1265" spans="2:7">
      <c r="C1265" s="2" t="s">
        <v>4</v>
      </c>
      <c r="D1265" s="2" t="s">
        <v>133</v>
      </c>
      <c r="E1265" s="3">
        <v>5</v>
      </c>
      <c r="F1265" s="3">
        <v>2</v>
      </c>
      <c r="G1265" s="4">
        <v>44176</v>
      </c>
    </row>
    <row r="1266" spans="2:7">
      <c r="G1266" s="4"/>
    </row>
    <row r="1267" spans="2:7">
      <c r="B1267" s="12" t="s">
        <v>1070</v>
      </c>
      <c r="C1267" s="13" t="s">
        <v>986</v>
      </c>
      <c r="D1267" s="13" t="s">
        <v>985</v>
      </c>
      <c r="E1267" s="15"/>
      <c r="F1267" s="15">
        <f>SUM(F1268:F1274)</f>
        <v>28.566666666666666</v>
      </c>
      <c r="G1267" s="14">
        <f>G1268</f>
        <v>45069</v>
      </c>
    </row>
    <row r="1268" spans="2:7">
      <c r="C1268" s="2" t="s">
        <v>4</v>
      </c>
      <c r="D1268" s="2" t="s">
        <v>691</v>
      </c>
      <c r="E1268" s="3">
        <v>5.3</v>
      </c>
      <c r="F1268" s="3">
        <v>2</v>
      </c>
      <c r="G1268" s="4">
        <v>45069</v>
      </c>
    </row>
    <row r="1269" spans="2:7">
      <c r="C1269" s="2" t="s">
        <v>18</v>
      </c>
      <c r="D1269" s="2" t="s">
        <v>703</v>
      </c>
      <c r="E1269" s="3">
        <v>125</v>
      </c>
      <c r="F1269" s="3">
        <v>9</v>
      </c>
      <c r="G1269" s="4">
        <v>44663</v>
      </c>
    </row>
    <row r="1270" spans="2:7">
      <c r="C1270" s="2" t="s">
        <v>7</v>
      </c>
      <c r="D1270" s="2" t="s">
        <v>703</v>
      </c>
      <c r="E1270" s="3">
        <v>54</v>
      </c>
      <c r="F1270" s="3">
        <f>40/6</f>
        <v>6.666666666666667</v>
      </c>
      <c r="G1270" s="4">
        <v>44089</v>
      </c>
    </row>
    <row r="1271" spans="2:7">
      <c r="C1271" s="2" t="s">
        <v>5</v>
      </c>
      <c r="D1271" s="2" t="s">
        <v>703</v>
      </c>
      <c r="E1271" s="3">
        <v>26</v>
      </c>
      <c r="F1271" s="3">
        <v>4</v>
      </c>
      <c r="G1271" s="4">
        <v>43809</v>
      </c>
    </row>
    <row r="1272" spans="2:7">
      <c r="C1272" s="2" t="s">
        <v>5</v>
      </c>
      <c r="D1272" s="2" t="s">
        <v>703</v>
      </c>
      <c r="E1272" s="3">
        <v>8</v>
      </c>
      <c r="F1272" s="3">
        <v>1</v>
      </c>
      <c r="G1272" s="4">
        <v>43249</v>
      </c>
    </row>
    <row r="1273" spans="2:7">
      <c r="C1273" s="2" t="s">
        <v>5</v>
      </c>
      <c r="D1273" s="2" t="s">
        <v>703</v>
      </c>
      <c r="E1273" s="3">
        <v>0.9</v>
      </c>
      <c r="F1273" s="3">
        <v>0.9</v>
      </c>
      <c r="G1273" s="4">
        <v>42951</v>
      </c>
    </row>
    <row r="1274" spans="2:7">
      <c r="C1274" s="2" t="s">
        <v>5</v>
      </c>
      <c r="D1274" s="2" t="s">
        <v>570</v>
      </c>
      <c r="E1274" s="3">
        <v>20</v>
      </c>
      <c r="F1274" s="3">
        <v>5</v>
      </c>
      <c r="G1274" s="4">
        <v>44671</v>
      </c>
    </row>
    <row r="1275" spans="2:7">
      <c r="G1275" s="4"/>
    </row>
    <row r="1276" spans="2:7">
      <c r="B1276" s="12" t="s">
        <v>1021</v>
      </c>
      <c r="C1276" s="13" t="s">
        <v>986</v>
      </c>
      <c r="D1276" s="13" t="s">
        <v>985</v>
      </c>
      <c r="E1276" s="15"/>
      <c r="F1276" s="15">
        <f>SUM(F1277:F1282)</f>
        <v>29</v>
      </c>
      <c r="G1276" s="14">
        <f>+G1277</f>
        <v>44900</v>
      </c>
    </row>
    <row r="1277" spans="2:7">
      <c r="C1277" s="2" t="s">
        <v>18</v>
      </c>
      <c r="D1277" s="2" t="s">
        <v>974</v>
      </c>
      <c r="E1277" s="3">
        <v>50</v>
      </c>
      <c r="F1277" s="3">
        <v>6</v>
      </c>
      <c r="G1277" s="4">
        <v>44900</v>
      </c>
    </row>
    <row r="1278" spans="2:7">
      <c r="C1278" s="2" t="s">
        <v>7</v>
      </c>
      <c r="D1278" s="2" t="s">
        <v>974</v>
      </c>
      <c r="E1278" s="3">
        <v>35</v>
      </c>
      <c r="F1278" s="3">
        <v>5</v>
      </c>
      <c r="G1278" s="4">
        <v>44543</v>
      </c>
    </row>
    <row r="1279" spans="2:7">
      <c r="C1279" s="2" t="s">
        <v>5</v>
      </c>
      <c r="D1279" s="2" t="s">
        <v>974</v>
      </c>
      <c r="E1279" s="3">
        <v>8.5</v>
      </c>
      <c r="F1279" s="3">
        <v>1</v>
      </c>
      <c r="G1279" s="4">
        <v>44181</v>
      </c>
    </row>
    <row r="1280" spans="2:7">
      <c r="C1280" s="2" t="s">
        <v>7</v>
      </c>
      <c r="D1280" s="2" t="s">
        <v>2180</v>
      </c>
      <c r="E1280" s="3">
        <v>176</v>
      </c>
      <c r="F1280" s="3">
        <v>13</v>
      </c>
      <c r="G1280" s="4">
        <v>44578</v>
      </c>
    </row>
    <row r="1281" spans="2:18">
      <c r="C1281" s="2" t="s">
        <v>5</v>
      </c>
      <c r="D1281" s="2" t="s">
        <v>2180</v>
      </c>
      <c r="E1281" s="3">
        <v>20</v>
      </c>
      <c r="F1281" s="3">
        <v>3</v>
      </c>
      <c r="G1281" s="4">
        <v>44044</v>
      </c>
    </row>
    <row r="1282" spans="2:18">
      <c r="C1282" s="2" t="s">
        <v>4</v>
      </c>
      <c r="D1282" s="2" t="s">
        <v>2180</v>
      </c>
      <c r="E1282" s="3">
        <v>3</v>
      </c>
      <c r="F1282" s="3">
        <v>1</v>
      </c>
      <c r="G1282" s="4">
        <v>42979</v>
      </c>
    </row>
    <row r="1283" spans="2:18">
      <c r="G1283" s="4"/>
    </row>
    <row r="1284" spans="2:18" s="12" customFormat="1">
      <c r="B1284" s="12" t="s">
        <v>1069</v>
      </c>
      <c r="C1284" s="13" t="s">
        <v>986</v>
      </c>
      <c r="D1284" s="13" t="s">
        <v>985</v>
      </c>
      <c r="E1284" s="15"/>
      <c r="F1284" s="15">
        <f>SUM(F1285:F1288)</f>
        <v>28.222222222222221</v>
      </c>
      <c r="G1284" s="14">
        <f>G1285</f>
        <v>44274</v>
      </c>
      <c r="M1284" s="13"/>
      <c r="N1284" s="13"/>
      <c r="O1284" s="13"/>
      <c r="P1284" s="13"/>
      <c r="Q1284" s="13"/>
      <c r="R1284" s="13"/>
    </row>
    <row r="1285" spans="2:18">
      <c r="C1285" s="2" t="s">
        <v>18</v>
      </c>
      <c r="D1285" s="2" t="s">
        <v>203</v>
      </c>
      <c r="E1285" s="3">
        <v>500</v>
      </c>
      <c r="F1285" s="3">
        <f>200/9</f>
        <v>22.222222222222221</v>
      </c>
      <c r="G1285" s="4">
        <v>44274</v>
      </c>
    </row>
    <row r="1286" spans="2:18">
      <c r="C1286" s="2" t="s">
        <v>7</v>
      </c>
      <c r="D1286" s="2" t="s">
        <v>203</v>
      </c>
      <c r="E1286" s="3">
        <v>46</v>
      </c>
      <c r="F1286" s="3">
        <v>6</v>
      </c>
      <c r="G1286" s="4">
        <v>42941</v>
      </c>
    </row>
    <row r="1287" spans="2:18">
      <c r="C1287" s="2" t="s">
        <v>9</v>
      </c>
      <c r="D1287" s="2" t="s">
        <v>153</v>
      </c>
      <c r="E1287" s="3">
        <v>300</v>
      </c>
      <c r="F1287" s="6" t="s">
        <v>1068</v>
      </c>
      <c r="G1287" s="4">
        <v>44271</v>
      </c>
    </row>
    <row r="1288" spans="2:18">
      <c r="C1288" s="2" t="s">
        <v>8</v>
      </c>
      <c r="D1288" s="2" t="s">
        <v>153</v>
      </c>
      <c r="E1288" s="3">
        <v>38</v>
      </c>
      <c r="F1288" s="6" t="s">
        <v>1067</v>
      </c>
      <c r="G1288" s="4">
        <v>43266</v>
      </c>
    </row>
    <row r="1289" spans="2:18">
      <c r="G1289" s="4"/>
    </row>
    <row r="1290" spans="2:18" s="12" customFormat="1">
      <c r="B1290" s="12" t="s">
        <v>957</v>
      </c>
      <c r="C1290" s="13" t="s">
        <v>986</v>
      </c>
      <c r="D1290" s="13" t="s">
        <v>985</v>
      </c>
      <c r="E1290" s="15"/>
      <c r="F1290" s="15">
        <f>SUM(F1291:F1292)</f>
        <v>27.166666666666664</v>
      </c>
      <c r="G1290" s="14">
        <f>G1291</f>
        <v>43682</v>
      </c>
      <c r="M1290" s="13"/>
      <c r="N1290" s="13"/>
      <c r="O1290" s="13"/>
      <c r="P1290" s="13"/>
      <c r="Q1290" s="13"/>
      <c r="R1290" s="13"/>
    </row>
    <row r="1291" spans="2:18">
      <c r="C1291" s="2" t="s">
        <v>18</v>
      </c>
      <c r="D1291" s="2" t="s">
        <v>815</v>
      </c>
      <c r="E1291" s="3">
        <v>100</v>
      </c>
      <c r="F1291" s="3">
        <v>13</v>
      </c>
      <c r="G1291" s="4">
        <v>43682</v>
      </c>
    </row>
    <row r="1292" spans="2:18">
      <c r="C1292" s="2" t="s">
        <v>8</v>
      </c>
      <c r="D1292" s="2" t="s">
        <v>49</v>
      </c>
      <c r="E1292" s="3">
        <v>145</v>
      </c>
      <c r="F1292" s="3">
        <f>85/6</f>
        <v>14.166666666666666</v>
      </c>
      <c r="G1292" s="4">
        <v>43228</v>
      </c>
      <c r="I1292" s="1">
        <v>855</v>
      </c>
      <c r="J1292" s="1">
        <v>4100</v>
      </c>
    </row>
    <row r="1293" spans="2:18">
      <c r="G1293" s="4"/>
    </row>
    <row r="1294" spans="2:18">
      <c r="B1294" s="12" t="s">
        <v>1066</v>
      </c>
      <c r="C1294" s="13" t="s">
        <v>986</v>
      </c>
      <c r="D1294" s="13" t="s">
        <v>985</v>
      </c>
      <c r="E1294" s="15"/>
      <c r="F1294" s="15">
        <f>SUM(F1295:F1303)</f>
        <v>26.5</v>
      </c>
      <c r="G1294" s="14">
        <f>+G1300</f>
        <v>44398</v>
      </c>
    </row>
    <row r="1295" spans="2:18">
      <c r="C1295" s="2" t="s">
        <v>285</v>
      </c>
      <c r="D1295" s="2" t="s">
        <v>775</v>
      </c>
      <c r="E1295" s="3">
        <v>1</v>
      </c>
      <c r="F1295" s="3">
        <v>0.5</v>
      </c>
      <c r="G1295" s="4">
        <v>44287</v>
      </c>
    </row>
    <row r="1296" spans="2:18">
      <c r="C1296" s="2" t="s">
        <v>5</v>
      </c>
      <c r="D1296" s="2" t="s">
        <v>974</v>
      </c>
      <c r="E1296" s="3">
        <v>8.5</v>
      </c>
      <c r="F1296" s="3">
        <v>1</v>
      </c>
      <c r="G1296" s="4">
        <v>44181</v>
      </c>
    </row>
    <row r="1297" spans="2:18">
      <c r="C1297" s="2" t="s">
        <v>5</v>
      </c>
      <c r="D1297" s="2" t="s">
        <v>706</v>
      </c>
      <c r="E1297" s="3">
        <v>20</v>
      </c>
      <c r="F1297" s="3">
        <f>10/4</f>
        <v>2.5</v>
      </c>
      <c r="G1297" s="4">
        <v>44392</v>
      </c>
    </row>
    <row r="1298" spans="2:18">
      <c r="C1298" s="2" t="s">
        <v>4</v>
      </c>
      <c r="D1298" s="2" t="s">
        <v>674</v>
      </c>
      <c r="E1298" s="3">
        <v>4.5</v>
      </c>
      <c r="F1298" s="3">
        <v>0.5</v>
      </c>
      <c r="G1298" s="4">
        <v>44293</v>
      </c>
    </row>
    <row r="1299" spans="2:18">
      <c r="C1299" s="2" t="s">
        <v>7</v>
      </c>
      <c r="D1299" s="2" t="s">
        <v>610</v>
      </c>
      <c r="E1299" s="3">
        <v>54</v>
      </c>
      <c r="F1299" s="3">
        <f>40/5</f>
        <v>8</v>
      </c>
      <c r="G1299" s="4">
        <v>44089</v>
      </c>
    </row>
    <row r="1300" spans="2:18">
      <c r="C1300" s="2" t="s">
        <v>7</v>
      </c>
      <c r="D1300" s="2" t="s">
        <v>484</v>
      </c>
      <c r="E1300" s="3">
        <v>90</v>
      </c>
      <c r="F1300" s="3">
        <v>6</v>
      </c>
      <c r="G1300" s="4">
        <v>44398</v>
      </c>
    </row>
    <row r="1301" spans="2:18">
      <c r="C1301" s="2" t="s">
        <v>7</v>
      </c>
      <c r="D1301" s="2" t="s">
        <v>535</v>
      </c>
      <c r="E1301" s="3">
        <v>32</v>
      </c>
      <c r="F1301" s="3">
        <v>3</v>
      </c>
      <c r="G1301" s="4">
        <v>44364</v>
      </c>
    </row>
    <row r="1302" spans="2:18">
      <c r="C1302" s="2" t="s">
        <v>5</v>
      </c>
      <c r="D1302" s="2" t="s">
        <v>305</v>
      </c>
      <c r="E1302" s="3">
        <v>15</v>
      </c>
      <c r="F1302" s="3">
        <v>2</v>
      </c>
      <c r="G1302" s="4">
        <v>44314</v>
      </c>
    </row>
    <row r="1303" spans="2:18">
      <c r="C1303" s="2" t="s">
        <v>5</v>
      </c>
      <c r="D1303" s="2" t="s">
        <v>2180</v>
      </c>
      <c r="E1303" s="3">
        <v>20</v>
      </c>
      <c r="F1303" s="3">
        <v>3</v>
      </c>
      <c r="G1303" s="4">
        <v>44044</v>
      </c>
    </row>
    <row r="1305" spans="2:18" s="12" customFormat="1">
      <c r="B1305" s="12" t="s">
        <v>639</v>
      </c>
      <c r="C1305" s="13" t="s">
        <v>986</v>
      </c>
      <c r="D1305" s="13" t="s">
        <v>985</v>
      </c>
      <c r="E1305" s="15"/>
      <c r="F1305" s="15">
        <f>SUM(F1306:F1309)</f>
        <v>25</v>
      </c>
      <c r="G1305" s="14">
        <f>G1306</f>
        <v>44930</v>
      </c>
    </row>
    <row r="1306" spans="2:18">
      <c r="C1306" s="2" t="s">
        <v>5</v>
      </c>
      <c r="D1306" s="2" t="s">
        <v>635</v>
      </c>
      <c r="E1306" s="3">
        <v>10</v>
      </c>
      <c r="F1306" s="3">
        <v>4</v>
      </c>
      <c r="G1306" s="4">
        <v>44930</v>
      </c>
      <c r="M1306" s="1"/>
      <c r="N1306" s="1"/>
      <c r="O1306" s="1"/>
      <c r="P1306" s="1"/>
      <c r="Q1306" s="1"/>
      <c r="R1306" s="1"/>
    </row>
    <row r="1307" spans="2:18">
      <c r="C1307" s="2" t="s">
        <v>7</v>
      </c>
      <c r="D1307" s="2" t="s">
        <v>2180</v>
      </c>
      <c r="E1307" s="3">
        <v>176</v>
      </c>
      <c r="F1307" s="3">
        <v>13</v>
      </c>
      <c r="G1307" s="4">
        <v>44578</v>
      </c>
      <c r="M1307" s="1"/>
      <c r="N1307" s="1"/>
      <c r="O1307" s="1"/>
      <c r="P1307" s="1"/>
      <c r="Q1307" s="1"/>
      <c r="R1307" s="1"/>
    </row>
    <row r="1308" spans="2:18">
      <c r="C1308" s="2" t="s">
        <v>5</v>
      </c>
      <c r="D1308" s="2" t="s">
        <v>2180</v>
      </c>
      <c r="E1308" s="3">
        <v>20</v>
      </c>
      <c r="F1308" s="3">
        <v>5</v>
      </c>
      <c r="G1308" s="4">
        <v>44044</v>
      </c>
      <c r="M1308" s="1"/>
      <c r="N1308" s="1"/>
      <c r="O1308" s="1"/>
      <c r="P1308" s="1"/>
      <c r="Q1308" s="1"/>
      <c r="R1308" s="1"/>
    </row>
    <row r="1309" spans="2:18">
      <c r="C1309" s="2" t="s">
        <v>5</v>
      </c>
      <c r="D1309" s="2" t="s">
        <v>2180</v>
      </c>
      <c r="E1309" s="3">
        <v>20</v>
      </c>
      <c r="F1309" s="3">
        <v>3</v>
      </c>
      <c r="G1309" s="4">
        <v>43647</v>
      </c>
      <c r="M1309" s="1"/>
      <c r="N1309" s="1"/>
      <c r="O1309" s="1"/>
      <c r="P1309" s="1"/>
      <c r="Q1309" s="1"/>
      <c r="R1309" s="1"/>
    </row>
    <row r="1310" spans="2:18">
      <c r="G1310" s="4"/>
      <c r="M1310" s="1"/>
      <c r="N1310" s="1"/>
      <c r="O1310" s="1"/>
      <c r="P1310" s="1"/>
      <c r="Q1310" s="1"/>
      <c r="R1310" s="1"/>
    </row>
    <row r="1311" spans="2:18" s="12" customFormat="1">
      <c r="B1311" s="12" t="s">
        <v>906</v>
      </c>
      <c r="C1311" s="13" t="s">
        <v>986</v>
      </c>
      <c r="D1311" s="13" t="s">
        <v>985</v>
      </c>
      <c r="E1311" s="15"/>
      <c r="F1311" s="15">
        <f>SUM(F1312:F1313)</f>
        <v>25</v>
      </c>
      <c r="G1311" s="14">
        <f>G1312</f>
        <v>44650</v>
      </c>
      <c r="M1311" s="13"/>
      <c r="N1311" s="13"/>
      <c r="O1311" s="13"/>
      <c r="P1311" s="13"/>
      <c r="Q1311" s="13"/>
      <c r="R1311" s="13"/>
    </row>
    <row r="1312" spans="2:18">
      <c r="C1312" s="2" t="s">
        <v>7</v>
      </c>
      <c r="D1312" s="2" t="s">
        <v>905</v>
      </c>
      <c r="E1312" s="3">
        <v>40</v>
      </c>
      <c r="F1312" s="3">
        <v>5</v>
      </c>
      <c r="G1312" s="4">
        <v>44650</v>
      </c>
    </row>
    <row r="1313" spans="2:18">
      <c r="C1313" s="2" t="s">
        <v>8</v>
      </c>
      <c r="D1313" s="2" t="s">
        <v>2186</v>
      </c>
      <c r="E1313" s="3">
        <v>200</v>
      </c>
      <c r="F1313" s="3">
        <v>20</v>
      </c>
      <c r="G1313" s="4">
        <v>44237</v>
      </c>
    </row>
    <row r="1314" spans="2:18">
      <c r="G1314" s="4"/>
    </row>
    <row r="1315" spans="2:18" s="12" customFormat="1">
      <c r="B1315" s="12" t="s">
        <v>818</v>
      </c>
      <c r="C1315" s="13" t="s">
        <v>986</v>
      </c>
      <c r="D1315" s="13" t="s">
        <v>985</v>
      </c>
      <c r="E1315" s="15"/>
      <c r="F1315" s="15">
        <f>SUM(F1316:F1317)</f>
        <v>23.6</v>
      </c>
      <c r="G1315" s="14">
        <f>G1316</f>
        <v>44623</v>
      </c>
      <c r="M1315" s="13"/>
      <c r="N1315" s="13"/>
      <c r="O1315" s="13"/>
      <c r="P1315" s="13"/>
      <c r="Q1315" s="13"/>
      <c r="R1315" s="13"/>
    </row>
    <row r="1316" spans="2:18">
      <c r="C1316" s="2" t="s">
        <v>4</v>
      </c>
      <c r="D1316" s="2" t="s">
        <v>712</v>
      </c>
      <c r="E1316" s="3">
        <v>12.5</v>
      </c>
      <c r="F1316" s="3">
        <f>8/5</f>
        <v>1.6</v>
      </c>
      <c r="G1316" s="4">
        <v>44623</v>
      </c>
    </row>
    <row r="1317" spans="2:18">
      <c r="C1317" s="2" t="s">
        <v>8</v>
      </c>
      <c r="D1317" s="2" t="s">
        <v>41</v>
      </c>
      <c r="E1317" s="3">
        <v>170</v>
      </c>
      <c r="F1317" s="3">
        <f>110/5</f>
        <v>22</v>
      </c>
      <c r="G1317" s="4">
        <v>44255</v>
      </c>
      <c r="I1317" s="1">
        <v>830</v>
      </c>
      <c r="J1317" s="1">
        <v>2000</v>
      </c>
    </row>
    <row r="1318" spans="2:18">
      <c r="G1318" s="4"/>
    </row>
    <row r="1319" spans="2:18">
      <c r="B1319" s="12" t="s">
        <v>1057</v>
      </c>
      <c r="C1319" s="13" t="s">
        <v>986</v>
      </c>
      <c r="D1319" s="13" t="s">
        <v>985</v>
      </c>
      <c r="E1319" s="15"/>
      <c r="F1319" s="15">
        <f>SUM(F1320:F1327)</f>
        <v>24.3</v>
      </c>
      <c r="G1319" s="14">
        <f>G1323</f>
        <v>45090</v>
      </c>
    </row>
    <row r="1320" spans="2:18">
      <c r="C1320" s="2" t="s">
        <v>7</v>
      </c>
      <c r="D1320" s="2" t="s">
        <v>908</v>
      </c>
      <c r="E1320" s="3">
        <v>40</v>
      </c>
      <c r="F1320" s="3">
        <v>5</v>
      </c>
      <c r="G1320" s="4">
        <v>44728</v>
      </c>
    </row>
    <row r="1321" spans="2:18">
      <c r="C1321" s="2" t="s">
        <v>5</v>
      </c>
      <c r="D1321" s="2" t="s">
        <v>908</v>
      </c>
      <c r="E1321" s="3">
        <v>18.600000000000001</v>
      </c>
      <c r="F1321" s="3">
        <f>8.6/2</f>
        <v>4.3</v>
      </c>
      <c r="G1321" s="4">
        <v>44112</v>
      </c>
    </row>
    <row r="1322" spans="2:18">
      <c r="C1322" s="2" t="s">
        <v>4</v>
      </c>
      <c r="D1322" s="2" t="s">
        <v>742</v>
      </c>
      <c r="E1322" s="3">
        <v>1.5</v>
      </c>
      <c r="F1322" s="3">
        <v>0.5</v>
      </c>
      <c r="G1322" s="4">
        <v>43979</v>
      </c>
    </row>
    <row r="1323" spans="2:18">
      <c r="C1323" s="2" t="s">
        <v>4</v>
      </c>
      <c r="D1323" s="2" t="s">
        <v>717</v>
      </c>
      <c r="E1323" s="3">
        <v>113</v>
      </c>
      <c r="F1323" s="3">
        <v>8</v>
      </c>
      <c r="G1323" s="4">
        <v>45090</v>
      </c>
    </row>
    <row r="1324" spans="2:18">
      <c r="C1324" s="2" t="s">
        <v>5</v>
      </c>
      <c r="D1324" s="2" t="s">
        <v>595</v>
      </c>
      <c r="E1324" s="3">
        <v>20</v>
      </c>
      <c r="F1324" s="3">
        <f>15/6</f>
        <v>2.5</v>
      </c>
      <c r="G1324" s="4">
        <v>44801</v>
      </c>
    </row>
    <row r="1325" spans="2:18">
      <c r="C1325" s="2" t="s">
        <v>4</v>
      </c>
      <c r="D1325" s="2" t="s">
        <v>1056</v>
      </c>
      <c r="E1325" s="3">
        <v>2</v>
      </c>
      <c r="F1325" s="3">
        <v>0.5</v>
      </c>
      <c r="G1325" s="4">
        <v>43876</v>
      </c>
    </row>
    <row r="1326" spans="2:18">
      <c r="C1326" s="2" t="s">
        <v>5</v>
      </c>
      <c r="D1326" s="2" t="s">
        <v>2180</v>
      </c>
      <c r="E1326" s="3">
        <v>20</v>
      </c>
      <c r="F1326" s="3">
        <v>3</v>
      </c>
      <c r="G1326" s="4">
        <v>43647</v>
      </c>
    </row>
    <row r="1327" spans="2:18">
      <c r="C1327" s="2" t="s">
        <v>4</v>
      </c>
      <c r="D1327" s="2" t="s">
        <v>2180</v>
      </c>
      <c r="E1327" s="3">
        <v>3</v>
      </c>
      <c r="F1327" s="3">
        <v>0.5</v>
      </c>
      <c r="G1327" s="4">
        <v>42979</v>
      </c>
    </row>
    <row r="1328" spans="2:18">
      <c r="G1328" s="4"/>
    </row>
    <row r="1329" spans="2:11">
      <c r="B1329" s="12" t="s">
        <v>1065</v>
      </c>
      <c r="C1329" s="13" t="s">
        <v>986</v>
      </c>
      <c r="D1329" s="13" t="s">
        <v>985</v>
      </c>
      <c r="F1329" s="15">
        <f>+F1330+F1331</f>
        <v>23.333333333333336</v>
      </c>
      <c r="G1329" s="14">
        <f>+G1330</f>
        <v>44699</v>
      </c>
      <c r="I1329" s="1" t="s">
        <v>1</v>
      </c>
      <c r="J1329" s="1" t="s">
        <v>1</v>
      </c>
      <c r="K1329" s="1" t="s">
        <v>1</v>
      </c>
    </row>
    <row r="1330" spans="2:11">
      <c r="C1330" s="2" t="s">
        <v>18</v>
      </c>
      <c r="D1330" s="2" t="s">
        <v>1064</v>
      </c>
      <c r="E1330" s="3">
        <v>100</v>
      </c>
      <c r="F1330" s="3">
        <v>15</v>
      </c>
      <c r="G1330" s="4">
        <v>44699</v>
      </c>
    </row>
    <row r="1331" spans="2:11">
      <c r="C1331" s="2" t="s">
        <v>7</v>
      </c>
      <c r="D1331" s="2" t="s">
        <v>1064</v>
      </c>
      <c r="E1331" s="3">
        <v>100</v>
      </c>
      <c r="F1331" s="3">
        <f>25/3</f>
        <v>8.3333333333333339</v>
      </c>
      <c r="G1331" s="4">
        <v>44286</v>
      </c>
    </row>
    <row r="1332" spans="2:11">
      <c r="G1332" s="4"/>
    </row>
    <row r="1333" spans="2:11">
      <c r="B1333" s="12" t="s">
        <v>1063</v>
      </c>
      <c r="C1333" s="13" t="s">
        <v>986</v>
      </c>
      <c r="D1333" s="13" t="s">
        <v>985</v>
      </c>
      <c r="F1333" s="15">
        <f>SUM(F1334:F1341)</f>
        <v>23.366666666666667</v>
      </c>
      <c r="G1333" s="14">
        <f>G1334</f>
        <v>44690</v>
      </c>
    </row>
    <row r="1334" spans="2:11">
      <c r="C1334" s="2" t="s">
        <v>18</v>
      </c>
      <c r="D1334" s="2" t="s">
        <v>940</v>
      </c>
      <c r="E1334" s="3">
        <v>100</v>
      </c>
      <c r="F1334" s="3">
        <v>9</v>
      </c>
      <c r="G1334" s="4">
        <v>44690</v>
      </c>
    </row>
    <row r="1335" spans="2:11">
      <c r="C1335" s="2" t="s">
        <v>7</v>
      </c>
      <c r="D1335" s="2" t="s">
        <v>940</v>
      </c>
      <c r="E1335" s="3">
        <v>40</v>
      </c>
      <c r="F1335" s="3">
        <f>20/3</f>
        <v>6.666666666666667</v>
      </c>
      <c r="G1335" s="4">
        <v>44327</v>
      </c>
    </row>
    <row r="1336" spans="2:11">
      <c r="C1336" s="2" t="s">
        <v>5</v>
      </c>
      <c r="D1336" s="2" t="s">
        <v>940</v>
      </c>
      <c r="E1336" s="3">
        <v>15</v>
      </c>
      <c r="F1336" s="3">
        <v>3</v>
      </c>
      <c r="G1336" s="4">
        <v>43816</v>
      </c>
    </row>
    <row r="1337" spans="2:11">
      <c r="C1337" s="2" t="s">
        <v>4</v>
      </c>
      <c r="D1337" s="2" t="s">
        <v>940</v>
      </c>
      <c r="E1337" s="3">
        <v>4</v>
      </c>
      <c r="F1337" s="3">
        <v>1</v>
      </c>
      <c r="G1337" s="4">
        <v>43243</v>
      </c>
    </row>
    <row r="1338" spans="2:11">
      <c r="C1338" s="2" t="s">
        <v>560</v>
      </c>
      <c r="D1338" s="2" t="s">
        <v>940</v>
      </c>
      <c r="E1338" s="3">
        <v>1.2</v>
      </c>
      <c r="F1338" s="3">
        <v>0.2</v>
      </c>
      <c r="G1338" s="4">
        <v>42799</v>
      </c>
    </row>
    <row r="1339" spans="2:11">
      <c r="C1339" s="2" t="s">
        <v>5</v>
      </c>
      <c r="D1339" s="2" t="s">
        <v>657</v>
      </c>
      <c r="E1339" s="3">
        <v>13</v>
      </c>
      <c r="F1339" s="3">
        <v>2</v>
      </c>
      <c r="G1339" s="4">
        <v>44642</v>
      </c>
    </row>
    <row r="1340" spans="2:11">
      <c r="C1340" s="2" t="s">
        <v>4</v>
      </c>
      <c r="D1340" s="2" t="s">
        <v>657</v>
      </c>
      <c r="E1340" s="3">
        <v>3.5</v>
      </c>
      <c r="F1340" s="3">
        <v>1</v>
      </c>
      <c r="G1340" s="4">
        <v>44124</v>
      </c>
    </row>
    <row r="1341" spans="2:11">
      <c r="C1341" s="2" t="s">
        <v>4</v>
      </c>
      <c r="D1341" s="2" t="s">
        <v>490</v>
      </c>
      <c r="E1341" s="3">
        <v>2</v>
      </c>
      <c r="F1341" s="3">
        <v>0.5</v>
      </c>
      <c r="G1341" s="4">
        <v>43876</v>
      </c>
    </row>
    <row r="1342" spans="2:11">
      <c r="G1342" s="4"/>
    </row>
    <row r="1343" spans="2:11">
      <c r="B1343" s="12" t="s">
        <v>1062</v>
      </c>
      <c r="C1343" s="13" t="s">
        <v>986</v>
      </c>
      <c r="D1343" s="13" t="s">
        <v>985</v>
      </c>
      <c r="E1343" s="15"/>
      <c r="F1343" s="15">
        <f>SUM(F1344:F1345)</f>
        <v>23</v>
      </c>
      <c r="G1343" s="14">
        <f>G1344</f>
        <v>44796</v>
      </c>
    </row>
    <row r="1344" spans="2:11">
      <c r="C1344" s="2" t="s">
        <v>1061</v>
      </c>
      <c r="D1344" s="2" t="s">
        <v>844</v>
      </c>
      <c r="E1344" s="3">
        <v>99</v>
      </c>
      <c r="F1344" s="3">
        <v>20</v>
      </c>
      <c r="G1344" s="4">
        <v>44796</v>
      </c>
    </row>
    <row r="1345" spans="2:18">
      <c r="C1345" s="2" t="s">
        <v>5</v>
      </c>
      <c r="D1345" s="2" t="s">
        <v>700</v>
      </c>
      <c r="E1345" s="3">
        <v>29</v>
      </c>
      <c r="F1345" s="3">
        <v>3</v>
      </c>
      <c r="G1345" s="4">
        <v>44783</v>
      </c>
    </row>
    <row r="1346" spans="2:18">
      <c r="G1346" s="4"/>
    </row>
    <row r="1347" spans="2:18" s="12" customFormat="1">
      <c r="B1347" s="12" t="s">
        <v>1060</v>
      </c>
      <c r="C1347" s="13" t="s">
        <v>986</v>
      </c>
      <c r="D1347" s="13" t="s">
        <v>985</v>
      </c>
      <c r="E1347" s="15"/>
      <c r="F1347" s="15">
        <f>SUM(F1348:F1351)</f>
        <v>22.83</v>
      </c>
      <c r="G1347" s="14">
        <f>G1349</f>
        <v>44419</v>
      </c>
      <c r="M1347" s="13"/>
      <c r="N1347" s="13"/>
      <c r="O1347" s="13"/>
      <c r="P1347" s="13"/>
      <c r="Q1347" s="13"/>
      <c r="R1347" s="13"/>
    </row>
    <row r="1348" spans="2:18">
      <c r="C1348" s="2" t="s">
        <v>5</v>
      </c>
      <c r="D1348" s="2" t="s">
        <v>979</v>
      </c>
      <c r="E1348" s="3">
        <v>5</v>
      </c>
      <c r="F1348" s="3">
        <v>1</v>
      </c>
      <c r="G1348" s="4">
        <v>43251</v>
      </c>
    </row>
    <row r="1349" spans="2:18">
      <c r="C1349" s="2" t="s">
        <v>8</v>
      </c>
      <c r="D1349" s="2" t="s">
        <v>530</v>
      </c>
      <c r="E1349" s="3">
        <v>100</v>
      </c>
      <c r="F1349" s="3">
        <f>50/4</f>
        <v>12.5</v>
      </c>
      <c r="G1349" s="4">
        <v>44419</v>
      </c>
    </row>
    <row r="1350" spans="2:18">
      <c r="C1350" s="2" t="s">
        <v>7</v>
      </c>
      <c r="D1350" s="2" t="s">
        <v>484</v>
      </c>
      <c r="E1350" s="3">
        <v>90</v>
      </c>
      <c r="F1350" s="3">
        <v>6</v>
      </c>
      <c r="G1350" s="4">
        <v>44398</v>
      </c>
    </row>
    <row r="1351" spans="2:18">
      <c r="C1351" s="2" t="s">
        <v>5</v>
      </c>
      <c r="D1351" s="2" t="s">
        <v>484</v>
      </c>
      <c r="E1351" s="3">
        <v>22.8</v>
      </c>
      <c r="F1351" s="3">
        <v>3.33</v>
      </c>
      <c r="G1351" s="4">
        <v>43160</v>
      </c>
    </row>
    <row r="1352" spans="2:18">
      <c r="G1352" s="4"/>
    </row>
    <row r="1353" spans="2:18" s="12" customFormat="1">
      <c r="B1353" s="12" t="s">
        <v>1054</v>
      </c>
      <c r="C1353" s="13" t="s">
        <v>986</v>
      </c>
      <c r="D1353" s="13" t="s">
        <v>985</v>
      </c>
      <c r="E1353" s="15"/>
      <c r="F1353" s="15">
        <f>SUM(F1354:F1357)</f>
        <v>22.933333333333334</v>
      </c>
      <c r="G1353" s="14">
        <f>G1355</f>
        <v>44851</v>
      </c>
      <c r="M1353" s="13"/>
      <c r="N1353" s="13"/>
      <c r="O1353" s="13"/>
      <c r="P1353" s="13"/>
      <c r="Q1353" s="13"/>
      <c r="R1353" s="13"/>
    </row>
    <row r="1354" spans="2:18">
      <c r="C1354" s="2" t="s">
        <v>5</v>
      </c>
      <c r="D1354" s="2" t="s">
        <v>1017</v>
      </c>
      <c r="E1354" s="3">
        <v>25</v>
      </c>
      <c r="F1354" s="3">
        <v>5</v>
      </c>
      <c r="G1354" s="4">
        <v>44699</v>
      </c>
    </row>
    <row r="1355" spans="2:18">
      <c r="C1355" s="2" t="s">
        <v>5</v>
      </c>
      <c r="D1355" s="2" t="s">
        <v>288</v>
      </c>
      <c r="E1355" s="3">
        <v>32</v>
      </c>
      <c r="F1355" s="3">
        <v>11</v>
      </c>
      <c r="G1355" s="4">
        <v>44851</v>
      </c>
    </row>
    <row r="1356" spans="2:18">
      <c r="C1356" s="2" t="s">
        <v>5</v>
      </c>
      <c r="D1356" s="2" t="s">
        <v>288</v>
      </c>
      <c r="E1356" s="3">
        <v>26</v>
      </c>
      <c r="F1356" s="3">
        <v>4.333333333333333</v>
      </c>
      <c r="G1356" s="4">
        <v>44453</v>
      </c>
    </row>
    <row r="1357" spans="2:18">
      <c r="C1357" s="2" t="s">
        <v>4</v>
      </c>
      <c r="D1357" s="2" t="s">
        <v>288</v>
      </c>
      <c r="E1357" s="3">
        <v>6.2</v>
      </c>
      <c r="F1357" s="3">
        <v>2.6</v>
      </c>
      <c r="G1357" s="4">
        <v>44201</v>
      </c>
    </row>
    <row r="1358" spans="2:18">
      <c r="G1358" s="4"/>
    </row>
    <row r="1359" spans="2:18" s="12" customFormat="1">
      <c r="B1359" s="12" t="s">
        <v>1059</v>
      </c>
      <c r="C1359" s="13" t="s">
        <v>986</v>
      </c>
      <c r="D1359" s="13" t="s">
        <v>985</v>
      </c>
      <c r="E1359" s="15"/>
      <c r="F1359" s="15">
        <f>SUM(F1360:F1364)</f>
        <v>22.633333333333333</v>
      </c>
      <c r="G1359" s="14">
        <f>G1361</f>
        <v>44882</v>
      </c>
      <c r="M1359" s="13"/>
      <c r="N1359" s="13"/>
      <c r="O1359" s="13"/>
      <c r="P1359" s="13"/>
      <c r="Q1359" s="13"/>
      <c r="R1359" s="13"/>
    </row>
    <row r="1360" spans="2:18">
      <c r="C1360" s="2" t="s">
        <v>5</v>
      </c>
      <c r="D1360" s="2" t="s">
        <v>905</v>
      </c>
      <c r="E1360" s="3">
        <v>14</v>
      </c>
      <c r="F1360" s="3">
        <f>9/5</f>
        <v>1.8</v>
      </c>
      <c r="G1360" s="4">
        <v>44131</v>
      </c>
    </row>
    <row r="1361" spans="2:18">
      <c r="C1361" s="2" t="s">
        <v>4</v>
      </c>
      <c r="D1361" s="2" t="s">
        <v>926</v>
      </c>
      <c r="E1361" s="3">
        <v>42</v>
      </c>
      <c r="F1361" s="3">
        <f>22/3</f>
        <v>7.333333333333333</v>
      </c>
      <c r="G1361" s="4">
        <v>44882</v>
      </c>
    </row>
    <row r="1362" spans="2:18">
      <c r="C1362" s="2" t="s">
        <v>5</v>
      </c>
      <c r="D1362" s="2" t="s">
        <v>683</v>
      </c>
      <c r="E1362" s="3">
        <v>14.5</v>
      </c>
      <c r="F1362" s="3">
        <v>2.5</v>
      </c>
      <c r="G1362" s="4">
        <v>44389</v>
      </c>
    </row>
    <row r="1363" spans="2:18">
      <c r="C1363" s="2" t="s">
        <v>18</v>
      </c>
      <c r="D1363" s="2" t="s">
        <v>498</v>
      </c>
      <c r="E1363" s="3">
        <v>67.2</v>
      </c>
      <c r="F1363" s="3">
        <v>10</v>
      </c>
      <c r="G1363" s="4">
        <v>42943</v>
      </c>
    </row>
    <row r="1364" spans="2:18">
      <c r="C1364" s="2" t="s">
        <v>4</v>
      </c>
      <c r="D1364" s="2" t="s">
        <v>133</v>
      </c>
      <c r="E1364" s="3">
        <v>5</v>
      </c>
      <c r="F1364" s="3">
        <v>1</v>
      </c>
      <c r="G1364" s="4">
        <v>44176</v>
      </c>
    </row>
    <row r="1365" spans="2:18">
      <c r="G1365" s="4"/>
    </row>
    <row r="1366" spans="2:18">
      <c r="B1366" s="12" t="s">
        <v>1058</v>
      </c>
      <c r="C1366" s="13" t="s">
        <v>986</v>
      </c>
      <c r="D1366" s="13" t="s">
        <v>985</v>
      </c>
      <c r="E1366" s="15"/>
      <c r="F1366" s="15">
        <f>SUM(F1367:F1371)</f>
        <v>21.333333333333336</v>
      </c>
      <c r="G1366" s="14">
        <f>G1371</f>
        <v>45007</v>
      </c>
    </row>
    <row r="1367" spans="2:18">
      <c r="C1367" s="2" t="s">
        <v>7</v>
      </c>
      <c r="D1367" s="2" t="s">
        <v>704</v>
      </c>
      <c r="E1367" s="3">
        <v>50</v>
      </c>
      <c r="F1367" s="3">
        <f>25/3</f>
        <v>8.3333333333333339</v>
      </c>
      <c r="G1367" s="4">
        <v>44643</v>
      </c>
    </row>
    <row r="1368" spans="2:18">
      <c r="C1368" s="2" t="s">
        <v>5</v>
      </c>
      <c r="D1368" s="2" t="s">
        <v>704</v>
      </c>
      <c r="E1368" s="3">
        <v>18.5</v>
      </c>
      <c r="F1368" s="3">
        <f>10/4</f>
        <v>2.5</v>
      </c>
      <c r="G1368" s="4">
        <v>44242</v>
      </c>
    </row>
    <row r="1369" spans="2:18">
      <c r="C1369" s="2" t="s">
        <v>4</v>
      </c>
      <c r="D1369" s="2" t="s">
        <v>704</v>
      </c>
      <c r="E1369" s="3">
        <v>3.5</v>
      </c>
      <c r="F1369" s="3">
        <v>1.5</v>
      </c>
      <c r="G1369" s="4">
        <v>43631</v>
      </c>
    </row>
    <row r="1370" spans="2:18">
      <c r="C1370" s="2" t="s">
        <v>5</v>
      </c>
      <c r="D1370" s="2" t="s">
        <v>1003</v>
      </c>
      <c r="E1370" s="3">
        <v>25</v>
      </c>
      <c r="F1370" s="3">
        <v>4</v>
      </c>
      <c r="G1370" s="4">
        <v>44615</v>
      </c>
    </row>
    <row r="1371" spans="2:18">
      <c r="C1371" s="2" t="s">
        <v>4</v>
      </c>
      <c r="D1371" s="2" t="s">
        <v>646</v>
      </c>
      <c r="E1371" s="3">
        <v>10.6</v>
      </c>
      <c r="F1371" s="3">
        <v>5</v>
      </c>
      <c r="G1371" s="4">
        <v>45007</v>
      </c>
    </row>
    <row r="1372" spans="2:18">
      <c r="G1372" s="4"/>
    </row>
    <row r="1373" spans="2:18" s="12" customFormat="1">
      <c r="B1373" s="12" t="s">
        <v>1055</v>
      </c>
      <c r="C1373" s="13" t="s">
        <v>986</v>
      </c>
      <c r="D1373" s="13" t="s">
        <v>985</v>
      </c>
      <c r="E1373" s="15"/>
      <c r="F1373" s="15">
        <f>SUM(F1374:F1376)</f>
        <v>21.2</v>
      </c>
      <c r="G1373" s="14">
        <f>G1376</f>
        <v>44880</v>
      </c>
    </row>
    <row r="1374" spans="2:18">
      <c r="C1374" s="2" t="s">
        <v>9</v>
      </c>
      <c r="D1374" s="2" t="s">
        <v>617</v>
      </c>
      <c r="E1374" s="3">
        <v>132</v>
      </c>
      <c r="F1374" s="3">
        <f>72/10</f>
        <v>7.2</v>
      </c>
      <c r="G1374" s="4">
        <v>44215</v>
      </c>
      <c r="M1374" s="1"/>
      <c r="N1374" s="1"/>
      <c r="O1374" s="1"/>
      <c r="P1374" s="1"/>
      <c r="Q1374" s="1"/>
      <c r="R1374" s="1"/>
    </row>
    <row r="1375" spans="2:18">
      <c r="C1375" s="2" t="s">
        <v>8</v>
      </c>
      <c r="D1375" s="2" t="s">
        <v>617</v>
      </c>
      <c r="E1375" s="3">
        <v>42</v>
      </c>
      <c r="F1375" s="3">
        <f>30/5</f>
        <v>6</v>
      </c>
      <c r="G1375" s="4">
        <v>44153</v>
      </c>
      <c r="M1375" s="1"/>
      <c r="N1375" s="1"/>
      <c r="O1375" s="1"/>
      <c r="P1375" s="1"/>
      <c r="Q1375" s="1"/>
      <c r="R1375" s="1"/>
    </row>
    <row r="1376" spans="2:18">
      <c r="C1376" s="2" t="s">
        <v>8</v>
      </c>
      <c r="D1376" s="2" t="s">
        <v>136</v>
      </c>
      <c r="E1376" s="3">
        <v>135</v>
      </c>
      <c r="F1376" s="3">
        <v>8</v>
      </c>
      <c r="G1376" s="4">
        <v>44880</v>
      </c>
      <c r="I1376" s="1">
        <v>615</v>
      </c>
      <c r="M1376" s="1"/>
      <c r="N1376" s="1"/>
      <c r="O1376" s="1"/>
      <c r="P1376" s="1"/>
      <c r="Q1376" s="1"/>
      <c r="R1376" s="1"/>
    </row>
    <row r="1377" spans="2:18">
      <c r="G1377" s="4"/>
      <c r="M1377" s="1"/>
      <c r="N1377" s="1"/>
      <c r="O1377" s="1"/>
      <c r="P1377" s="1"/>
      <c r="Q1377" s="1"/>
      <c r="R1377" s="1"/>
    </row>
    <row r="1378" spans="2:18" s="12" customFormat="1">
      <c r="B1378" s="12" t="s">
        <v>956</v>
      </c>
      <c r="C1378" s="13" t="s">
        <v>986</v>
      </c>
      <c r="D1378" s="13" t="s">
        <v>985</v>
      </c>
      <c r="E1378" s="15"/>
      <c r="F1378" s="15">
        <f>SUM(F1379:F1380)</f>
        <v>20.166666666666668</v>
      </c>
      <c r="G1378" s="14">
        <f>G1379</f>
        <v>44056</v>
      </c>
      <c r="M1378" s="13"/>
      <c r="N1378" s="13"/>
      <c r="O1378" s="13"/>
      <c r="P1378" s="13"/>
      <c r="Q1378" s="13"/>
      <c r="R1378" s="13"/>
    </row>
    <row r="1379" spans="2:18">
      <c r="C1379" s="2" t="s">
        <v>7</v>
      </c>
      <c r="D1379" s="2" t="s">
        <v>438</v>
      </c>
      <c r="E1379" s="3">
        <v>13</v>
      </c>
      <c r="F1379" s="3">
        <v>13</v>
      </c>
      <c r="G1379" s="4">
        <v>44056</v>
      </c>
    </row>
    <row r="1380" spans="2:18">
      <c r="C1380" s="2" t="s">
        <v>5</v>
      </c>
      <c r="D1380" s="2" t="s">
        <v>82</v>
      </c>
      <c r="E1380" s="3">
        <v>43</v>
      </c>
      <c r="F1380" s="3">
        <f>+E1380/6</f>
        <v>7.166666666666667</v>
      </c>
      <c r="G1380" s="4">
        <v>43622</v>
      </c>
    </row>
    <row r="1381" spans="2:18">
      <c r="G1381" s="4"/>
    </row>
    <row r="1382" spans="2:18">
      <c r="B1382" s="12" t="s">
        <v>1053</v>
      </c>
      <c r="C1382" s="13" t="s">
        <v>986</v>
      </c>
      <c r="D1382" s="13" t="s">
        <v>985</v>
      </c>
      <c r="F1382" s="15">
        <f>SUM(F1383:F1390)</f>
        <v>19.3</v>
      </c>
      <c r="G1382" s="14">
        <f>G1388</f>
        <v>45092</v>
      </c>
    </row>
    <row r="1383" spans="2:18">
      <c r="C1383" s="2" t="s">
        <v>7</v>
      </c>
      <c r="D1383" s="2" t="s">
        <v>808</v>
      </c>
      <c r="E1383" s="3">
        <v>50</v>
      </c>
      <c r="F1383" s="3">
        <v>6</v>
      </c>
      <c r="G1383" s="4">
        <v>45036</v>
      </c>
    </row>
    <row r="1384" spans="2:18">
      <c r="C1384" s="2" t="s">
        <v>5</v>
      </c>
      <c r="D1384" s="2" t="s">
        <v>808</v>
      </c>
      <c r="E1384" s="3">
        <v>16.5</v>
      </c>
      <c r="F1384" s="3">
        <v>1</v>
      </c>
      <c r="G1384" s="4">
        <v>44614</v>
      </c>
    </row>
    <row r="1385" spans="2:18">
      <c r="C1385" s="2" t="s">
        <v>4</v>
      </c>
      <c r="D1385" s="2" t="s">
        <v>808</v>
      </c>
      <c r="E1385" s="3">
        <v>1.2</v>
      </c>
      <c r="F1385" s="3">
        <v>0.5</v>
      </c>
      <c r="G1385" s="4">
        <v>44044</v>
      </c>
    </row>
    <row r="1386" spans="2:18">
      <c r="C1386" s="2" t="s">
        <v>7</v>
      </c>
      <c r="D1386" s="2" t="s">
        <v>905</v>
      </c>
      <c r="E1386" s="3">
        <v>40</v>
      </c>
      <c r="F1386" s="3">
        <f>30/6</f>
        <v>5</v>
      </c>
      <c r="G1386" s="4">
        <v>44650</v>
      </c>
    </row>
    <row r="1387" spans="2:18">
      <c r="C1387" s="2" t="s">
        <v>5</v>
      </c>
      <c r="D1387" s="2" t="s">
        <v>905</v>
      </c>
      <c r="E1387" s="3">
        <v>14</v>
      </c>
      <c r="F1387" s="3">
        <f>9/5</f>
        <v>1.8</v>
      </c>
      <c r="G1387" s="4">
        <v>44131</v>
      </c>
    </row>
    <row r="1388" spans="2:18">
      <c r="C1388" s="2" t="s">
        <v>4</v>
      </c>
      <c r="D1388" s="2" t="s">
        <v>721</v>
      </c>
      <c r="E1388" s="3">
        <v>5.5</v>
      </c>
      <c r="F1388" s="3">
        <v>1</v>
      </c>
      <c r="G1388" s="4">
        <v>45092</v>
      </c>
    </row>
    <row r="1389" spans="2:18">
      <c r="C1389" s="2" t="s">
        <v>4</v>
      </c>
      <c r="D1389" s="2" t="s">
        <v>663</v>
      </c>
      <c r="E1389" s="3">
        <v>12</v>
      </c>
      <c r="F1389" s="3">
        <v>2</v>
      </c>
      <c r="G1389" s="4">
        <v>44971</v>
      </c>
    </row>
    <row r="1390" spans="2:18">
      <c r="C1390" s="2" t="s">
        <v>4</v>
      </c>
      <c r="D1390" s="2" t="s">
        <v>663</v>
      </c>
      <c r="E1390" s="3">
        <v>5</v>
      </c>
      <c r="F1390" s="3">
        <v>2</v>
      </c>
      <c r="G1390" s="4">
        <v>44769</v>
      </c>
    </row>
    <row r="1391" spans="2:18">
      <c r="G1391" s="4"/>
    </row>
    <row r="1392" spans="2:18" s="12" customFormat="1">
      <c r="B1392" s="12" t="s">
        <v>1052</v>
      </c>
      <c r="C1392" s="13" t="s">
        <v>986</v>
      </c>
      <c r="D1392" s="13" t="s">
        <v>985</v>
      </c>
      <c r="E1392" s="15"/>
      <c r="F1392" s="15">
        <f>SUM(F1393:F1395)</f>
        <v>18.866666666666667</v>
      </c>
      <c r="G1392" s="14">
        <f>G1393</f>
        <v>45035</v>
      </c>
      <c r="M1392" s="13"/>
      <c r="N1392" s="13"/>
      <c r="O1392" s="13"/>
      <c r="P1392" s="13"/>
      <c r="Q1392" s="13"/>
      <c r="R1392" s="13"/>
    </row>
    <row r="1393" spans="2:18">
      <c r="C1393" s="2" t="s">
        <v>5</v>
      </c>
      <c r="D1393" s="2" t="s">
        <v>915</v>
      </c>
      <c r="E1393" s="3">
        <v>70</v>
      </c>
      <c r="F1393" s="3">
        <f>40/6</f>
        <v>6.666666666666667</v>
      </c>
      <c r="G1393" s="4">
        <v>45035</v>
      </c>
    </row>
    <row r="1394" spans="2:18">
      <c r="C1394" s="2" t="s">
        <v>4</v>
      </c>
      <c r="D1394" s="2" t="s">
        <v>309</v>
      </c>
      <c r="E1394" s="3">
        <v>1.8</v>
      </c>
      <c r="F1394" s="3">
        <v>0.2</v>
      </c>
      <c r="G1394" s="4">
        <v>42690</v>
      </c>
    </row>
    <row r="1395" spans="2:18">
      <c r="C1395" s="2" t="s">
        <v>8</v>
      </c>
      <c r="D1395" s="2" t="s">
        <v>181</v>
      </c>
      <c r="E1395" s="3">
        <v>130</v>
      </c>
      <c r="F1395" s="3">
        <v>12</v>
      </c>
      <c r="G1395" s="4">
        <v>42080</v>
      </c>
      <c r="I1395" s="1">
        <v>570</v>
      </c>
    </row>
    <row r="1396" spans="2:18">
      <c r="G1396" s="4"/>
    </row>
    <row r="1397" spans="2:18">
      <c r="B1397" s="12" t="s">
        <v>1051</v>
      </c>
      <c r="C1397" s="13" t="s">
        <v>986</v>
      </c>
      <c r="D1397" s="13" t="s">
        <v>985</v>
      </c>
      <c r="F1397" s="15">
        <f>SUM(F1398:F1402)</f>
        <v>19</v>
      </c>
      <c r="G1397" s="14">
        <f>+G1400</f>
        <v>44698</v>
      </c>
    </row>
    <row r="1398" spans="2:18">
      <c r="C1398" s="2" t="s">
        <v>7</v>
      </c>
      <c r="D1398" s="2" t="s">
        <v>810</v>
      </c>
      <c r="E1398" s="3">
        <v>22</v>
      </c>
      <c r="F1398" s="3">
        <v>5</v>
      </c>
      <c r="G1398" s="4">
        <v>44153</v>
      </c>
    </row>
    <row r="1399" spans="2:18">
      <c r="C1399" s="2" t="s">
        <v>5</v>
      </c>
      <c r="D1399" s="2" t="s">
        <v>810</v>
      </c>
      <c r="E1399" s="3">
        <v>13</v>
      </c>
      <c r="F1399" s="3">
        <v>3</v>
      </c>
      <c r="G1399" s="4">
        <v>44026</v>
      </c>
    </row>
    <row r="1400" spans="2:18">
      <c r="C1400" s="2" t="s">
        <v>5</v>
      </c>
      <c r="D1400" s="2" t="s">
        <v>785</v>
      </c>
      <c r="E1400" s="3">
        <v>12.8</v>
      </c>
      <c r="F1400" s="3">
        <v>3</v>
      </c>
      <c r="G1400" s="4">
        <v>44698</v>
      </c>
    </row>
    <row r="1401" spans="2:18">
      <c r="C1401" s="2" t="s">
        <v>4</v>
      </c>
      <c r="D1401" s="2" t="s">
        <v>785</v>
      </c>
      <c r="E1401" s="3">
        <v>5.5</v>
      </c>
      <c r="F1401" s="3">
        <v>3</v>
      </c>
      <c r="G1401" s="4">
        <v>44488</v>
      </c>
    </row>
    <row r="1402" spans="2:18">
      <c r="C1402" s="2" t="s">
        <v>5</v>
      </c>
      <c r="D1402" s="2" t="s">
        <v>305</v>
      </c>
      <c r="E1402" s="3">
        <v>15</v>
      </c>
      <c r="F1402" s="3">
        <v>5</v>
      </c>
      <c r="G1402" s="4">
        <v>44314</v>
      </c>
    </row>
    <row r="1403" spans="2:18">
      <c r="G1403" s="4"/>
    </row>
    <row r="1404" spans="2:18" s="12" customFormat="1">
      <c r="B1404" s="12" t="s">
        <v>1050</v>
      </c>
      <c r="C1404" s="13" t="s">
        <v>986</v>
      </c>
      <c r="D1404" s="13" t="s">
        <v>985</v>
      </c>
      <c r="E1404" s="15"/>
      <c r="F1404" s="15">
        <f>SUM(F1405:F1407)</f>
        <v>18.071428571428569</v>
      </c>
      <c r="G1404" s="14">
        <f>G1406</f>
        <v>44880</v>
      </c>
      <c r="M1404" s="13"/>
      <c r="N1404" s="13"/>
      <c r="O1404" s="13"/>
      <c r="P1404" s="13"/>
      <c r="Q1404" s="13"/>
      <c r="R1404" s="13"/>
    </row>
    <row r="1405" spans="2:18">
      <c r="C1405" s="2" t="s">
        <v>5</v>
      </c>
      <c r="D1405" s="2" t="s">
        <v>712</v>
      </c>
      <c r="E1405" s="3">
        <v>50</v>
      </c>
      <c r="F1405" s="3">
        <f>30/12</f>
        <v>2.5</v>
      </c>
      <c r="G1405" s="4">
        <v>44796</v>
      </c>
    </row>
    <row r="1406" spans="2:18">
      <c r="C1406" s="2" t="s">
        <v>8</v>
      </c>
      <c r="D1406" s="2" t="s">
        <v>136</v>
      </c>
      <c r="E1406" s="3">
        <v>135</v>
      </c>
      <c r="F1406" s="3">
        <v>8</v>
      </c>
      <c r="G1406" s="4">
        <v>44880</v>
      </c>
    </row>
    <row r="1407" spans="2:18">
      <c r="C1407" s="2" t="s">
        <v>18</v>
      </c>
      <c r="D1407" s="2" t="s">
        <v>136</v>
      </c>
      <c r="E1407" s="3">
        <v>73</v>
      </c>
      <c r="F1407" s="3">
        <f>53/7</f>
        <v>7.5714285714285712</v>
      </c>
      <c r="G1407" s="4">
        <v>44565</v>
      </c>
    </row>
    <row r="1408" spans="2:18">
      <c r="G1408" s="4"/>
    </row>
    <row r="1409" spans="2:18" s="12" customFormat="1">
      <c r="B1409" s="12" t="s">
        <v>1049</v>
      </c>
      <c r="C1409" s="13" t="s">
        <v>986</v>
      </c>
      <c r="D1409" s="13" t="s">
        <v>985</v>
      </c>
      <c r="E1409" s="15"/>
      <c r="F1409" s="15">
        <f>SUM(F1410:F1416)</f>
        <v>17.533333333333335</v>
      </c>
      <c r="G1409" s="14">
        <f>G1410</f>
        <v>44643</v>
      </c>
      <c r="M1409" s="13"/>
      <c r="N1409" s="13"/>
      <c r="O1409" s="13"/>
      <c r="P1409" s="13"/>
      <c r="Q1409" s="13"/>
      <c r="R1409" s="13"/>
    </row>
    <row r="1410" spans="2:18">
      <c r="C1410" s="2" t="s">
        <v>7</v>
      </c>
      <c r="D1410" s="2" t="s">
        <v>704</v>
      </c>
      <c r="E1410" s="3">
        <v>50</v>
      </c>
      <c r="F1410" s="3">
        <f>25/3</f>
        <v>8.3333333333333339</v>
      </c>
      <c r="G1410" s="4">
        <v>44643</v>
      </c>
    </row>
    <row r="1411" spans="2:18">
      <c r="C1411" s="2" t="s">
        <v>5</v>
      </c>
      <c r="D1411" s="2" t="s">
        <v>704</v>
      </c>
      <c r="E1411" s="3">
        <v>18.5</v>
      </c>
      <c r="F1411" s="3">
        <f>10/4</f>
        <v>2.5</v>
      </c>
      <c r="G1411" s="4">
        <v>44242</v>
      </c>
    </row>
    <row r="1412" spans="2:18">
      <c r="C1412" s="2" t="s">
        <v>4</v>
      </c>
      <c r="D1412" s="2" t="s">
        <v>704</v>
      </c>
      <c r="E1412" s="3">
        <v>3.5</v>
      </c>
      <c r="F1412" s="3">
        <v>1.5</v>
      </c>
      <c r="G1412" s="4">
        <v>43631</v>
      </c>
    </row>
    <row r="1413" spans="2:18">
      <c r="C1413" s="2" t="s">
        <v>5</v>
      </c>
      <c r="D1413" s="2" t="s">
        <v>667</v>
      </c>
      <c r="E1413" s="3">
        <v>12.6</v>
      </c>
      <c r="F1413" s="3">
        <v>2.2000000000000002</v>
      </c>
      <c r="G1413" s="4">
        <v>44579</v>
      </c>
    </row>
    <row r="1414" spans="2:18">
      <c r="C1414" s="2" t="s">
        <v>4</v>
      </c>
      <c r="D1414" s="2" t="s">
        <v>667</v>
      </c>
      <c r="E1414" s="3">
        <v>3</v>
      </c>
      <c r="F1414" s="3">
        <v>1</v>
      </c>
      <c r="G1414" s="4">
        <v>43999</v>
      </c>
    </row>
    <row r="1415" spans="2:18">
      <c r="C1415" s="2" t="s">
        <v>5</v>
      </c>
      <c r="D1415" s="2" t="s">
        <v>558</v>
      </c>
      <c r="E1415" s="3">
        <v>10.5</v>
      </c>
      <c r="F1415" s="3">
        <v>1</v>
      </c>
      <c r="G1415" s="4">
        <v>44341</v>
      </c>
    </row>
    <row r="1416" spans="2:18">
      <c r="C1416" s="2" t="s">
        <v>4</v>
      </c>
      <c r="D1416" s="2" t="s">
        <v>558</v>
      </c>
      <c r="E1416" s="3">
        <v>4</v>
      </c>
      <c r="F1416" s="3">
        <v>1</v>
      </c>
      <c r="G1416" s="4">
        <v>43671</v>
      </c>
    </row>
    <row r="1417" spans="2:18">
      <c r="G1417" s="4"/>
    </row>
    <row r="1418" spans="2:18">
      <c r="B1418" s="12" t="s">
        <v>1048</v>
      </c>
      <c r="C1418" s="13" t="s">
        <v>986</v>
      </c>
      <c r="D1418" s="13" t="s">
        <v>985</v>
      </c>
      <c r="E1418" s="15"/>
      <c r="F1418" s="15">
        <f>SUM(F1419:F1422)</f>
        <v>18</v>
      </c>
      <c r="G1418" s="14">
        <f>G1421</f>
        <v>44467</v>
      </c>
    </row>
    <row r="1419" spans="2:18">
      <c r="C1419" s="2" t="s">
        <v>7</v>
      </c>
      <c r="D1419" s="2" t="s">
        <v>979</v>
      </c>
      <c r="E1419" s="3">
        <v>45</v>
      </c>
      <c r="F1419" s="3">
        <v>10</v>
      </c>
      <c r="G1419" s="4">
        <v>44228</v>
      </c>
    </row>
    <row r="1420" spans="2:18">
      <c r="C1420" s="2" t="s">
        <v>5</v>
      </c>
      <c r="D1420" s="2" t="s">
        <v>979</v>
      </c>
      <c r="E1420" s="3">
        <v>5</v>
      </c>
      <c r="F1420" s="3">
        <v>2</v>
      </c>
      <c r="G1420" s="4">
        <v>43251</v>
      </c>
    </row>
    <row r="1421" spans="2:18">
      <c r="C1421" s="2" t="s">
        <v>5</v>
      </c>
      <c r="D1421" s="2" t="s">
        <v>1001</v>
      </c>
      <c r="E1421" s="3">
        <v>19</v>
      </c>
      <c r="F1421" s="3">
        <v>4</v>
      </c>
      <c r="G1421" s="4">
        <v>44467</v>
      </c>
    </row>
    <row r="1422" spans="2:18">
      <c r="C1422" s="2" t="s">
        <v>4</v>
      </c>
      <c r="D1422" s="2" t="s">
        <v>1001</v>
      </c>
      <c r="E1422" s="3">
        <v>4</v>
      </c>
      <c r="F1422" s="3">
        <v>2</v>
      </c>
      <c r="G1422" s="4">
        <v>43873</v>
      </c>
    </row>
    <row r="1423" spans="2:18">
      <c r="G1423" s="4"/>
    </row>
    <row r="1424" spans="2:18">
      <c r="B1424" s="12" t="s">
        <v>1046</v>
      </c>
      <c r="C1424" s="13" t="s">
        <v>986</v>
      </c>
      <c r="D1424" s="13" t="s">
        <v>985</v>
      </c>
      <c r="F1424" s="15">
        <f>SUM(F1425:F1429)</f>
        <v>18.166666666666668</v>
      </c>
      <c r="G1424" s="14">
        <f>+G1425</f>
        <v>44812</v>
      </c>
    </row>
    <row r="1425" spans="2:18">
      <c r="C1425" s="2" t="s">
        <v>7</v>
      </c>
      <c r="D1425" s="2" t="s">
        <v>1001</v>
      </c>
      <c r="E1425" s="3">
        <v>38</v>
      </c>
      <c r="F1425" s="3">
        <f>20/3</f>
        <v>6.666666666666667</v>
      </c>
      <c r="G1425" s="4">
        <v>44812</v>
      </c>
    </row>
    <row r="1426" spans="2:18">
      <c r="C1426" s="2" t="s">
        <v>5</v>
      </c>
      <c r="D1426" s="2" t="s">
        <v>1001</v>
      </c>
      <c r="E1426" s="3">
        <v>19</v>
      </c>
      <c r="F1426" s="3">
        <v>4</v>
      </c>
      <c r="G1426" s="4">
        <v>44467</v>
      </c>
    </row>
    <row r="1427" spans="2:18">
      <c r="C1427" s="2" t="s">
        <v>5</v>
      </c>
      <c r="D1427" s="2" t="s">
        <v>1017</v>
      </c>
      <c r="E1427" s="3">
        <v>25</v>
      </c>
      <c r="F1427" s="3">
        <v>5</v>
      </c>
      <c r="G1427" s="4">
        <v>44699</v>
      </c>
    </row>
    <row r="1428" spans="2:18">
      <c r="C1428" s="2" t="s">
        <v>5</v>
      </c>
      <c r="D1428" s="2" t="s">
        <v>837</v>
      </c>
      <c r="E1428" s="3">
        <v>20</v>
      </c>
      <c r="F1428" s="3">
        <v>2</v>
      </c>
      <c r="G1428" s="4">
        <v>44602</v>
      </c>
    </row>
    <row r="1429" spans="2:18">
      <c r="C1429" s="2" t="s">
        <v>4</v>
      </c>
      <c r="D1429" s="2" t="s">
        <v>674</v>
      </c>
      <c r="E1429" s="3">
        <v>4.5</v>
      </c>
      <c r="F1429" s="3">
        <v>0.5</v>
      </c>
      <c r="G1429" s="4">
        <v>44293</v>
      </c>
    </row>
    <row r="1430" spans="2:18">
      <c r="G1430" s="4"/>
    </row>
    <row r="1431" spans="2:18">
      <c r="B1431" s="12" t="s">
        <v>1045</v>
      </c>
      <c r="C1431" s="13" t="s">
        <v>986</v>
      </c>
      <c r="D1431" s="13" t="s">
        <v>985</v>
      </c>
      <c r="F1431" s="15">
        <f>SUM(F1432:F1435)</f>
        <v>18</v>
      </c>
      <c r="G1431" s="14">
        <f>G1432</f>
        <v>45036</v>
      </c>
    </row>
    <row r="1432" spans="2:18">
      <c r="C1432" s="2" t="s">
        <v>7</v>
      </c>
      <c r="D1432" s="2" t="s">
        <v>808</v>
      </c>
      <c r="E1432" s="3">
        <v>50</v>
      </c>
      <c r="F1432" s="3">
        <v>6</v>
      </c>
      <c r="G1432" s="4">
        <v>45036</v>
      </c>
    </row>
    <row r="1433" spans="2:18">
      <c r="C1433" s="2" t="s">
        <v>5</v>
      </c>
      <c r="D1433" s="2" t="s">
        <v>808</v>
      </c>
      <c r="E1433" s="3">
        <v>16.5</v>
      </c>
      <c r="F1433" s="3">
        <v>6</v>
      </c>
      <c r="G1433" s="4">
        <v>44614</v>
      </c>
    </row>
    <row r="1434" spans="2:18">
      <c r="C1434" s="2" t="s">
        <v>4</v>
      </c>
      <c r="D1434" s="2" t="s">
        <v>1044</v>
      </c>
      <c r="E1434" s="3">
        <v>2.8</v>
      </c>
      <c r="F1434" s="3">
        <v>1</v>
      </c>
      <c r="G1434" s="4">
        <v>44994</v>
      </c>
    </row>
    <row r="1435" spans="2:18">
      <c r="C1435" s="2" t="s">
        <v>4</v>
      </c>
      <c r="D1435" s="2" t="s">
        <v>697</v>
      </c>
      <c r="E1435" s="3">
        <v>30</v>
      </c>
      <c r="F1435" s="3">
        <v>5</v>
      </c>
      <c r="G1435" s="4">
        <v>44601</v>
      </c>
    </row>
    <row r="1436" spans="2:18">
      <c r="G1436" s="4"/>
    </row>
    <row r="1437" spans="2:18" s="12" customFormat="1">
      <c r="B1437" s="12" t="s">
        <v>1043</v>
      </c>
      <c r="C1437" s="13" t="s">
        <v>986</v>
      </c>
      <c r="D1437" s="13" t="s">
        <v>985</v>
      </c>
      <c r="E1437" s="15"/>
      <c r="F1437" s="15">
        <f>SUM(F1438:F1441)</f>
        <v>17.166666666666664</v>
      </c>
      <c r="G1437" s="14">
        <f>G1439</f>
        <v>44903</v>
      </c>
      <c r="M1437" s="13"/>
      <c r="N1437" s="13"/>
      <c r="O1437" s="13"/>
      <c r="P1437" s="13"/>
      <c r="Q1437" s="13"/>
      <c r="R1437" s="13"/>
    </row>
    <row r="1438" spans="2:18">
      <c r="C1438" s="2" t="s">
        <v>5</v>
      </c>
      <c r="D1438" s="2" t="s">
        <v>946</v>
      </c>
      <c r="E1438" s="3">
        <v>30</v>
      </c>
      <c r="F1438" s="3">
        <v>10</v>
      </c>
      <c r="G1438" s="4">
        <v>44656</v>
      </c>
    </row>
    <row r="1439" spans="2:18">
      <c r="C1439" s="2" t="s">
        <v>5</v>
      </c>
      <c r="D1439" s="2" t="s">
        <v>734</v>
      </c>
      <c r="E1439" s="3">
        <v>20</v>
      </c>
      <c r="F1439" s="3">
        <f>13/6</f>
        <v>2.1666666666666665</v>
      </c>
      <c r="G1439" s="4">
        <v>44903</v>
      </c>
    </row>
    <row r="1440" spans="2:18">
      <c r="C1440" s="2" t="s">
        <v>5</v>
      </c>
      <c r="D1440" s="2" t="s">
        <v>734</v>
      </c>
      <c r="E1440" s="3">
        <v>11</v>
      </c>
      <c r="F1440" s="3">
        <v>3</v>
      </c>
      <c r="G1440" s="4">
        <v>44313</v>
      </c>
    </row>
    <row r="1441" spans="2:18">
      <c r="C1441" s="2" t="s">
        <v>4</v>
      </c>
      <c r="D1441" s="2" t="s">
        <v>734</v>
      </c>
      <c r="E1441" s="3">
        <v>3</v>
      </c>
      <c r="F1441" s="3">
        <v>2</v>
      </c>
      <c r="G1441" s="4">
        <v>44011</v>
      </c>
    </row>
    <row r="1442" spans="2:18">
      <c r="G1442" s="4"/>
    </row>
    <row r="1443" spans="2:18">
      <c r="B1443" s="12" t="s">
        <v>1042</v>
      </c>
      <c r="C1443" s="13" t="s">
        <v>986</v>
      </c>
      <c r="D1443" s="13" t="s">
        <v>985</v>
      </c>
      <c r="F1443" s="15">
        <f>SUM(F1444:F1448)</f>
        <v>16.940000000000001</v>
      </c>
      <c r="G1443" s="14">
        <f>G1446</f>
        <v>44636</v>
      </c>
    </row>
    <row r="1444" spans="2:18">
      <c r="C1444" s="2" t="s">
        <v>7</v>
      </c>
      <c r="D1444" s="2" t="s">
        <v>1026</v>
      </c>
      <c r="E1444" s="3">
        <v>30</v>
      </c>
      <c r="F1444" s="3">
        <v>6</v>
      </c>
      <c r="G1444" s="4">
        <v>44539</v>
      </c>
    </row>
    <row r="1445" spans="2:18">
      <c r="C1445" s="2" t="s">
        <v>5</v>
      </c>
      <c r="D1445" s="2" t="s">
        <v>1026</v>
      </c>
      <c r="E1445" s="3">
        <v>11</v>
      </c>
      <c r="F1445" s="3">
        <v>3</v>
      </c>
      <c r="G1445" s="4">
        <v>43862</v>
      </c>
    </row>
    <row r="1446" spans="2:18">
      <c r="C1446" s="2" t="s">
        <v>7</v>
      </c>
      <c r="D1446" s="2" t="s">
        <v>873</v>
      </c>
      <c r="E1446" s="3">
        <v>25</v>
      </c>
      <c r="F1446" s="3">
        <v>3</v>
      </c>
      <c r="G1446" s="4">
        <v>44636</v>
      </c>
    </row>
    <row r="1447" spans="2:18">
      <c r="C1447" s="2" t="s">
        <v>5</v>
      </c>
      <c r="D1447" s="2" t="s">
        <v>873</v>
      </c>
      <c r="E1447" s="3">
        <v>12.2</v>
      </c>
      <c r="F1447" s="3">
        <f>8.2/5</f>
        <v>1.64</v>
      </c>
      <c r="G1447" s="4">
        <v>44179</v>
      </c>
    </row>
    <row r="1448" spans="2:18">
      <c r="C1448" s="2" t="s">
        <v>5</v>
      </c>
      <c r="D1448" s="2" t="s">
        <v>687</v>
      </c>
      <c r="E1448" s="3">
        <v>15</v>
      </c>
      <c r="F1448" s="3">
        <v>3.3</v>
      </c>
      <c r="G1448" s="4">
        <v>44482</v>
      </c>
    </row>
    <row r="1449" spans="2:18">
      <c r="G1449" s="4"/>
    </row>
    <row r="1450" spans="2:18" s="12" customFormat="1">
      <c r="B1450" s="12" t="s">
        <v>1041</v>
      </c>
      <c r="C1450" s="13" t="s">
        <v>986</v>
      </c>
      <c r="D1450" s="13" t="s">
        <v>985</v>
      </c>
      <c r="E1450" s="15"/>
      <c r="F1450" s="15">
        <f>SUM(F1451:F1452)</f>
        <v>16.833333333333336</v>
      </c>
      <c r="G1450" s="14">
        <f>G1451</f>
        <v>44643</v>
      </c>
      <c r="M1450" s="13"/>
      <c r="N1450" s="13"/>
      <c r="O1450" s="13"/>
      <c r="P1450" s="13"/>
      <c r="Q1450" s="13"/>
      <c r="R1450" s="13"/>
    </row>
    <row r="1451" spans="2:18">
      <c r="C1451" s="2" t="s">
        <v>7</v>
      </c>
      <c r="D1451" s="2" t="s">
        <v>704</v>
      </c>
      <c r="E1451" s="3">
        <v>50</v>
      </c>
      <c r="F1451" s="3">
        <f>25/3</f>
        <v>8.3333333333333339</v>
      </c>
      <c r="G1451" s="4">
        <v>44643</v>
      </c>
    </row>
    <row r="1452" spans="2:18">
      <c r="C1452" s="2" t="s">
        <v>5</v>
      </c>
      <c r="D1452" s="2" t="s">
        <v>704</v>
      </c>
      <c r="E1452" s="3">
        <v>18.5</v>
      </c>
      <c r="F1452" s="3">
        <v>8.5</v>
      </c>
      <c r="G1452" s="4">
        <v>44242</v>
      </c>
    </row>
    <row r="1453" spans="2:18">
      <c r="G1453" s="4"/>
    </row>
    <row r="1454" spans="2:18">
      <c r="B1454" s="12" t="s">
        <v>1039</v>
      </c>
      <c r="C1454" s="13" t="s">
        <v>986</v>
      </c>
      <c r="D1454" s="13" t="s">
        <v>985</v>
      </c>
      <c r="E1454" s="15"/>
      <c r="F1454" s="15">
        <f>SUM(F1455:F1457)</f>
        <v>16.600000000000001</v>
      </c>
      <c r="G1454" s="14">
        <f>+G1457</f>
        <v>45020</v>
      </c>
    </row>
    <row r="1455" spans="2:18">
      <c r="C1455" s="2" t="s">
        <v>18</v>
      </c>
      <c r="D1455" s="2" t="s">
        <v>940</v>
      </c>
      <c r="E1455" s="3">
        <v>100</v>
      </c>
      <c r="F1455" s="3">
        <v>9</v>
      </c>
      <c r="G1455" s="4">
        <v>44690</v>
      </c>
    </row>
    <row r="1456" spans="2:18">
      <c r="C1456" s="2" t="s">
        <v>4</v>
      </c>
      <c r="D1456" s="2" t="s">
        <v>783</v>
      </c>
      <c r="E1456" s="3">
        <v>4.5999999999999996</v>
      </c>
      <c r="F1456" s="3">
        <v>0.6</v>
      </c>
      <c r="G1456" s="4">
        <v>44530</v>
      </c>
    </row>
    <row r="1457" spans="2:18">
      <c r="C1457" s="2" t="s">
        <v>18</v>
      </c>
      <c r="D1457" s="2" t="s">
        <v>432</v>
      </c>
      <c r="E1457" s="3">
        <v>75</v>
      </c>
      <c r="F1457" s="3">
        <v>7</v>
      </c>
      <c r="G1457" s="4">
        <v>45020</v>
      </c>
    </row>
    <row r="1458" spans="2:18">
      <c r="G1458" s="4"/>
    </row>
    <row r="1459" spans="2:18" s="12" customFormat="1">
      <c r="B1459" s="12" t="s">
        <v>1038</v>
      </c>
      <c r="C1459" s="13" t="s">
        <v>986</v>
      </c>
      <c r="D1459" s="13" t="s">
        <v>985</v>
      </c>
      <c r="E1459" s="15"/>
      <c r="F1459" s="15">
        <f>SUM(F1460:F1461)</f>
        <v>15.5</v>
      </c>
      <c r="G1459" s="14">
        <f>G1461</f>
        <v>44510</v>
      </c>
      <c r="M1459" s="13"/>
      <c r="N1459" s="13"/>
      <c r="O1459" s="13"/>
      <c r="P1459" s="13"/>
      <c r="Q1459" s="13"/>
      <c r="R1459" s="13"/>
    </row>
    <row r="1460" spans="2:18">
      <c r="C1460" s="2" t="s">
        <v>5</v>
      </c>
      <c r="D1460" s="2" t="s">
        <v>704</v>
      </c>
      <c r="E1460" s="3">
        <v>18.5</v>
      </c>
      <c r="F1460" s="3">
        <v>8.5</v>
      </c>
      <c r="G1460" s="4">
        <v>44242</v>
      </c>
    </row>
    <row r="1461" spans="2:18">
      <c r="C1461" s="2" t="s">
        <v>7</v>
      </c>
      <c r="D1461" s="2" t="s">
        <v>884</v>
      </c>
      <c r="E1461" s="3">
        <v>30</v>
      </c>
      <c r="F1461" s="3">
        <v>7</v>
      </c>
      <c r="G1461" s="4">
        <v>44510</v>
      </c>
    </row>
    <row r="1462" spans="2:18">
      <c r="G1462" s="4"/>
    </row>
    <row r="1463" spans="2:18" s="12" customFormat="1">
      <c r="B1463" s="12" t="s">
        <v>1033</v>
      </c>
      <c r="C1463" s="13" t="s">
        <v>986</v>
      </c>
      <c r="D1463" s="13" t="s">
        <v>985</v>
      </c>
      <c r="E1463" s="15"/>
      <c r="F1463" s="15">
        <f>SUM(F1464:F1466)</f>
        <v>15.85</v>
      </c>
      <c r="G1463" s="14">
        <f>G1466</f>
        <v>44650</v>
      </c>
    </row>
    <row r="1464" spans="2:18">
      <c r="C1464" s="2" t="s">
        <v>4</v>
      </c>
      <c r="D1464" s="2" t="s">
        <v>687</v>
      </c>
      <c r="E1464" s="3">
        <v>4.5</v>
      </c>
      <c r="F1464" s="3">
        <v>0.5</v>
      </c>
      <c r="G1464" s="4">
        <v>44362</v>
      </c>
      <c r="M1464" s="1"/>
      <c r="N1464" s="1"/>
      <c r="O1464" s="1"/>
      <c r="P1464" s="1"/>
      <c r="Q1464" s="1"/>
      <c r="R1464" s="1"/>
    </row>
    <row r="1465" spans="2:18">
      <c r="C1465" s="2" t="s">
        <v>4</v>
      </c>
      <c r="D1465" s="2" t="s">
        <v>354</v>
      </c>
      <c r="E1465" s="3">
        <v>3.5</v>
      </c>
      <c r="F1465" s="3">
        <f>E1465/10</f>
        <v>0.35</v>
      </c>
      <c r="G1465" s="4">
        <v>43046</v>
      </c>
      <c r="L1465" s="1">
        <v>0</v>
      </c>
      <c r="M1465" s="1"/>
      <c r="N1465" s="1"/>
      <c r="O1465" s="1"/>
      <c r="P1465" s="1"/>
      <c r="Q1465" s="1"/>
      <c r="R1465" s="1"/>
    </row>
    <row r="1466" spans="2:18">
      <c r="C1466" s="2" t="s">
        <v>18</v>
      </c>
      <c r="D1466" s="2" t="s">
        <v>59</v>
      </c>
      <c r="E1466" s="3">
        <v>100</v>
      </c>
      <c r="F1466" s="3">
        <v>15</v>
      </c>
      <c r="G1466" s="4">
        <v>44650</v>
      </c>
      <c r="M1466" s="1"/>
      <c r="N1466" s="1"/>
      <c r="O1466" s="1"/>
      <c r="P1466" s="1"/>
      <c r="Q1466" s="1"/>
      <c r="R1466" s="1"/>
    </row>
    <row r="1467" spans="2:18">
      <c r="G1467" s="4"/>
      <c r="M1467" s="1"/>
      <c r="N1467" s="1"/>
      <c r="O1467" s="1"/>
      <c r="P1467" s="1"/>
      <c r="Q1467" s="1"/>
      <c r="R1467" s="1"/>
    </row>
    <row r="1468" spans="2:18" s="12" customFormat="1">
      <c r="B1468" s="12" t="s">
        <v>752</v>
      </c>
      <c r="C1468" s="13" t="s">
        <v>986</v>
      </c>
      <c r="D1468" s="13" t="s">
        <v>985</v>
      </c>
      <c r="E1468" s="15"/>
      <c r="F1468" s="15">
        <f>SUM(F1469:F1470)</f>
        <v>14.5</v>
      </c>
      <c r="G1468" s="14">
        <f>G1469</f>
        <v>44469</v>
      </c>
    </row>
    <row r="1469" spans="2:18">
      <c r="C1469" s="2" t="s">
        <v>4</v>
      </c>
      <c r="D1469" s="2" t="s">
        <v>710</v>
      </c>
      <c r="E1469" s="3">
        <v>2.5</v>
      </c>
      <c r="F1469" s="3">
        <f>2/6</f>
        <v>0.33333333333333331</v>
      </c>
      <c r="G1469" s="4">
        <v>44469</v>
      </c>
      <c r="M1469" s="1"/>
      <c r="N1469" s="1"/>
      <c r="O1469" s="1"/>
      <c r="P1469" s="1"/>
      <c r="Q1469" s="1"/>
      <c r="R1469" s="1"/>
    </row>
    <row r="1470" spans="2:18">
      <c r="C1470" s="2" t="s">
        <v>8</v>
      </c>
      <c r="D1470" s="2" t="s">
        <v>49</v>
      </c>
      <c r="E1470" s="3">
        <v>145</v>
      </c>
      <c r="F1470" s="3">
        <f>85/6</f>
        <v>14.166666666666666</v>
      </c>
      <c r="G1470" s="4">
        <v>43228</v>
      </c>
      <c r="M1470" s="1"/>
      <c r="N1470" s="1"/>
      <c r="O1470" s="1"/>
      <c r="P1470" s="1"/>
      <c r="Q1470" s="1"/>
      <c r="R1470" s="1"/>
    </row>
    <row r="1471" spans="2:18">
      <c r="G1471" s="4"/>
      <c r="M1471" s="1"/>
      <c r="N1471" s="1"/>
      <c r="O1471" s="1"/>
      <c r="P1471" s="1"/>
      <c r="Q1471" s="1"/>
      <c r="R1471" s="1"/>
    </row>
    <row r="1472" spans="2:18">
      <c r="B1472" s="12" t="s">
        <v>1037</v>
      </c>
      <c r="C1472" s="13" t="s">
        <v>986</v>
      </c>
      <c r="D1472" s="13" t="s">
        <v>985</v>
      </c>
      <c r="F1472" s="15">
        <f>SUM(F1473:F1477)</f>
        <v>13.666666666666666</v>
      </c>
      <c r="G1472" s="14">
        <f>G1476</f>
        <v>45062</v>
      </c>
    </row>
    <row r="1473" spans="2:7">
      <c r="C1473" s="2" t="s">
        <v>7</v>
      </c>
      <c r="D1473" s="2" t="s">
        <v>1029</v>
      </c>
      <c r="E1473" s="3">
        <v>43</v>
      </c>
      <c r="F1473" s="3">
        <v>6</v>
      </c>
      <c r="G1473" s="4">
        <v>44978</v>
      </c>
    </row>
    <row r="1474" spans="2:7">
      <c r="C1474" s="2" t="s">
        <v>4</v>
      </c>
      <c r="D1474" s="2" t="s">
        <v>783</v>
      </c>
      <c r="E1474" s="3">
        <v>10</v>
      </c>
      <c r="F1474" s="3">
        <v>1</v>
      </c>
      <c r="G1474" s="4">
        <v>44858</v>
      </c>
    </row>
    <row r="1475" spans="2:7">
      <c r="C1475" s="2" t="s">
        <v>4</v>
      </c>
      <c r="D1475" s="2" t="s">
        <v>783</v>
      </c>
      <c r="E1475" s="3">
        <v>4.5999999999999996</v>
      </c>
      <c r="F1475" s="3">
        <v>2</v>
      </c>
      <c r="G1475" s="4">
        <v>44530</v>
      </c>
    </row>
    <row r="1476" spans="2:7">
      <c r="C1476" s="2" t="s">
        <v>4</v>
      </c>
      <c r="D1476" s="2" t="s">
        <v>819</v>
      </c>
      <c r="E1476" s="3">
        <v>5</v>
      </c>
      <c r="F1476" s="3">
        <f>5/3</f>
        <v>1.6666666666666667</v>
      </c>
      <c r="G1476" s="4">
        <v>45062</v>
      </c>
    </row>
    <row r="1477" spans="2:7">
      <c r="C1477" s="2" t="s">
        <v>5</v>
      </c>
      <c r="D1477" s="2" t="s">
        <v>1036</v>
      </c>
      <c r="E1477" s="3">
        <v>10.6</v>
      </c>
      <c r="F1477" s="3">
        <v>3</v>
      </c>
      <c r="G1477" s="4">
        <v>44819</v>
      </c>
    </row>
    <row r="1478" spans="2:7">
      <c r="G1478" s="4"/>
    </row>
    <row r="1479" spans="2:7">
      <c r="B1479" s="12" t="s">
        <v>1035</v>
      </c>
      <c r="C1479" s="13" t="s">
        <v>986</v>
      </c>
      <c r="D1479" s="13" t="s">
        <v>985</v>
      </c>
      <c r="F1479" s="15">
        <f>SUM(F1480:F1484)</f>
        <v>13.916666666666668</v>
      </c>
      <c r="G1479" s="14">
        <f>G1480</f>
        <v>44293</v>
      </c>
    </row>
    <row r="1480" spans="2:7">
      <c r="C1480" s="2" t="s">
        <v>7</v>
      </c>
      <c r="D1480" s="2" t="s">
        <v>890</v>
      </c>
      <c r="E1480" s="3">
        <v>35</v>
      </c>
      <c r="F1480" s="3">
        <f>25/6</f>
        <v>4.166666666666667</v>
      </c>
      <c r="G1480" s="4">
        <v>44293</v>
      </c>
    </row>
    <row r="1481" spans="2:7">
      <c r="C1481" s="2" t="s">
        <v>5</v>
      </c>
      <c r="D1481" s="2" t="s">
        <v>890</v>
      </c>
      <c r="E1481" s="3">
        <v>12</v>
      </c>
      <c r="F1481" s="3">
        <v>3</v>
      </c>
      <c r="G1481" s="4">
        <v>44026</v>
      </c>
    </row>
    <row r="1482" spans="2:7">
      <c r="C1482" s="2" t="s">
        <v>4</v>
      </c>
      <c r="D1482" s="2" t="s">
        <v>890</v>
      </c>
      <c r="E1482" s="3">
        <v>3.3</v>
      </c>
      <c r="F1482" s="3">
        <v>0.5</v>
      </c>
      <c r="G1482" s="4">
        <v>44026</v>
      </c>
    </row>
    <row r="1483" spans="2:7">
      <c r="C1483" s="2" t="s">
        <v>7</v>
      </c>
      <c r="D1483" s="2" t="s">
        <v>317</v>
      </c>
      <c r="E1483" s="3">
        <v>40</v>
      </c>
      <c r="F1483" s="3">
        <v>4</v>
      </c>
      <c r="G1483" s="4">
        <v>43419</v>
      </c>
    </row>
    <row r="1484" spans="2:7">
      <c r="C1484" s="2" t="s">
        <v>5</v>
      </c>
      <c r="D1484" s="2" t="s">
        <v>317</v>
      </c>
      <c r="E1484" s="3">
        <v>14.7</v>
      </c>
      <c r="F1484" s="3">
        <v>2.25</v>
      </c>
      <c r="G1484" s="4">
        <v>43032</v>
      </c>
    </row>
    <row r="1485" spans="2:7">
      <c r="G1485" s="4"/>
    </row>
    <row r="1486" spans="2:7">
      <c r="B1486" s="12" t="s">
        <v>1034</v>
      </c>
      <c r="C1486" s="13" t="s">
        <v>986</v>
      </c>
      <c r="D1486" s="13" t="s">
        <v>985</v>
      </c>
      <c r="F1486" s="15">
        <f>SUM(F1487:F1489)</f>
        <v>13</v>
      </c>
      <c r="G1486" s="14">
        <f>G1487</f>
        <v>44690</v>
      </c>
    </row>
    <row r="1487" spans="2:7">
      <c r="C1487" s="2" t="s">
        <v>18</v>
      </c>
      <c r="D1487" s="2" t="s">
        <v>940</v>
      </c>
      <c r="E1487" s="3">
        <v>100</v>
      </c>
      <c r="F1487" s="3">
        <v>9</v>
      </c>
      <c r="G1487" s="4">
        <v>44690</v>
      </c>
    </row>
    <row r="1488" spans="2:7">
      <c r="C1488" s="2" t="s">
        <v>5</v>
      </c>
      <c r="D1488" s="2" t="s">
        <v>940</v>
      </c>
      <c r="E1488" s="3">
        <v>15</v>
      </c>
      <c r="F1488" s="3">
        <v>3</v>
      </c>
      <c r="G1488" s="4">
        <v>43816</v>
      </c>
    </row>
    <row r="1489" spans="2:18">
      <c r="C1489" s="2" t="s">
        <v>4</v>
      </c>
      <c r="D1489" s="2" t="s">
        <v>940</v>
      </c>
      <c r="E1489" s="3">
        <v>4</v>
      </c>
      <c r="F1489" s="3">
        <v>1</v>
      </c>
      <c r="G1489" s="4">
        <v>43243</v>
      </c>
    </row>
    <row r="1490" spans="2:18">
      <c r="B1490" s="66"/>
      <c r="C1490" s="67"/>
      <c r="D1490" s="67"/>
      <c r="E1490" s="54"/>
      <c r="F1490" s="54"/>
      <c r="G1490" s="68"/>
      <c r="M1490" s="1"/>
      <c r="N1490" s="1"/>
      <c r="O1490" s="1"/>
      <c r="P1490" s="1"/>
      <c r="Q1490" s="1"/>
      <c r="R1490" s="1"/>
    </row>
    <row r="1491" spans="2:18" s="12" customFormat="1">
      <c r="B1491" s="69" t="s">
        <v>1032</v>
      </c>
      <c r="C1491" s="70" t="s">
        <v>986</v>
      </c>
      <c r="D1491" s="70" t="s">
        <v>985</v>
      </c>
      <c r="E1491" s="71"/>
      <c r="F1491" s="71">
        <f>SUM(F1492:F1494)</f>
        <v>13</v>
      </c>
      <c r="G1491" s="72">
        <f>G1492</f>
        <v>45008</v>
      </c>
      <c r="M1491" s="13"/>
      <c r="N1491" s="13"/>
      <c r="O1491" s="13"/>
      <c r="P1491" s="13"/>
      <c r="Q1491" s="13"/>
      <c r="R1491" s="13"/>
    </row>
    <row r="1492" spans="2:18">
      <c r="B1492" s="69"/>
      <c r="C1492" s="67" t="s">
        <v>5</v>
      </c>
      <c r="D1492" s="67" t="s">
        <v>949</v>
      </c>
      <c r="E1492" s="54">
        <v>150</v>
      </c>
      <c r="F1492" s="54">
        <v>5</v>
      </c>
      <c r="G1492" s="68">
        <v>45008</v>
      </c>
    </row>
    <row r="1493" spans="2:18">
      <c r="B1493" s="69"/>
      <c r="C1493" s="67" t="s">
        <v>5</v>
      </c>
      <c r="D1493" s="67" t="s">
        <v>454</v>
      </c>
      <c r="E1493" s="54">
        <v>28</v>
      </c>
      <c r="F1493" s="54">
        <v>5</v>
      </c>
      <c r="G1493" s="68">
        <v>44624</v>
      </c>
    </row>
    <row r="1494" spans="2:18">
      <c r="B1494" s="69"/>
      <c r="C1494" s="67" t="s">
        <v>4</v>
      </c>
      <c r="D1494" s="67" t="s">
        <v>454</v>
      </c>
      <c r="E1494" s="54">
        <v>5</v>
      </c>
      <c r="F1494" s="54">
        <v>3</v>
      </c>
      <c r="G1494" s="68">
        <v>44136</v>
      </c>
    </row>
    <row r="1495" spans="2:18">
      <c r="B1495" s="69"/>
      <c r="C1495" s="67"/>
      <c r="D1495" s="67"/>
      <c r="E1495" s="54"/>
      <c r="F1495" s="54"/>
      <c r="G1495" s="68"/>
    </row>
    <row r="1496" spans="2:18" s="12" customFormat="1">
      <c r="B1496" s="12" t="s">
        <v>1031</v>
      </c>
      <c r="C1496" s="13" t="s">
        <v>986</v>
      </c>
      <c r="D1496" s="13" t="s">
        <v>985</v>
      </c>
      <c r="E1496" s="15"/>
      <c r="F1496" s="15">
        <f>SUM(F1497:F1501)</f>
        <v>12.5</v>
      </c>
      <c r="G1496" s="14">
        <f>G1497</f>
        <v>44784</v>
      </c>
      <c r="M1496" s="13"/>
      <c r="N1496" s="13"/>
      <c r="O1496" s="13"/>
      <c r="P1496" s="13"/>
      <c r="Q1496" s="13"/>
      <c r="R1496" s="13"/>
    </row>
    <row r="1497" spans="2:18">
      <c r="C1497" s="2" t="s">
        <v>5</v>
      </c>
      <c r="D1497" s="2" t="s">
        <v>728</v>
      </c>
      <c r="E1497" s="3">
        <v>12.5</v>
      </c>
      <c r="F1497" s="3">
        <v>2</v>
      </c>
      <c r="G1497" s="4">
        <v>44784</v>
      </c>
    </row>
    <row r="1498" spans="2:18">
      <c r="C1498" s="2" t="s">
        <v>5</v>
      </c>
      <c r="D1498" s="2" t="s">
        <v>728</v>
      </c>
      <c r="E1498" s="3">
        <v>10</v>
      </c>
      <c r="F1498" s="3">
        <v>2</v>
      </c>
      <c r="G1498" s="4">
        <v>44110</v>
      </c>
    </row>
    <row r="1499" spans="2:18">
      <c r="C1499" s="2" t="s">
        <v>4</v>
      </c>
      <c r="D1499" s="2" t="s">
        <v>728</v>
      </c>
      <c r="E1499" s="3">
        <v>5</v>
      </c>
      <c r="F1499" s="3">
        <v>2</v>
      </c>
      <c r="G1499" s="4">
        <v>43392</v>
      </c>
    </row>
    <row r="1500" spans="2:18">
      <c r="C1500" s="2" t="s">
        <v>5</v>
      </c>
      <c r="D1500" s="2" t="s">
        <v>296</v>
      </c>
      <c r="E1500" s="3">
        <v>30</v>
      </c>
      <c r="F1500" s="3">
        <f>20/5</f>
        <v>4</v>
      </c>
      <c r="G1500" s="4">
        <v>44474</v>
      </c>
    </row>
    <row r="1501" spans="2:18">
      <c r="C1501" s="2" t="s">
        <v>4</v>
      </c>
      <c r="D1501" s="2" t="s">
        <v>296</v>
      </c>
      <c r="E1501" s="3">
        <v>15</v>
      </c>
      <c r="F1501" s="3">
        <f>10/4</f>
        <v>2.5</v>
      </c>
      <c r="G1501" s="4">
        <v>43775</v>
      </c>
    </row>
    <row r="1502" spans="2:18">
      <c r="G1502" s="4"/>
    </row>
    <row r="1503" spans="2:18" s="12" customFormat="1">
      <c r="B1503" s="12" t="s">
        <v>1030</v>
      </c>
      <c r="C1503" s="13" t="s">
        <v>986</v>
      </c>
      <c r="D1503" s="13" t="s">
        <v>985</v>
      </c>
      <c r="E1503" s="15"/>
      <c r="F1503" s="15">
        <f>SUM(F1504:F1505)</f>
        <v>12.5</v>
      </c>
      <c r="G1503" s="14">
        <f>G1504</f>
        <v>44978</v>
      </c>
      <c r="M1503" s="13"/>
      <c r="N1503" s="13"/>
      <c r="O1503" s="13"/>
      <c r="P1503" s="13"/>
      <c r="Q1503" s="13"/>
      <c r="R1503" s="13"/>
    </row>
    <row r="1504" spans="2:18">
      <c r="C1504" s="2" t="s">
        <v>7</v>
      </c>
      <c r="D1504" s="2" t="s">
        <v>1029</v>
      </c>
      <c r="E1504" s="3">
        <v>43</v>
      </c>
      <c r="F1504" s="3">
        <v>6</v>
      </c>
      <c r="G1504" s="4">
        <v>44978</v>
      </c>
    </row>
    <row r="1505" spans="2:18">
      <c r="C1505" s="2" t="s">
        <v>5</v>
      </c>
      <c r="D1505" s="2" t="s">
        <v>1029</v>
      </c>
      <c r="E1505" s="3">
        <v>26</v>
      </c>
      <c r="F1505" s="3">
        <f>13/2</f>
        <v>6.5</v>
      </c>
      <c r="G1505" s="4">
        <v>44453</v>
      </c>
    </row>
    <row r="1506" spans="2:18">
      <c r="G1506" s="4"/>
    </row>
    <row r="1507" spans="2:18" s="12" customFormat="1">
      <c r="B1507" s="12" t="s">
        <v>1028</v>
      </c>
      <c r="C1507" s="13" t="s">
        <v>986</v>
      </c>
      <c r="D1507" s="13" t="s">
        <v>985</v>
      </c>
      <c r="E1507" s="15"/>
      <c r="F1507" s="15">
        <f>SUM(F1508:F1512)</f>
        <v>13.3</v>
      </c>
      <c r="G1507" s="14">
        <f>G1509</f>
        <v>44705</v>
      </c>
      <c r="M1507" s="13"/>
      <c r="N1507" s="13"/>
      <c r="O1507" s="13"/>
      <c r="P1507" s="13"/>
      <c r="Q1507" s="13"/>
      <c r="R1507" s="13"/>
    </row>
    <row r="1508" spans="2:18">
      <c r="C1508" s="2" t="s">
        <v>5</v>
      </c>
      <c r="D1508" s="2" t="s">
        <v>884</v>
      </c>
      <c r="E1508" s="3">
        <v>21.4</v>
      </c>
      <c r="F1508" s="3">
        <f>11.4/3</f>
        <v>3.8000000000000003</v>
      </c>
      <c r="G1508" s="4">
        <v>44232</v>
      </c>
    </row>
    <row r="1509" spans="2:18">
      <c r="C1509" s="2" t="s">
        <v>5</v>
      </c>
      <c r="D1509" s="2" t="s">
        <v>680</v>
      </c>
      <c r="E1509" s="3">
        <v>14</v>
      </c>
      <c r="F1509" s="3">
        <v>3</v>
      </c>
      <c r="G1509" s="4">
        <v>44705</v>
      </c>
    </row>
    <row r="1510" spans="2:18">
      <c r="C1510" s="2" t="s">
        <v>4</v>
      </c>
      <c r="D1510" s="2" t="s">
        <v>680</v>
      </c>
      <c r="E1510" s="3">
        <v>5</v>
      </c>
      <c r="F1510" s="3">
        <v>2</v>
      </c>
      <c r="G1510" s="4">
        <v>44578</v>
      </c>
    </row>
    <row r="1511" spans="2:18">
      <c r="C1511" s="2" t="s">
        <v>5</v>
      </c>
      <c r="D1511" s="2" t="s">
        <v>115</v>
      </c>
      <c r="E1511" s="3">
        <v>25</v>
      </c>
      <c r="F1511" s="3">
        <v>3</v>
      </c>
      <c r="G1511" s="4">
        <v>44510</v>
      </c>
    </row>
    <row r="1512" spans="2:18">
      <c r="C1512" s="2" t="s">
        <v>4</v>
      </c>
      <c r="D1512" s="2" t="s">
        <v>115</v>
      </c>
      <c r="E1512" s="3">
        <v>8</v>
      </c>
      <c r="F1512" s="3">
        <v>1.5</v>
      </c>
      <c r="G1512" s="4">
        <v>44063</v>
      </c>
    </row>
    <row r="1513" spans="2:18">
      <c r="G1513" s="4"/>
    </row>
    <row r="1514" spans="2:18" s="12" customFormat="1">
      <c r="B1514" s="12" t="s">
        <v>1027</v>
      </c>
      <c r="C1514" s="13" t="s">
        <v>986</v>
      </c>
      <c r="D1514" s="13" t="s">
        <v>985</v>
      </c>
      <c r="E1514" s="15"/>
      <c r="F1514" s="15">
        <f>SUM(F1515:F1519)</f>
        <v>13</v>
      </c>
      <c r="G1514" s="14">
        <f>G1518</f>
        <v>44964</v>
      </c>
      <c r="M1514" s="13"/>
      <c r="N1514" s="13"/>
      <c r="O1514" s="13"/>
      <c r="P1514" s="13"/>
      <c r="Q1514" s="13"/>
      <c r="R1514" s="13"/>
    </row>
    <row r="1515" spans="2:18">
      <c r="C1515" s="2" t="s">
        <v>7</v>
      </c>
      <c r="D1515" s="2" t="s">
        <v>1026</v>
      </c>
      <c r="E1515" s="3">
        <v>30</v>
      </c>
      <c r="F1515" s="3">
        <v>6</v>
      </c>
      <c r="G1515" s="4">
        <v>44539</v>
      </c>
    </row>
    <row r="1516" spans="2:18">
      <c r="C1516" s="2" t="s">
        <v>5</v>
      </c>
      <c r="D1516" s="2" t="s">
        <v>1026</v>
      </c>
      <c r="E1516" s="3">
        <v>11</v>
      </c>
      <c r="F1516" s="3">
        <v>3</v>
      </c>
      <c r="G1516" s="4">
        <v>43862</v>
      </c>
    </row>
    <row r="1517" spans="2:18">
      <c r="C1517" s="2" t="s">
        <v>4</v>
      </c>
      <c r="D1517" s="2" t="s">
        <v>1026</v>
      </c>
      <c r="E1517" s="3">
        <v>3</v>
      </c>
      <c r="F1517" s="3">
        <v>1.5</v>
      </c>
      <c r="G1517" s="4">
        <v>43525</v>
      </c>
    </row>
    <row r="1518" spans="2:18">
      <c r="C1518" s="2" t="s">
        <v>4</v>
      </c>
      <c r="D1518" s="2" t="s">
        <v>604</v>
      </c>
      <c r="E1518" s="3">
        <v>6.8</v>
      </c>
      <c r="F1518" s="3">
        <v>1.5</v>
      </c>
      <c r="G1518" s="4">
        <v>44964</v>
      </c>
    </row>
    <row r="1519" spans="2:18">
      <c r="C1519" s="2" t="s">
        <v>4</v>
      </c>
      <c r="D1519" s="2" t="s">
        <v>604</v>
      </c>
      <c r="E1519" s="3">
        <v>1.6</v>
      </c>
      <c r="F1519" s="3">
        <v>1</v>
      </c>
      <c r="G1519" s="4">
        <v>44197</v>
      </c>
    </row>
    <row r="1520" spans="2:18">
      <c r="G1520" s="4"/>
    </row>
    <row r="1521" spans="2:18">
      <c r="B1521" s="12" t="s">
        <v>1025</v>
      </c>
      <c r="C1521" s="13" t="s">
        <v>986</v>
      </c>
      <c r="D1521" s="13" t="s">
        <v>985</v>
      </c>
      <c r="F1521" s="15">
        <f>SUM(F1522:F1525)</f>
        <v>12.5</v>
      </c>
      <c r="G1521" s="14">
        <f>G1522</f>
        <v>45036</v>
      </c>
    </row>
    <row r="1522" spans="2:18">
      <c r="C1522" s="2" t="s">
        <v>7</v>
      </c>
      <c r="D1522" s="2" t="s">
        <v>808</v>
      </c>
      <c r="E1522" s="3">
        <v>50</v>
      </c>
      <c r="F1522" s="3">
        <v>6</v>
      </c>
      <c r="G1522" s="4">
        <v>45036</v>
      </c>
    </row>
    <row r="1523" spans="2:18">
      <c r="C1523" s="2" t="s">
        <v>5</v>
      </c>
      <c r="D1523" s="2" t="s">
        <v>808</v>
      </c>
      <c r="E1523" s="3">
        <v>16.5</v>
      </c>
      <c r="F1523" s="3">
        <v>1</v>
      </c>
      <c r="G1523" s="4">
        <v>44614</v>
      </c>
    </row>
    <row r="1524" spans="2:18">
      <c r="C1524" s="2" t="s">
        <v>4</v>
      </c>
      <c r="D1524" s="2" t="s">
        <v>808</v>
      </c>
      <c r="E1524" s="3">
        <v>1.2</v>
      </c>
      <c r="F1524" s="3">
        <v>0.5</v>
      </c>
      <c r="G1524" s="4">
        <v>44044</v>
      </c>
    </row>
    <row r="1525" spans="2:18">
      <c r="C1525" s="2" t="s">
        <v>7</v>
      </c>
      <c r="D1525" s="2" t="s">
        <v>113</v>
      </c>
      <c r="E1525" s="3">
        <v>5</v>
      </c>
      <c r="F1525" s="3">
        <v>5</v>
      </c>
      <c r="G1525" s="4">
        <v>43903</v>
      </c>
    </row>
    <row r="1526" spans="2:18">
      <c r="G1526" s="4"/>
    </row>
    <row r="1527" spans="2:18" s="12" customFormat="1">
      <c r="B1527" s="12" t="s">
        <v>4590</v>
      </c>
      <c r="C1527" s="13" t="s">
        <v>986</v>
      </c>
      <c r="D1527" s="13" t="s">
        <v>985</v>
      </c>
      <c r="E1527" s="15"/>
      <c r="F1527" s="15">
        <f>SUM(F1528:F1530)</f>
        <v>18</v>
      </c>
      <c r="G1527" s="14">
        <f>G1528</f>
        <v>44578</v>
      </c>
      <c r="M1527" s="13"/>
      <c r="N1527" s="13"/>
      <c r="O1527" s="13"/>
      <c r="P1527" s="13"/>
      <c r="Q1527" s="13"/>
      <c r="R1527" s="13"/>
    </row>
    <row r="1528" spans="2:18">
      <c r="C1528" s="2" t="s">
        <v>7</v>
      </c>
      <c r="D1528" s="2" t="s">
        <v>2180</v>
      </c>
      <c r="E1528" s="3">
        <f>176</f>
        <v>176</v>
      </c>
      <c r="F1528" s="3">
        <f>150/12</f>
        <v>12.5</v>
      </c>
      <c r="G1528" s="4">
        <v>44578</v>
      </c>
    </row>
    <row r="1529" spans="2:18">
      <c r="C1529" s="2" t="s">
        <v>5</v>
      </c>
      <c r="D1529" s="2" t="s">
        <v>2180</v>
      </c>
      <c r="E1529" s="3">
        <v>20</v>
      </c>
      <c r="F1529" s="3">
        <f>15/6</f>
        <v>2.5</v>
      </c>
      <c r="G1529" s="4">
        <v>44044</v>
      </c>
    </row>
    <row r="1530" spans="2:18">
      <c r="C1530" s="2" t="s">
        <v>5</v>
      </c>
      <c r="D1530" s="2" t="s">
        <v>2180</v>
      </c>
      <c r="E1530" s="3">
        <v>20</v>
      </c>
      <c r="F1530" s="3">
        <f>12/4</f>
        <v>3</v>
      </c>
      <c r="G1530" s="4">
        <v>43647</v>
      </c>
    </row>
    <row r="1531" spans="2:18">
      <c r="G1531" s="4"/>
    </row>
    <row r="1532" spans="2:18">
      <c r="B1532" s="12" t="s">
        <v>1019</v>
      </c>
      <c r="C1532" s="13" t="s">
        <v>986</v>
      </c>
      <c r="D1532" s="13" t="s">
        <v>985</v>
      </c>
      <c r="F1532" s="15">
        <f>SUM(F1533:F1537)</f>
        <v>12.6</v>
      </c>
      <c r="G1532" s="14">
        <f>G1533</f>
        <v>44796</v>
      </c>
    </row>
    <row r="1533" spans="2:18">
      <c r="C1533" s="2" t="s">
        <v>5</v>
      </c>
      <c r="D1533" s="2" t="s">
        <v>712</v>
      </c>
      <c r="E1533" s="3">
        <v>50</v>
      </c>
      <c r="F1533" s="3">
        <f>30/12</f>
        <v>2.5</v>
      </c>
      <c r="G1533" s="4">
        <v>44796</v>
      </c>
    </row>
    <row r="1534" spans="2:18">
      <c r="C1534" s="2" t="s">
        <v>4</v>
      </c>
      <c r="D1534" s="2" t="s">
        <v>712</v>
      </c>
      <c r="E1534" s="3">
        <v>12.5</v>
      </c>
      <c r="F1534" s="3">
        <f>8/5</f>
        <v>1.6</v>
      </c>
      <c r="G1534" s="4">
        <v>44623</v>
      </c>
    </row>
    <row r="1535" spans="2:18">
      <c r="C1535" s="2" t="s">
        <v>4</v>
      </c>
      <c r="D1535" s="2" t="s">
        <v>712</v>
      </c>
      <c r="E1535" s="3">
        <v>7.2</v>
      </c>
      <c r="F1535" s="3">
        <v>2</v>
      </c>
      <c r="G1535" s="4">
        <v>44508</v>
      </c>
    </row>
    <row r="1536" spans="2:18">
      <c r="C1536" s="2" t="s">
        <v>5</v>
      </c>
      <c r="D1536" s="2" t="s">
        <v>687</v>
      </c>
      <c r="E1536" s="3">
        <v>15</v>
      </c>
      <c r="F1536" s="3">
        <v>5</v>
      </c>
      <c r="G1536" s="4">
        <v>44482</v>
      </c>
    </row>
    <row r="1537" spans="2:18">
      <c r="C1537" s="2" t="s">
        <v>4</v>
      </c>
      <c r="D1537" s="2" t="s">
        <v>687</v>
      </c>
      <c r="E1537" s="3">
        <v>4.5</v>
      </c>
      <c r="F1537" s="3">
        <v>1.5</v>
      </c>
      <c r="G1537" s="4">
        <v>44362</v>
      </c>
    </row>
    <row r="1538" spans="2:18">
      <c r="G1538" s="4"/>
    </row>
    <row r="1539" spans="2:18">
      <c r="B1539" s="12" t="s">
        <v>1024</v>
      </c>
      <c r="C1539" s="13" t="s">
        <v>986</v>
      </c>
      <c r="D1539" s="13" t="s">
        <v>985</v>
      </c>
      <c r="F1539" s="15">
        <f>SUM(F1540:F1541)</f>
        <v>12</v>
      </c>
      <c r="G1539" s="14">
        <f>+G1541</f>
        <v>45013</v>
      </c>
    </row>
    <row r="1540" spans="2:18">
      <c r="C1540" s="2" t="s">
        <v>18</v>
      </c>
      <c r="D1540" s="2" t="s">
        <v>1023</v>
      </c>
      <c r="E1540" s="3">
        <v>100</v>
      </c>
      <c r="F1540" s="3">
        <v>10</v>
      </c>
      <c r="G1540" s="4">
        <v>44754</v>
      </c>
    </row>
    <row r="1541" spans="2:18">
      <c r="C1541" s="2" t="s">
        <v>5</v>
      </c>
      <c r="D1541" s="2" t="s">
        <v>1022</v>
      </c>
      <c r="E1541" s="3">
        <v>25.6</v>
      </c>
      <c r="F1541" s="3">
        <v>2</v>
      </c>
      <c r="G1541" s="4">
        <v>45013</v>
      </c>
    </row>
    <row r="1542" spans="2:18">
      <c r="G1542" s="4"/>
    </row>
    <row r="1543" spans="2:18" s="12" customFormat="1">
      <c r="B1543" s="12" t="s">
        <v>1020</v>
      </c>
      <c r="C1543" s="13" t="s">
        <v>986</v>
      </c>
      <c r="D1543" s="13" t="s">
        <v>985</v>
      </c>
      <c r="E1543" s="15"/>
      <c r="F1543" s="15">
        <f>SUM(F1544:F1546)</f>
        <v>10.6</v>
      </c>
      <c r="G1543" s="14">
        <f>G1544</f>
        <v>44650</v>
      </c>
      <c r="M1543" s="13"/>
      <c r="N1543" s="13"/>
      <c r="O1543" s="13"/>
      <c r="P1543" s="13"/>
      <c r="Q1543" s="13"/>
      <c r="R1543" s="13"/>
    </row>
    <row r="1544" spans="2:18">
      <c r="C1544" s="2" t="s">
        <v>7</v>
      </c>
      <c r="D1544" s="2" t="s">
        <v>905</v>
      </c>
      <c r="E1544" s="3">
        <v>40</v>
      </c>
      <c r="F1544" s="3">
        <v>5</v>
      </c>
      <c r="G1544" s="4">
        <v>44650</v>
      </c>
    </row>
    <row r="1545" spans="2:18">
      <c r="C1545" s="2" t="s">
        <v>5</v>
      </c>
      <c r="D1545" s="2" t="s">
        <v>905</v>
      </c>
      <c r="E1545" s="3">
        <v>14</v>
      </c>
      <c r="F1545" s="3">
        <f>9/5</f>
        <v>1.8</v>
      </c>
      <c r="G1545" s="4">
        <v>44131</v>
      </c>
    </row>
    <row r="1546" spans="2:18">
      <c r="C1546" s="2" t="s">
        <v>5</v>
      </c>
      <c r="D1546" s="2" t="s">
        <v>884</v>
      </c>
      <c r="E1546" s="3">
        <v>21.4</v>
      </c>
      <c r="F1546" s="3">
        <f>11.4/3</f>
        <v>3.8000000000000003</v>
      </c>
      <c r="G1546" s="4">
        <v>44232</v>
      </c>
    </row>
    <row r="1547" spans="2:18">
      <c r="G1547" s="4"/>
    </row>
    <row r="1548" spans="2:18" s="12" customFormat="1">
      <c r="B1548" s="12" t="s">
        <v>1018</v>
      </c>
      <c r="C1548" s="13" t="s">
        <v>986</v>
      </c>
      <c r="D1548" s="13" t="s">
        <v>985</v>
      </c>
      <c r="E1548" s="15"/>
      <c r="F1548" s="15">
        <f>SUM(F1549:F1550)</f>
        <v>11</v>
      </c>
      <c r="G1548" s="14">
        <f>G1549</f>
        <v>44699</v>
      </c>
      <c r="M1548" s="13"/>
      <c r="N1548" s="13"/>
      <c r="O1548" s="13"/>
      <c r="P1548" s="13"/>
      <c r="Q1548" s="13"/>
      <c r="R1548" s="13"/>
    </row>
    <row r="1549" spans="2:18">
      <c r="C1549" s="2" t="s">
        <v>5</v>
      </c>
      <c r="D1549" s="2" t="s">
        <v>1017</v>
      </c>
      <c r="E1549" s="3">
        <v>25</v>
      </c>
      <c r="F1549" s="3">
        <v>10</v>
      </c>
      <c r="G1549" s="4">
        <v>44699</v>
      </c>
    </row>
    <row r="1550" spans="2:18">
      <c r="C1550" s="2" t="s">
        <v>5</v>
      </c>
      <c r="D1550" s="2" t="s">
        <v>708</v>
      </c>
      <c r="E1550" s="3">
        <v>5.6</v>
      </c>
      <c r="F1550" s="3">
        <v>1</v>
      </c>
      <c r="G1550" s="4">
        <v>44292</v>
      </c>
    </row>
    <row r="1551" spans="2:18">
      <c r="G1551" s="4"/>
    </row>
    <row r="1552" spans="2:18" s="12" customFormat="1">
      <c r="B1552" s="12" t="s">
        <v>1016</v>
      </c>
      <c r="C1552" s="13" t="s">
        <v>986</v>
      </c>
      <c r="D1552" s="13" t="s">
        <v>985</v>
      </c>
      <c r="E1552" s="15"/>
      <c r="F1552" s="15">
        <f>SUM(F1553:F1554)</f>
        <v>10.5</v>
      </c>
      <c r="G1552" s="14">
        <f>G1554</f>
        <v>44602</v>
      </c>
      <c r="M1552" s="13"/>
      <c r="N1552" s="13"/>
      <c r="O1552" s="13"/>
      <c r="P1552" s="13"/>
      <c r="Q1552" s="13"/>
      <c r="R1552" s="13"/>
    </row>
    <row r="1553" spans="2:18">
      <c r="C1553" s="2" t="s">
        <v>5</v>
      </c>
      <c r="D1553" s="2" t="s">
        <v>704</v>
      </c>
      <c r="E1553" s="3">
        <v>18.5</v>
      </c>
      <c r="F1553" s="3">
        <v>8.5</v>
      </c>
      <c r="G1553" s="4">
        <v>44242</v>
      </c>
    </row>
    <row r="1554" spans="2:18">
      <c r="C1554" s="2" t="s">
        <v>5</v>
      </c>
      <c r="D1554" s="2" t="s">
        <v>837</v>
      </c>
      <c r="E1554" s="3">
        <v>25</v>
      </c>
      <c r="F1554" s="3">
        <v>2</v>
      </c>
      <c r="G1554" s="4">
        <v>44602</v>
      </c>
    </row>
    <row r="1555" spans="2:18">
      <c r="G1555" s="4"/>
    </row>
    <row r="1556" spans="2:18">
      <c r="B1556" s="12" t="s">
        <v>1002</v>
      </c>
      <c r="C1556" s="13" t="s">
        <v>986</v>
      </c>
      <c r="D1556" s="13" t="s">
        <v>985</v>
      </c>
      <c r="F1556" s="15">
        <f>SUM(F1557:F1560)</f>
        <v>11.333333333333332</v>
      </c>
      <c r="G1556" s="14">
        <f>G1558</f>
        <v>44467</v>
      </c>
    </row>
    <row r="1557" spans="2:18">
      <c r="C1557" s="2" t="s">
        <v>5</v>
      </c>
      <c r="D1557" s="2" t="s">
        <v>844</v>
      </c>
      <c r="E1557" s="3">
        <v>20</v>
      </c>
      <c r="F1557" s="3">
        <f>12/6</f>
        <v>2</v>
      </c>
      <c r="G1557" s="4">
        <v>43816</v>
      </c>
    </row>
    <row r="1558" spans="2:18">
      <c r="C1558" s="2" t="s">
        <v>5</v>
      </c>
      <c r="D1558" s="2" t="s">
        <v>1001</v>
      </c>
      <c r="E1558" s="3">
        <v>19</v>
      </c>
      <c r="F1558" s="3">
        <v>4</v>
      </c>
      <c r="G1558" s="4">
        <v>44467</v>
      </c>
    </row>
    <row r="1559" spans="2:18">
      <c r="C1559" s="2" t="s">
        <v>5</v>
      </c>
      <c r="D1559" s="2" t="s">
        <v>288</v>
      </c>
      <c r="E1559" s="3">
        <v>26</v>
      </c>
      <c r="F1559" s="3">
        <v>4.333333333333333</v>
      </c>
      <c r="G1559" s="4">
        <v>44453</v>
      </c>
    </row>
    <row r="1560" spans="2:18">
      <c r="C1560" s="2" t="s">
        <v>4</v>
      </c>
      <c r="D1560" s="2" t="s">
        <v>288</v>
      </c>
      <c r="E1560" s="3">
        <v>6.2</v>
      </c>
      <c r="F1560" s="3">
        <v>1</v>
      </c>
      <c r="G1560" s="4">
        <v>44201</v>
      </c>
    </row>
    <row r="1561" spans="2:18">
      <c r="G1561" s="4"/>
    </row>
    <row r="1562" spans="2:18" s="12" customFormat="1">
      <c r="B1562" s="12" t="s">
        <v>935</v>
      </c>
      <c r="C1562" s="13" t="s">
        <v>986</v>
      </c>
      <c r="D1562" s="13" t="s">
        <v>985</v>
      </c>
      <c r="E1562" s="15"/>
      <c r="F1562" s="15">
        <f>SUM(F1563:F1564)</f>
        <v>11</v>
      </c>
      <c r="G1562" s="14">
        <f>G1563</f>
        <v>45090</v>
      </c>
      <c r="M1562" s="13"/>
      <c r="N1562" s="13"/>
      <c r="O1562" s="13"/>
      <c r="P1562" s="13"/>
      <c r="Q1562" s="13"/>
      <c r="R1562" s="13"/>
    </row>
    <row r="1563" spans="2:18">
      <c r="C1563" s="2" t="s">
        <v>4</v>
      </c>
      <c r="D1563" s="2" t="s">
        <v>717</v>
      </c>
      <c r="E1563" s="3">
        <v>113</v>
      </c>
      <c r="F1563" s="3">
        <v>8</v>
      </c>
      <c r="G1563" s="4">
        <v>45090</v>
      </c>
    </row>
    <row r="1564" spans="2:18">
      <c r="C1564" s="2" t="s">
        <v>5</v>
      </c>
      <c r="D1564" s="2" t="s">
        <v>2180</v>
      </c>
      <c r="E1564" s="3">
        <v>20</v>
      </c>
      <c r="F1564" s="3">
        <v>3</v>
      </c>
      <c r="G1564" s="4">
        <v>44044</v>
      </c>
    </row>
    <row r="1565" spans="2:18">
      <c r="G1565" s="4"/>
    </row>
    <row r="1566" spans="2:18">
      <c r="B1566" s="12" t="s">
        <v>1015</v>
      </c>
      <c r="C1566" s="13" t="s">
        <v>986</v>
      </c>
      <c r="D1566" s="13" t="s">
        <v>985</v>
      </c>
      <c r="E1566" s="15"/>
      <c r="F1566" s="15">
        <f>+F1567+F1568</f>
        <v>10.166666666666668</v>
      </c>
      <c r="G1566" s="14">
        <f>+G1567</f>
        <v>44417</v>
      </c>
    </row>
    <row r="1567" spans="2:18">
      <c r="C1567" s="2" t="s">
        <v>18</v>
      </c>
      <c r="D1567" s="2" t="s">
        <v>890</v>
      </c>
      <c r="E1567" s="3">
        <v>85</v>
      </c>
      <c r="F1567" s="3">
        <v>6</v>
      </c>
      <c r="G1567" s="4">
        <v>44417</v>
      </c>
    </row>
    <row r="1568" spans="2:18">
      <c r="C1568" s="2" t="s">
        <v>7</v>
      </c>
      <c r="D1568" s="2" t="s">
        <v>890</v>
      </c>
      <c r="E1568" s="3">
        <v>35</v>
      </c>
      <c r="F1568" s="3">
        <f>25/6</f>
        <v>4.166666666666667</v>
      </c>
      <c r="G1568" s="4">
        <v>44293</v>
      </c>
    </row>
    <row r="1569" spans="2:18">
      <c r="G1569" s="4"/>
    </row>
    <row r="1570" spans="2:18" s="12" customFormat="1">
      <c r="B1570" s="12" t="s">
        <v>750</v>
      </c>
      <c r="C1570" s="13" t="s">
        <v>986</v>
      </c>
      <c r="D1570" s="13" t="s">
        <v>985</v>
      </c>
      <c r="E1570" s="15"/>
      <c r="F1570" s="15">
        <f>SUM(F1571:F1573)</f>
        <v>9.8000000000000007</v>
      </c>
      <c r="G1570" s="14">
        <f>G1571</f>
        <v>44755</v>
      </c>
    </row>
    <row r="1571" spans="2:18">
      <c r="C1571" s="2" t="s">
        <v>7</v>
      </c>
      <c r="D1571" s="2" t="s">
        <v>747</v>
      </c>
      <c r="E1571" s="3">
        <v>25</v>
      </c>
      <c r="F1571" s="3">
        <f>15/5</f>
        <v>3</v>
      </c>
      <c r="G1571" s="4">
        <v>44755</v>
      </c>
    </row>
    <row r="1572" spans="2:18">
      <c r="C1572" s="2" t="s">
        <v>5</v>
      </c>
      <c r="D1572" s="2" t="s">
        <v>747</v>
      </c>
      <c r="E1572" s="3">
        <v>21</v>
      </c>
      <c r="F1572" s="3">
        <f>14/5</f>
        <v>2.8</v>
      </c>
      <c r="G1572" s="4">
        <v>44489</v>
      </c>
    </row>
    <row r="1573" spans="2:18">
      <c r="C1573" s="2" t="s">
        <v>4</v>
      </c>
      <c r="D1573" s="2" t="s">
        <v>747</v>
      </c>
      <c r="E1573" s="3">
        <v>9.1</v>
      </c>
      <c r="F1573" s="3">
        <v>4</v>
      </c>
      <c r="G1573" s="4">
        <v>44131</v>
      </c>
    </row>
    <row r="1574" spans="2:18">
      <c r="G1574" s="4"/>
    </row>
    <row r="1575" spans="2:18" s="12" customFormat="1">
      <c r="B1575" s="12" t="s">
        <v>1014</v>
      </c>
      <c r="C1575" s="13" t="s">
        <v>986</v>
      </c>
      <c r="D1575" s="13" t="s">
        <v>985</v>
      </c>
      <c r="E1575" s="15"/>
      <c r="F1575" s="15">
        <f>SUM(F1576:F1577)</f>
        <v>10.142857142857142</v>
      </c>
      <c r="G1575" s="14">
        <f>G1576</f>
        <v>44628</v>
      </c>
      <c r="M1575" s="13"/>
      <c r="N1575" s="13"/>
      <c r="O1575" s="13"/>
      <c r="P1575" s="13"/>
      <c r="Q1575" s="13"/>
      <c r="R1575" s="13"/>
    </row>
    <row r="1576" spans="2:18">
      <c r="C1576" s="2" t="s">
        <v>7</v>
      </c>
      <c r="D1576" s="2" t="s">
        <v>877</v>
      </c>
      <c r="E1576" s="3">
        <v>50</v>
      </c>
      <c r="F1576" s="3">
        <f>E1576/7</f>
        <v>7.1428571428571432</v>
      </c>
      <c r="G1576" s="4">
        <v>44628</v>
      </c>
    </row>
    <row r="1577" spans="2:18">
      <c r="C1577" s="2" t="s">
        <v>5</v>
      </c>
      <c r="D1577" s="2" t="s">
        <v>877</v>
      </c>
      <c r="E1577" s="3">
        <v>10</v>
      </c>
      <c r="F1577" s="3">
        <v>3</v>
      </c>
      <c r="G1577" s="4">
        <v>44378</v>
      </c>
    </row>
    <row r="1578" spans="2:18">
      <c r="G1578" s="4"/>
    </row>
    <row r="1579" spans="2:18" s="12" customFormat="1">
      <c r="B1579" s="12" t="s">
        <v>1013</v>
      </c>
      <c r="C1579" s="18" t="s">
        <v>986</v>
      </c>
      <c r="D1579" s="18" t="s">
        <v>985</v>
      </c>
      <c r="E1579" s="17"/>
      <c r="F1579" s="17">
        <f>SUM(F1580:F1582)</f>
        <v>10</v>
      </c>
      <c r="G1579" s="16">
        <f>G1580</f>
        <v>44963</v>
      </c>
      <c r="M1579" s="13"/>
      <c r="N1579" s="13"/>
      <c r="O1579" s="13"/>
      <c r="P1579" s="13"/>
      <c r="Q1579" s="13"/>
      <c r="R1579" s="13"/>
    </row>
    <row r="1580" spans="2:18">
      <c r="C1580" s="2" t="s">
        <v>5</v>
      </c>
      <c r="D1580" s="2" t="s">
        <v>1012</v>
      </c>
      <c r="E1580" s="3">
        <v>23</v>
      </c>
      <c r="F1580" s="3">
        <v>5</v>
      </c>
      <c r="G1580" s="4">
        <v>44963</v>
      </c>
    </row>
    <row r="1581" spans="2:18">
      <c r="C1581" s="2" t="s">
        <v>5</v>
      </c>
      <c r="D1581" s="2" t="s">
        <v>680</v>
      </c>
      <c r="E1581" s="3">
        <v>14</v>
      </c>
      <c r="F1581" s="3">
        <v>3</v>
      </c>
      <c r="G1581" s="4">
        <v>44705</v>
      </c>
    </row>
    <row r="1582" spans="2:18">
      <c r="C1582" s="2" t="s">
        <v>4</v>
      </c>
      <c r="D1582" s="2" t="s">
        <v>680</v>
      </c>
      <c r="E1582" s="3">
        <v>5</v>
      </c>
      <c r="F1582" s="3">
        <v>2</v>
      </c>
      <c r="G1582" s="4">
        <v>44578</v>
      </c>
    </row>
    <row r="1583" spans="2:18">
      <c r="G1583" s="4"/>
    </row>
    <row r="1584" spans="2:18" s="12" customFormat="1">
      <c r="B1584" s="12" t="s">
        <v>751</v>
      </c>
      <c r="C1584" s="13" t="s">
        <v>986</v>
      </c>
      <c r="D1584" s="13" t="s">
        <v>985</v>
      </c>
      <c r="E1584" s="15"/>
      <c r="F1584" s="15">
        <f>SUM(F1585:F1587)</f>
        <v>9.8000000000000007</v>
      </c>
      <c r="G1584" s="14">
        <f>G1585</f>
        <v>44755</v>
      </c>
    </row>
    <row r="1585" spans="2:18">
      <c r="C1585" s="2" t="s">
        <v>7</v>
      </c>
      <c r="D1585" s="2" t="s">
        <v>747</v>
      </c>
      <c r="E1585" s="3">
        <v>25</v>
      </c>
      <c r="F1585" s="3">
        <f>15/5</f>
        <v>3</v>
      </c>
      <c r="G1585" s="4">
        <v>44755</v>
      </c>
    </row>
    <row r="1586" spans="2:18">
      <c r="C1586" s="2" t="s">
        <v>5</v>
      </c>
      <c r="D1586" s="2" t="s">
        <v>747</v>
      </c>
      <c r="E1586" s="3">
        <v>21</v>
      </c>
      <c r="F1586" s="3">
        <f>14/5</f>
        <v>2.8</v>
      </c>
      <c r="G1586" s="4">
        <v>44489</v>
      </c>
    </row>
    <row r="1587" spans="2:18">
      <c r="C1587" s="2" t="s">
        <v>4</v>
      </c>
      <c r="D1587" s="2" t="s">
        <v>747</v>
      </c>
      <c r="E1587" s="3">
        <v>9.1</v>
      </c>
      <c r="F1587" s="3">
        <v>4</v>
      </c>
      <c r="G1587" s="4">
        <v>44131</v>
      </c>
    </row>
    <row r="1588" spans="2:18">
      <c r="G1588" s="4"/>
    </row>
    <row r="1589" spans="2:18" s="12" customFormat="1">
      <c r="B1589" s="12" t="s">
        <v>1011</v>
      </c>
      <c r="C1589" s="13" t="s">
        <v>986</v>
      </c>
      <c r="D1589" s="13" t="s">
        <v>985</v>
      </c>
      <c r="E1589" s="15"/>
      <c r="F1589" s="15">
        <f>SUM(F1590:F1591)</f>
        <v>10.142857142857142</v>
      </c>
      <c r="G1589" s="14">
        <f>G1590</f>
        <v>44628</v>
      </c>
      <c r="M1589" s="13"/>
      <c r="N1589" s="13"/>
      <c r="O1589" s="13"/>
      <c r="P1589" s="13"/>
      <c r="Q1589" s="13"/>
      <c r="R1589" s="13"/>
    </row>
    <row r="1590" spans="2:18">
      <c r="C1590" s="2" t="s">
        <v>7</v>
      </c>
      <c r="D1590" s="2" t="s">
        <v>877</v>
      </c>
      <c r="E1590" s="3">
        <v>50</v>
      </c>
      <c r="F1590" s="3">
        <f>E1590/7</f>
        <v>7.1428571428571432</v>
      </c>
      <c r="G1590" s="4">
        <v>44628</v>
      </c>
    </row>
    <row r="1591" spans="2:18">
      <c r="C1591" s="2" t="s">
        <v>5</v>
      </c>
      <c r="D1591" s="2" t="s">
        <v>877</v>
      </c>
      <c r="E1591" s="3">
        <v>10</v>
      </c>
      <c r="F1591" s="3">
        <v>3</v>
      </c>
      <c r="G1591" s="4">
        <v>44378</v>
      </c>
    </row>
    <row r="1592" spans="2:18">
      <c r="G1592" s="4"/>
    </row>
    <row r="1593" spans="2:18" s="12" customFormat="1">
      <c r="B1593" s="12" t="s">
        <v>1010</v>
      </c>
      <c r="C1593" s="13" t="s">
        <v>986</v>
      </c>
      <c r="D1593" s="13" t="s">
        <v>985</v>
      </c>
      <c r="E1593" s="15"/>
      <c r="F1593" s="15">
        <f>SUM(F1594:F1597)</f>
        <v>10</v>
      </c>
      <c r="G1593" s="14">
        <f>G1597</f>
        <v>44578</v>
      </c>
      <c r="M1593" s="13"/>
      <c r="N1593" s="13"/>
      <c r="O1593" s="13"/>
      <c r="P1593" s="13"/>
      <c r="Q1593" s="13"/>
      <c r="R1593" s="13"/>
    </row>
    <row r="1594" spans="2:18">
      <c r="C1594" s="2" t="s">
        <v>5</v>
      </c>
      <c r="D1594" s="2" t="s">
        <v>886</v>
      </c>
      <c r="E1594" s="3">
        <v>30</v>
      </c>
      <c r="F1594" s="3">
        <v>4</v>
      </c>
      <c r="G1594" s="4">
        <v>44522</v>
      </c>
    </row>
    <row r="1595" spans="2:18">
      <c r="C1595" s="2" t="s">
        <v>4</v>
      </c>
      <c r="D1595" s="2" t="s">
        <v>886</v>
      </c>
      <c r="E1595" s="3">
        <v>5.5</v>
      </c>
      <c r="F1595" s="3">
        <v>1</v>
      </c>
      <c r="G1595" s="4">
        <v>44096</v>
      </c>
    </row>
    <row r="1596" spans="2:18">
      <c r="C1596" s="2" t="s">
        <v>4</v>
      </c>
      <c r="D1596" s="2" t="s">
        <v>886</v>
      </c>
      <c r="E1596" s="3">
        <v>2</v>
      </c>
      <c r="F1596" s="3">
        <v>2</v>
      </c>
      <c r="G1596" s="4">
        <v>43862</v>
      </c>
    </row>
    <row r="1597" spans="2:18">
      <c r="C1597" s="2" t="s">
        <v>5</v>
      </c>
      <c r="D1597" s="2" t="s">
        <v>831</v>
      </c>
      <c r="E1597" s="3">
        <v>20</v>
      </c>
      <c r="F1597" s="3">
        <v>3</v>
      </c>
      <c r="G1597" s="4">
        <v>44578</v>
      </c>
    </row>
    <row r="1599" spans="2:18" s="12" customFormat="1">
      <c r="B1599" s="12" t="s">
        <v>1009</v>
      </c>
      <c r="C1599" s="13" t="s">
        <v>986</v>
      </c>
      <c r="D1599" s="13" t="s">
        <v>985</v>
      </c>
      <c r="E1599" s="15"/>
      <c r="F1599" s="15">
        <f>SUM(F1600:F1605)</f>
        <v>9.5499999999999989</v>
      </c>
      <c r="G1599" s="14">
        <f>G1604</f>
        <v>44637</v>
      </c>
    </row>
    <row r="1600" spans="2:18">
      <c r="C1600" s="2" t="s">
        <v>18</v>
      </c>
      <c r="D1600" s="2" t="s">
        <v>617</v>
      </c>
      <c r="E1600" s="3">
        <v>48</v>
      </c>
      <c r="F1600" s="3">
        <v>4</v>
      </c>
      <c r="G1600" s="4">
        <v>43888</v>
      </c>
      <c r="M1600" s="1"/>
      <c r="N1600" s="1"/>
      <c r="O1600" s="1"/>
      <c r="P1600" s="1"/>
      <c r="Q1600" s="1"/>
      <c r="R1600" s="1"/>
    </row>
    <row r="1601" spans="2:18">
      <c r="C1601" s="2" t="s">
        <v>7</v>
      </c>
      <c r="D1601" s="2" t="s">
        <v>617</v>
      </c>
      <c r="E1601" s="3">
        <v>25</v>
      </c>
      <c r="F1601" s="3">
        <v>2</v>
      </c>
      <c r="G1601" s="4">
        <v>43440</v>
      </c>
      <c r="M1601" s="1"/>
      <c r="N1601" s="1"/>
      <c r="O1601" s="1"/>
      <c r="P1601" s="1"/>
      <c r="Q1601" s="1"/>
      <c r="R1601" s="1"/>
    </row>
    <row r="1602" spans="2:18">
      <c r="C1602" s="2" t="s">
        <v>5</v>
      </c>
      <c r="D1602" s="2" t="s">
        <v>617</v>
      </c>
      <c r="E1602" s="3">
        <v>5.8</v>
      </c>
      <c r="F1602" s="3">
        <f>E1602/4</f>
        <v>1.45</v>
      </c>
      <c r="G1602" s="4">
        <v>43117</v>
      </c>
      <c r="M1602" s="1"/>
      <c r="N1602" s="1"/>
      <c r="O1602" s="1"/>
      <c r="P1602" s="1"/>
      <c r="Q1602" s="1"/>
      <c r="R1602" s="1"/>
    </row>
    <row r="1603" spans="2:18">
      <c r="C1603" s="2" t="s">
        <v>4</v>
      </c>
      <c r="D1603" s="2" t="s">
        <v>617</v>
      </c>
      <c r="E1603" s="3">
        <v>3.3</v>
      </c>
      <c r="F1603" s="3">
        <v>0.5</v>
      </c>
      <c r="G1603" s="4">
        <v>42678</v>
      </c>
      <c r="M1603" s="1"/>
      <c r="N1603" s="1"/>
      <c r="O1603" s="1"/>
      <c r="P1603" s="1"/>
      <c r="Q1603" s="1"/>
      <c r="R1603" s="1"/>
    </row>
    <row r="1604" spans="2:18">
      <c r="C1604" s="2" t="s">
        <v>5</v>
      </c>
      <c r="D1604" s="2" t="s">
        <v>309</v>
      </c>
      <c r="E1604" s="3">
        <v>10</v>
      </c>
      <c r="F1604" s="3">
        <v>1.4</v>
      </c>
      <c r="G1604" s="4">
        <v>44637</v>
      </c>
      <c r="M1604" s="1"/>
      <c r="N1604" s="1"/>
      <c r="O1604" s="1"/>
      <c r="P1604" s="1"/>
      <c r="Q1604" s="1"/>
      <c r="R1604" s="1"/>
    </row>
    <row r="1605" spans="2:18">
      <c r="C1605" s="2" t="s">
        <v>4</v>
      </c>
      <c r="D1605" s="2" t="s">
        <v>309</v>
      </c>
      <c r="E1605" s="3">
        <v>1.8</v>
      </c>
      <c r="F1605" s="3">
        <v>0.2</v>
      </c>
      <c r="G1605" s="4">
        <v>42690</v>
      </c>
      <c r="M1605" s="1"/>
      <c r="N1605" s="1"/>
      <c r="O1605" s="1"/>
      <c r="P1605" s="1"/>
      <c r="Q1605" s="1"/>
      <c r="R1605" s="1"/>
    </row>
    <row r="1606" spans="2:18">
      <c r="G1606" s="4"/>
      <c r="M1606" s="1"/>
      <c r="N1606" s="1"/>
      <c r="O1606" s="1"/>
      <c r="P1606" s="1"/>
      <c r="Q1606" s="1"/>
      <c r="R1606" s="1"/>
    </row>
    <row r="1607" spans="2:18" s="12" customFormat="1">
      <c r="B1607" s="12" t="s">
        <v>1008</v>
      </c>
      <c r="C1607" s="13" t="s">
        <v>986</v>
      </c>
      <c r="D1607" s="13" t="s">
        <v>985</v>
      </c>
      <c r="E1607" s="15"/>
      <c r="F1607" s="15">
        <f>SUM(F1608:F1609)</f>
        <v>8.8000000000000007</v>
      </c>
      <c r="G1607" s="14">
        <f>G1609</f>
        <v>44455</v>
      </c>
      <c r="M1607" s="13"/>
      <c r="N1607" s="13"/>
      <c r="O1607" s="13"/>
      <c r="P1607" s="13"/>
      <c r="Q1607" s="13"/>
      <c r="R1607" s="13"/>
    </row>
    <row r="1608" spans="2:18">
      <c r="C1608" s="2" t="s">
        <v>5</v>
      </c>
      <c r="D1608" s="2" t="s">
        <v>884</v>
      </c>
      <c r="E1608" s="3">
        <v>21.4</v>
      </c>
      <c r="F1608" s="3">
        <f>11.4/3</f>
        <v>3.8000000000000003</v>
      </c>
      <c r="G1608" s="4">
        <v>44232</v>
      </c>
    </row>
    <row r="1609" spans="2:18">
      <c r="C1609" s="2" t="s">
        <v>5</v>
      </c>
      <c r="D1609" s="2" t="s">
        <v>732</v>
      </c>
      <c r="E1609" s="3">
        <v>20</v>
      </c>
      <c r="F1609" s="3">
        <v>5</v>
      </c>
      <c r="G1609" s="4">
        <v>44455</v>
      </c>
    </row>
    <row r="1610" spans="2:18">
      <c r="G1610" s="4"/>
    </row>
    <row r="1611" spans="2:18" s="12" customFormat="1">
      <c r="B1611" s="12" t="s">
        <v>746</v>
      </c>
      <c r="C1611" s="13" t="s">
        <v>986</v>
      </c>
      <c r="D1611" s="13" t="s">
        <v>985</v>
      </c>
      <c r="E1611" s="15"/>
      <c r="F1611" s="15">
        <f>SUM(F1612:F1613)</f>
        <v>7.5</v>
      </c>
      <c r="G1611" s="14">
        <f>G1612</f>
        <v>44757</v>
      </c>
    </row>
    <row r="1612" spans="2:18">
      <c r="C1612" s="2" t="s">
        <v>5</v>
      </c>
      <c r="D1612" s="2" t="s">
        <v>742</v>
      </c>
      <c r="E1612" s="3">
        <v>25</v>
      </c>
      <c r="F1612" s="3">
        <v>7</v>
      </c>
      <c r="G1612" s="4">
        <v>44757</v>
      </c>
    </row>
    <row r="1613" spans="2:18">
      <c r="C1613" s="2" t="s">
        <v>4</v>
      </c>
      <c r="D1613" s="2" t="s">
        <v>742</v>
      </c>
      <c r="E1613" s="3">
        <v>4</v>
      </c>
      <c r="F1613" s="3">
        <v>0.5</v>
      </c>
      <c r="G1613" s="4">
        <v>44340</v>
      </c>
    </row>
    <row r="1614" spans="2:18">
      <c r="G1614" s="4"/>
    </row>
    <row r="1615" spans="2:18" s="12" customFormat="1">
      <c r="B1615" s="12" t="s">
        <v>1007</v>
      </c>
      <c r="C1615" s="13" t="s">
        <v>986</v>
      </c>
      <c r="D1615" s="13" t="s">
        <v>985</v>
      </c>
      <c r="E1615" s="15"/>
      <c r="F1615" s="15">
        <f>SUM(F1616:F1617)</f>
        <v>7.5</v>
      </c>
      <c r="G1615" s="14">
        <f>G1616</f>
        <v>44796</v>
      </c>
      <c r="M1615" s="13"/>
      <c r="N1615" s="13"/>
      <c r="O1615" s="13"/>
      <c r="P1615" s="13"/>
      <c r="Q1615" s="13"/>
      <c r="R1615" s="13"/>
    </row>
    <row r="1616" spans="2:18">
      <c r="C1616" s="2" t="s">
        <v>5</v>
      </c>
      <c r="D1616" s="2" t="s">
        <v>712</v>
      </c>
      <c r="E1616" s="3">
        <v>50</v>
      </c>
      <c r="F1616" s="3">
        <f>30/12</f>
        <v>2.5</v>
      </c>
      <c r="G1616" s="4">
        <v>44796</v>
      </c>
    </row>
    <row r="1617" spans="2:18">
      <c r="C1617" s="2" t="s">
        <v>4</v>
      </c>
      <c r="D1617" s="2" t="s">
        <v>712</v>
      </c>
      <c r="E1617" s="3">
        <v>12.5</v>
      </c>
      <c r="F1617" s="3">
        <v>5</v>
      </c>
      <c r="G1617" s="4">
        <v>44623</v>
      </c>
    </row>
    <row r="1619" spans="2:18" s="12" customFormat="1">
      <c r="B1619" s="12" t="s">
        <v>1006</v>
      </c>
      <c r="C1619" s="13" t="s">
        <v>986</v>
      </c>
      <c r="D1619" s="13" t="s">
        <v>985</v>
      </c>
      <c r="E1619" s="15"/>
      <c r="F1619" s="15">
        <f>SUM(F1620:F1621)</f>
        <v>6.8</v>
      </c>
      <c r="G1619" s="14">
        <f>G1620</f>
        <v>44650</v>
      </c>
      <c r="M1619" s="13"/>
      <c r="N1619" s="13"/>
      <c r="O1619" s="13"/>
      <c r="P1619" s="13"/>
      <c r="Q1619" s="13"/>
      <c r="R1619" s="13"/>
    </row>
    <row r="1620" spans="2:18">
      <c r="C1620" s="2" t="s">
        <v>7</v>
      </c>
      <c r="D1620" s="2" t="s">
        <v>905</v>
      </c>
      <c r="E1620" s="3">
        <v>40</v>
      </c>
      <c r="F1620" s="3">
        <v>5</v>
      </c>
      <c r="G1620" s="4">
        <v>44650</v>
      </c>
    </row>
    <row r="1621" spans="2:18">
      <c r="C1621" s="2" t="s">
        <v>5</v>
      </c>
      <c r="D1621" s="2" t="s">
        <v>905</v>
      </c>
      <c r="E1621" s="3">
        <v>14</v>
      </c>
      <c r="F1621" s="3">
        <f>9/5</f>
        <v>1.8</v>
      </c>
      <c r="G1621" s="4">
        <v>44131</v>
      </c>
    </row>
    <row r="1622" spans="2:18">
      <c r="G1622" s="4"/>
    </row>
    <row r="1623" spans="2:18" s="12" customFormat="1">
      <c r="B1623" s="12" t="s">
        <v>1005</v>
      </c>
      <c r="C1623" s="13" t="s">
        <v>986</v>
      </c>
      <c r="D1623" s="13" t="s">
        <v>985</v>
      </c>
      <c r="E1623" s="15"/>
      <c r="F1623" s="15">
        <f>SUM(F1624:F1625)</f>
        <v>6.1428571428571423</v>
      </c>
      <c r="G1623" s="14">
        <f>G1624</f>
        <v>44691</v>
      </c>
      <c r="M1623" s="13"/>
      <c r="N1623" s="13"/>
      <c r="O1623" s="13"/>
      <c r="P1623" s="13"/>
      <c r="Q1623" s="13"/>
      <c r="R1623" s="13"/>
    </row>
    <row r="1624" spans="2:18">
      <c r="C1624" s="2" t="s">
        <v>4</v>
      </c>
      <c r="D1624" s="2" t="s">
        <v>689</v>
      </c>
      <c r="E1624" s="3">
        <v>15</v>
      </c>
      <c r="F1624" s="3">
        <f>15/7</f>
        <v>2.1428571428571428</v>
      </c>
      <c r="G1624" s="4">
        <v>44691</v>
      </c>
    </row>
    <row r="1625" spans="2:18">
      <c r="C1625" s="2" t="s">
        <v>7</v>
      </c>
      <c r="D1625" s="2" t="s">
        <v>317</v>
      </c>
      <c r="E1625" s="3">
        <v>40</v>
      </c>
      <c r="F1625" s="3">
        <v>4</v>
      </c>
      <c r="G1625" s="4">
        <v>43419</v>
      </c>
    </row>
    <row r="1626" spans="2:18">
      <c r="G1626" s="4"/>
    </row>
    <row r="1627" spans="2:18" s="12" customFormat="1">
      <c r="B1627" s="12" t="s">
        <v>1004</v>
      </c>
      <c r="C1627" s="13" t="s">
        <v>986</v>
      </c>
      <c r="D1627" s="13" t="s">
        <v>985</v>
      </c>
      <c r="E1627" s="15"/>
      <c r="F1627" s="15">
        <f>SUM(F1628:F1629)</f>
        <v>5.75</v>
      </c>
      <c r="G1627" s="14">
        <f>G1628</f>
        <v>44615</v>
      </c>
      <c r="M1627" s="13"/>
      <c r="N1627" s="13"/>
      <c r="O1627" s="13"/>
      <c r="P1627" s="13"/>
      <c r="Q1627" s="13"/>
      <c r="R1627" s="13"/>
    </row>
    <row r="1628" spans="2:18">
      <c r="C1628" s="2" t="s">
        <v>5</v>
      </c>
      <c r="D1628" s="2" t="s">
        <v>1003</v>
      </c>
      <c r="E1628" s="3">
        <v>25</v>
      </c>
      <c r="F1628" s="3">
        <f>15/4</f>
        <v>3.75</v>
      </c>
      <c r="G1628" s="4">
        <v>44615</v>
      </c>
    </row>
    <row r="1629" spans="2:18">
      <c r="C1629" s="2" t="s">
        <v>4</v>
      </c>
      <c r="D1629" s="2" t="s">
        <v>1003</v>
      </c>
      <c r="E1629" s="3">
        <v>5</v>
      </c>
      <c r="F1629" s="3">
        <v>2</v>
      </c>
      <c r="G1629" s="4">
        <v>44292</v>
      </c>
    </row>
    <row r="1630" spans="2:18">
      <c r="G1630" s="4"/>
    </row>
    <row r="1631" spans="2:18" s="12" customFormat="1">
      <c r="B1631" s="12" t="s">
        <v>1000</v>
      </c>
      <c r="C1631" s="13" t="s">
        <v>986</v>
      </c>
      <c r="D1631" s="13" t="s">
        <v>985</v>
      </c>
      <c r="E1631" s="15"/>
      <c r="F1631" s="15">
        <f>SUM(F1632:F1634)</f>
        <v>6</v>
      </c>
      <c r="G1631" s="14">
        <f>G1632</f>
        <v>44636</v>
      </c>
      <c r="M1631" s="13"/>
      <c r="N1631" s="13"/>
      <c r="O1631" s="13"/>
      <c r="P1631" s="13"/>
      <c r="Q1631" s="13"/>
      <c r="R1631" s="13"/>
    </row>
    <row r="1632" spans="2:18">
      <c r="C1632" s="2" t="s">
        <v>7</v>
      </c>
      <c r="D1632" s="2" t="s">
        <v>873</v>
      </c>
      <c r="E1632" s="3">
        <v>25</v>
      </c>
      <c r="F1632" s="3">
        <v>3</v>
      </c>
      <c r="G1632" s="4">
        <v>44636</v>
      </c>
    </row>
    <row r="1633" spans="2:18">
      <c r="C1633" s="2" t="s">
        <v>5</v>
      </c>
      <c r="D1633" s="2" t="s">
        <v>873</v>
      </c>
      <c r="E1633" s="3">
        <v>12</v>
      </c>
      <c r="F1633" s="3">
        <v>2</v>
      </c>
      <c r="G1633" s="4">
        <v>44179</v>
      </c>
    </row>
    <row r="1634" spans="2:18">
      <c r="C1634" s="2" t="s">
        <v>4</v>
      </c>
      <c r="D1634" s="2" t="s">
        <v>873</v>
      </c>
      <c r="E1634" s="3">
        <v>5.0999999999999996</v>
      </c>
      <c r="F1634" s="3">
        <v>1</v>
      </c>
      <c r="G1634" s="4">
        <v>44046</v>
      </c>
    </row>
    <row r="1635" spans="2:18">
      <c r="G1635" s="4"/>
    </row>
    <row r="1636" spans="2:18" s="12" customFormat="1">
      <c r="B1636" s="12" t="s">
        <v>749</v>
      </c>
      <c r="C1636" s="13" t="s">
        <v>986</v>
      </c>
      <c r="D1636" s="13" t="s">
        <v>985</v>
      </c>
      <c r="E1636" s="15"/>
      <c r="F1636" s="15">
        <f>SUM(F1637:F1638)</f>
        <v>5.8</v>
      </c>
      <c r="G1636" s="14">
        <f>G1637</f>
        <v>44755</v>
      </c>
    </row>
    <row r="1637" spans="2:18">
      <c r="C1637" s="2" t="s">
        <v>7</v>
      </c>
      <c r="D1637" s="2" t="s">
        <v>747</v>
      </c>
      <c r="E1637" s="3">
        <v>25</v>
      </c>
      <c r="F1637" s="3">
        <f>15/5</f>
        <v>3</v>
      </c>
      <c r="G1637" s="4">
        <v>44755</v>
      </c>
    </row>
    <row r="1638" spans="2:18">
      <c r="C1638" s="2" t="s">
        <v>5</v>
      </c>
      <c r="D1638" s="2" t="s">
        <v>747</v>
      </c>
      <c r="E1638" s="3">
        <v>21</v>
      </c>
      <c r="F1638" s="3">
        <f>14/5</f>
        <v>2.8</v>
      </c>
      <c r="G1638" s="4">
        <v>44489</v>
      </c>
    </row>
    <row r="1639" spans="2:18">
      <c r="G1639" s="4"/>
    </row>
    <row r="1640" spans="2:18" s="12" customFormat="1">
      <c r="B1640" s="12" t="s">
        <v>994</v>
      </c>
      <c r="C1640" s="13" t="s">
        <v>986</v>
      </c>
      <c r="D1640" s="13" t="s">
        <v>985</v>
      </c>
      <c r="E1640" s="15"/>
      <c r="F1640" s="15">
        <f>SUM(F1641:F1644)</f>
        <v>6.2333333333333325</v>
      </c>
      <c r="G1640" s="14">
        <f>G1643</f>
        <v>44637</v>
      </c>
    </row>
    <row r="1641" spans="2:18">
      <c r="C1641" s="2" t="s">
        <v>5</v>
      </c>
      <c r="D1641" s="2" t="s">
        <v>526</v>
      </c>
      <c r="E1641" s="3">
        <v>14.5</v>
      </c>
      <c r="F1641" s="3">
        <v>1.5</v>
      </c>
      <c r="G1641" s="4">
        <v>43389</v>
      </c>
      <c r="M1641" s="1"/>
      <c r="N1641" s="1"/>
      <c r="O1641" s="1"/>
      <c r="P1641" s="1"/>
      <c r="Q1641" s="1"/>
      <c r="R1641" s="1"/>
    </row>
    <row r="1642" spans="2:18">
      <c r="C1642" s="2" t="s">
        <v>4</v>
      </c>
      <c r="D1642" s="2" t="s">
        <v>526</v>
      </c>
      <c r="E1642" s="3">
        <v>4</v>
      </c>
      <c r="F1642" s="3">
        <f>4/3</f>
        <v>1.3333333333333333</v>
      </c>
      <c r="G1642" s="4">
        <v>42647</v>
      </c>
      <c r="M1642" s="1"/>
      <c r="N1642" s="1"/>
      <c r="O1642" s="1"/>
      <c r="P1642" s="1"/>
      <c r="Q1642" s="1"/>
      <c r="R1642" s="1"/>
    </row>
    <row r="1643" spans="2:18">
      <c r="C1643" s="2" t="s">
        <v>5</v>
      </c>
      <c r="D1643" s="2" t="s">
        <v>309</v>
      </c>
      <c r="E1643" s="3">
        <v>10</v>
      </c>
      <c r="F1643" s="3">
        <v>1.4</v>
      </c>
      <c r="G1643" s="4">
        <v>44637</v>
      </c>
      <c r="M1643" s="1"/>
      <c r="N1643" s="1"/>
      <c r="O1643" s="1"/>
      <c r="P1643" s="1"/>
      <c r="Q1643" s="1"/>
      <c r="R1643" s="1"/>
    </row>
    <row r="1644" spans="2:18">
      <c r="C1644" s="2" t="s">
        <v>4</v>
      </c>
      <c r="D1644" s="2" t="s">
        <v>309</v>
      </c>
      <c r="E1644" s="3">
        <v>4.5</v>
      </c>
      <c r="F1644" s="3">
        <v>2</v>
      </c>
      <c r="G1644" s="4">
        <v>44175</v>
      </c>
      <c r="M1644" s="1"/>
      <c r="N1644" s="1"/>
      <c r="O1644" s="1"/>
      <c r="P1644" s="1"/>
      <c r="Q1644" s="1"/>
      <c r="R1644" s="1"/>
    </row>
    <row r="1645" spans="2:18">
      <c r="G1645" s="4"/>
      <c r="M1645" s="1"/>
      <c r="N1645" s="1"/>
      <c r="O1645" s="1"/>
      <c r="P1645" s="1"/>
      <c r="Q1645" s="1"/>
      <c r="R1645" s="1"/>
    </row>
    <row r="1646" spans="2:18" s="12" customFormat="1">
      <c r="B1646" s="12" t="s">
        <v>999</v>
      </c>
      <c r="C1646" s="13" t="s">
        <v>986</v>
      </c>
      <c r="D1646" s="13" t="s">
        <v>985</v>
      </c>
      <c r="E1646" s="15"/>
      <c r="F1646" s="15">
        <f>SUM(F1647:F1648)</f>
        <v>5</v>
      </c>
      <c r="G1646" s="14">
        <f>G1647</f>
        <v>44838</v>
      </c>
      <c r="M1646" s="13"/>
      <c r="N1646" s="13"/>
      <c r="O1646" s="13"/>
      <c r="P1646" s="13"/>
      <c r="Q1646" s="13"/>
      <c r="R1646" s="13"/>
    </row>
    <row r="1647" spans="2:18">
      <c r="C1647" s="2" t="s">
        <v>5</v>
      </c>
      <c r="D1647" s="2" t="s">
        <v>693</v>
      </c>
      <c r="E1647" s="3">
        <v>15</v>
      </c>
      <c r="F1647" s="3">
        <f>10/3</f>
        <v>3.3333333333333335</v>
      </c>
      <c r="G1647" s="4">
        <v>44838</v>
      </c>
    </row>
    <row r="1648" spans="2:18">
      <c r="C1648" s="2" t="s">
        <v>4</v>
      </c>
      <c r="D1648" s="2" t="s">
        <v>97</v>
      </c>
      <c r="E1648" s="3">
        <v>5</v>
      </c>
      <c r="F1648" s="3">
        <f>E1648/3</f>
        <v>1.6666666666666667</v>
      </c>
      <c r="G1648" s="4">
        <v>41940</v>
      </c>
    </row>
    <row r="1649" spans="2:18">
      <c r="G1649" s="4"/>
    </row>
    <row r="1650" spans="2:18" s="12" customFormat="1">
      <c r="B1650" s="12" t="s">
        <v>998</v>
      </c>
      <c r="C1650" s="13" t="s">
        <v>986</v>
      </c>
      <c r="D1650" s="13" t="s">
        <v>985</v>
      </c>
      <c r="E1650" s="15"/>
      <c r="F1650" s="15">
        <f>SUM(F1651:F1652)</f>
        <v>4.833333333333333</v>
      </c>
      <c r="G1650" s="14">
        <f>G1651</f>
        <v>44893</v>
      </c>
      <c r="M1650" s="13"/>
      <c r="N1650" s="13"/>
      <c r="O1650" s="13"/>
      <c r="P1650" s="13"/>
      <c r="Q1650" s="13"/>
      <c r="R1650" s="13"/>
    </row>
    <row r="1651" spans="2:18">
      <c r="C1651" s="2" t="s">
        <v>5</v>
      </c>
      <c r="D1651" s="2" t="s">
        <v>791</v>
      </c>
      <c r="E1651" s="3">
        <v>33</v>
      </c>
      <c r="F1651" s="3">
        <f>13/3</f>
        <v>4.333333333333333</v>
      </c>
      <c r="G1651" s="4">
        <v>44893</v>
      </c>
    </row>
    <row r="1652" spans="2:18">
      <c r="C1652" s="2" t="s">
        <v>681</v>
      </c>
      <c r="D1652" s="2" t="s">
        <v>791</v>
      </c>
      <c r="E1652" s="3">
        <v>3</v>
      </c>
      <c r="F1652" s="3">
        <v>0.5</v>
      </c>
      <c r="G1652" s="4">
        <v>44183</v>
      </c>
    </row>
    <row r="1653" spans="2:18">
      <c r="G1653" s="4"/>
    </row>
    <row r="1654" spans="2:18" s="12" customFormat="1">
      <c r="B1654" s="12" t="s">
        <v>997</v>
      </c>
      <c r="C1654" s="13" t="s">
        <v>986</v>
      </c>
      <c r="D1654" s="13" t="s">
        <v>985</v>
      </c>
      <c r="E1654" s="15"/>
      <c r="F1654" s="15">
        <f>SUM(F1655:F1656)</f>
        <v>5</v>
      </c>
      <c r="G1654" s="14">
        <f>G1655</f>
        <v>44522</v>
      </c>
      <c r="M1654" s="13"/>
      <c r="N1654" s="13"/>
      <c r="O1654" s="13"/>
      <c r="P1654" s="13"/>
      <c r="Q1654" s="13"/>
      <c r="R1654" s="13"/>
    </row>
    <row r="1655" spans="2:18">
      <c r="C1655" s="2" t="s">
        <v>5</v>
      </c>
      <c r="D1655" s="2" t="s">
        <v>886</v>
      </c>
      <c r="E1655" s="3">
        <v>30</v>
      </c>
      <c r="F1655" s="3">
        <v>4</v>
      </c>
      <c r="G1655" s="4">
        <v>44522</v>
      </c>
    </row>
    <row r="1656" spans="2:18">
      <c r="C1656" s="2" t="s">
        <v>4</v>
      </c>
      <c r="D1656" s="2" t="s">
        <v>886</v>
      </c>
      <c r="E1656" s="3">
        <v>5.5</v>
      </c>
      <c r="F1656" s="3">
        <v>1</v>
      </c>
      <c r="G1656" s="4">
        <v>44096</v>
      </c>
    </row>
    <row r="1658" spans="2:18" s="12" customFormat="1">
      <c r="B1658" s="12" t="s">
        <v>996</v>
      </c>
      <c r="C1658" s="13" t="s">
        <v>986</v>
      </c>
      <c r="D1658" s="13" t="s">
        <v>985</v>
      </c>
      <c r="E1658" s="15"/>
      <c r="F1658" s="15">
        <f>SUM(F1659:F1660)</f>
        <v>4.833333333333333</v>
      </c>
      <c r="G1658" s="14">
        <f>G1659</f>
        <v>44893</v>
      </c>
      <c r="M1658" s="13"/>
      <c r="N1658" s="13"/>
      <c r="O1658" s="13"/>
      <c r="P1658" s="13"/>
      <c r="Q1658" s="13"/>
      <c r="R1658" s="13"/>
    </row>
    <row r="1659" spans="2:18">
      <c r="C1659" s="2" t="s">
        <v>5</v>
      </c>
      <c r="D1659" s="2" t="s">
        <v>791</v>
      </c>
      <c r="E1659" s="3">
        <v>33</v>
      </c>
      <c r="F1659" s="3">
        <f>13/3</f>
        <v>4.333333333333333</v>
      </c>
      <c r="G1659" s="4">
        <v>44893</v>
      </c>
    </row>
    <row r="1660" spans="2:18">
      <c r="C1660" s="2" t="s">
        <v>681</v>
      </c>
      <c r="D1660" s="2" t="s">
        <v>791</v>
      </c>
      <c r="E1660" s="3">
        <v>3</v>
      </c>
      <c r="F1660" s="3">
        <v>0.5</v>
      </c>
      <c r="G1660" s="4">
        <v>44183</v>
      </c>
    </row>
    <row r="1661" spans="2:18">
      <c r="C1661" s="2" t="s">
        <v>4</v>
      </c>
      <c r="D1661" s="2" t="s">
        <v>309</v>
      </c>
      <c r="E1661" s="3">
        <v>1.8</v>
      </c>
      <c r="F1661" s="3">
        <v>0.2</v>
      </c>
      <c r="G1661" s="4">
        <v>42690</v>
      </c>
    </row>
    <row r="1662" spans="2:18">
      <c r="G1662" s="4"/>
    </row>
    <row r="1663" spans="2:18" s="12" customFormat="1">
      <c r="B1663" s="12" t="s">
        <v>827</v>
      </c>
      <c r="C1663" s="13" t="s">
        <v>986</v>
      </c>
      <c r="D1663" s="13" t="s">
        <v>985</v>
      </c>
      <c r="E1663" s="15"/>
      <c r="F1663" s="15">
        <f>SUM(F1664:F1665)</f>
        <v>5</v>
      </c>
      <c r="G1663" s="14">
        <f>G1665</f>
        <v>44866</v>
      </c>
      <c r="M1663" s="13"/>
      <c r="N1663" s="13"/>
      <c r="O1663" s="13"/>
      <c r="P1663" s="13"/>
      <c r="Q1663" s="13"/>
      <c r="R1663" s="13"/>
    </row>
    <row r="1664" spans="2:18">
      <c r="C1664" s="2" t="s">
        <v>5</v>
      </c>
      <c r="D1664" s="2" t="s">
        <v>653</v>
      </c>
      <c r="E1664" s="3">
        <v>12</v>
      </c>
      <c r="F1664" s="3">
        <f>6/3</f>
        <v>2</v>
      </c>
      <c r="G1664" s="4">
        <v>44860</v>
      </c>
    </row>
    <row r="1665" spans="2:18">
      <c r="C1665" s="2" t="s">
        <v>5</v>
      </c>
      <c r="D1665" s="2" t="s">
        <v>2071</v>
      </c>
      <c r="E1665" s="3">
        <v>18</v>
      </c>
      <c r="F1665" s="3">
        <v>3</v>
      </c>
      <c r="G1665" s="4">
        <v>44866</v>
      </c>
    </row>
    <row r="1666" spans="2:18">
      <c r="G1666" s="4"/>
    </row>
    <row r="1667" spans="2:18" s="12" customFormat="1">
      <c r="B1667" s="12" t="s">
        <v>995</v>
      </c>
      <c r="C1667" s="13" t="s">
        <v>986</v>
      </c>
      <c r="D1667" s="13" t="s">
        <v>985</v>
      </c>
      <c r="E1667" s="15"/>
      <c r="F1667" s="15">
        <f>SUM(F1668:F1669)</f>
        <v>5</v>
      </c>
      <c r="G1667" s="14">
        <f>G1668</f>
        <v>44636</v>
      </c>
      <c r="M1667" s="13"/>
      <c r="N1667" s="13"/>
      <c r="O1667" s="13"/>
      <c r="P1667" s="13"/>
      <c r="Q1667" s="13"/>
      <c r="R1667" s="13"/>
    </row>
    <row r="1668" spans="2:18">
      <c r="C1668" s="2" t="s">
        <v>7</v>
      </c>
      <c r="D1668" s="2" t="s">
        <v>873</v>
      </c>
      <c r="E1668" s="3">
        <v>25</v>
      </c>
      <c r="F1668" s="3">
        <v>3</v>
      </c>
      <c r="G1668" s="4">
        <v>44636</v>
      </c>
    </row>
    <row r="1669" spans="2:18">
      <c r="C1669" s="2" t="s">
        <v>5</v>
      </c>
      <c r="D1669" s="2" t="s">
        <v>873</v>
      </c>
      <c r="E1669" s="3">
        <v>12.2</v>
      </c>
      <c r="F1669" s="3">
        <v>2</v>
      </c>
      <c r="G1669" s="4">
        <v>44179</v>
      </c>
    </row>
    <row r="1670" spans="2:18">
      <c r="G1670" s="4"/>
    </row>
    <row r="1671" spans="2:18" s="12" customFormat="1">
      <c r="B1671" s="12" t="s">
        <v>993</v>
      </c>
      <c r="C1671" s="13" t="s">
        <v>986</v>
      </c>
      <c r="D1671" s="13" t="s">
        <v>985</v>
      </c>
      <c r="E1671" s="15"/>
      <c r="F1671" s="15">
        <f>SUM(F1672:F1673)</f>
        <v>4.0999999999999996</v>
      </c>
      <c r="G1671" s="14">
        <f>G1672</f>
        <v>44796</v>
      </c>
      <c r="M1671" s="13"/>
      <c r="N1671" s="13"/>
      <c r="O1671" s="13"/>
      <c r="P1671" s="13"/>
      <c r="Q1671" s="13"/>
      <c r="R1671" s="13"/>
    </row>
    <row r="1672" spans="2:18">
      <c r="C1672" s="2" t="s">
        <v>5</v>
      </c>
      <c r="D1672" s="2" t="s">
        <v>712</v>
      </c>
      <c r="E1672" s="3">
        <v>50</v>
      </c>
      <c r="F1672" s="3">
        <f>30/12</f>
        <v>2.5</v>
      </c>
      <c r="G1672" s="4">
        <v>44796</v>
      </c>
    </row>
    <row r="1673" spans="2:18">
      <c r="C1673" s="2" t="s">
        <v>4</v>
      </c>
      <c r="D1673" s="2" t="s">
        <v>712</v>
      </c>
      <c r="E1673" s="3">
        <v>12.5</v>
      </c>
      <c r="F1673" s="3">
        <f>8/5</f>
        <v>1.6</v>
      </c>
      <c r="G1673" s="4">
        <v>44623</v>
      </c>
    </row>
    <row r="1675" spans="2:18">
      <c r="B1675" s="12" t="s">
        <v>992</v>
      </c>
      <c r="C1675" s="13" t="s">
        <v>986</v>
      </c>
      <c r="D1675" s="13" t="s">
        <v>985</v>
      </c>
      <c r="F1675" s="15">
        <f>F1676+F1677</f>
        <v>3.5</v>
      </c>
      <c r="G1675" s="14">
        <f>G1677</f>
        <v>44392</v>
      </c>
    </row>
    <row r="1676" spans="2:18">
      <c r="C1676" s="2" t="s">
        <v>5</v>
      </c>
      <c r="D1676" s="2" t="s">
        <v>979</v>
      </c>
      <c r="E1676" s="3">
        <v>5</v>
      </c>
      <c r="F1676" s="3">
        <v>1</v>
      </c>
      <c r="G1676" s="4">
        <v>43251</v>
      </c>
    </row>
    <row r="1677" spans="2:18">
      <c r="C1677" s="2" t="s">
        <v>5</v>
      </c>
      <c r="D1677" s="2" t="s">
        <v>706</v>
      </c>
      <c r="E1677" s="3">
        <v>20</v>
      </c>
      <c r="F1677" s="3">
        <v>2.5</v>
      </c>
      <c r="G1677" s="4">
        <v>44392</v>
      </c>
    </row>
    <row r="1678" spans="2:18">
      <c r="C1678" s="2" t="s">
        <v>5</v>
      </c>
      <c r="D1678" s="2" t="s">
        <v>703</v>
      </c>
      <c r="E1678" s="3">
        <v>8</v>
      </c>
      <c r="F1678" s="3">
        <v>1</v>
      </c>
      <c r="G1678" s="4">
        <v>43249</v>
      </c>
    </row>
    <row r="1679" spans="2:18">
      <c r="G1679" s="4"/>
    </row>
    <row r="1680" spans="2:18" s="12" customFormat="1">
      <c r="B1680" s="12" t="s">
        <v>743</v>
      </c>
      <c r="C1680" s="13" t="s">
        <v>986</v>
      </c>
      <c r="D1680" s="13" t="s">
        <v>985</v>
      </c>
      <c r="E1680" s="15"/>
      <c r="F1680" s="15">
        <f>SUM(F1681:F1683)</f>
        <v>4.3214285714285712</v>
      </c>
      <c r="G1680" s="14">
        <f>G1681</f>
        <v>44757</v>
      </c>
      <c r="M1680" s="13"/>
      <c r="N1680" s="13"/>
      <c r="O1680" s="13"/>
      <c r="P1680" s="13"/>
      <c r="Q1680" s="13"/>
      <c r="R1680" s="13"/>
    </row>
    <row r="1681" spans="2:18">
      <c r="C1681" s="2" t="s">
        <v>5</v>
      </c>
      <c r="D1681" s="2" t="s">
        <v>742</v>
      </c>
      <c r="E1681" s="3">
        <v>25</v>
      </c>
      <c r="F1681" s="3">
        <f>18/7</f>
        <v>2.5714285714285716</v>
      </c>
      <c r="G1681" s="4">
        <v>44757</v>
      </c>
    </row>
    <row r="1682" spans="2:18">
      <c r="C1682" s="2" t="s">
        <v>4</v>
      </c>
      <c r="D1682" s="2" t="s">
        <v>742</v>
      </c>
      <c r="E1682" s="3">
        <v>4</v>
      </c>
      <c r="F1682" s="3">
        <v>1</v>
      </c>
      <c r="G1682" s="4">
        <v>44340</v>
      </c>
    </row>
    <row r="1683" spans="2:18">
      <c r="C1683" s="2" t="s">
        <v>4</v>
      </c>
      <c r="D1683" s="2" t="s">
        <v>742</v>
      </c>
      <c r="E1683" s="3">
        <v>1.5</v>
      </c>
      <c r="F1683" s="3">
        <v>0.75</v>
      </c>
      <c r="G1683" s="4">
        <v>43979</v>
      </c>
    </row>
    <row r="1684" spans="2:18">
      <c r="G1684" s="4"/>
    </row>
    <row r="1685" spans="2:18" s="12" customFormat="1">
      <c r="B1685" s="12" t="s">
        <v>991</v>
      </c>
      <c r="C1685" s="13" t="s">
        <v>986</v>
      </c>
      <c r="D1685" s="13" t="s">
        <v>985</v>
      </c>
      <c r="E1685" s="15"/>
      <c r="F1685" s="15">
        <f>SUM(F1686:F1687)</f>
        <v>4</v>
      </c>
      <c r="G1685" s="14">
        <f>G1686</f>
        <v>45070</v>
      </c>
      <c r="M1685" s="13"/>
      <c r="N1685" s="13"/>
      <c r="O1685" s="13"/>
      <c r="P1685" s="13"/>
      <c r="Q1685" s="13"/>
      <c r="R1685" s="13"/>
    </row>
    <row r="1686" spans="2:18">
      <c r="C1686" s="2" t="s">
        <v>5</v>
      </c>
      <c r="D1686" s="2" t="s">
        <v>795</v>
      </c>
      <c r="E1686" s="3">
        <v>10.9</v>
      </c>
      <c r="F1686" s="3">
        <f>8/8</f>
        <v>1</v>
      </c>
      <c r="G1686" s="4">
        <v>45070</v>
      </c>
    </row>
    <row r="1687" spans="2:18">
      <c r="C1687" s="2" t="s">
        <v>5</v>
      </c>
      <c r="D1687" s="2" t="s">
        <v>714</v>
      </c>
      <c r="E1687" s="3">
        <v>6</v>
      </c>
      <c r="F1687" s="3">
        <v>3</v>
      </c>
      <c r="G1687" s="4">
        <v>44917</v>
      </c>
    </row>
    <row r="1688" spans="2:18">
      <c r="G1688" s="4"/>
    </row>
    <row r="1689" spans="2:18" s="12" customFormat="1">
      <c r="B1689" s="12" t="s">
        <v>990</v>
      </c>
      <c r="C1689" s="13" t="s">
        <v>986</v>
      </c>
      <c r="D1689" s="13" t="s">
        <v>985</v>
      </c>
      <c r="E1689" s="15"/>
      <c r="F1689" s="15">
        <f>SUM(F1690:F1694)</f>
        <v>3.6749999999999998</v>
      </c>
      <c r="G1689" s="14">
        <f>G1690</f>
        <v>44341</v>
      </c>
      <c r="M1689" s="13"/>
      <c r="N1689" s="13"/>
      <c r="O1689" s="13"/>
      <c r="P1689" s="13"/>
      <c r="Q1689" s="13"/>
      <c r="R1689" s="13"/>
    </row>
    <row r="1690" spans="2:18">
      <c r="C1690" s="2" t="s">
        <v>5</v>
      </c>
      <c r="D1690" s="2" t="s">
        <v>558</v>
      </c>
      <c r="E1690" s="3">
        <v>10.5</v>
      </c>
      <c r="F1690" s="3">
        <f>5/5</f>
        <v>1</v>
      </c>
      <c r="G1690" s="4">
        <v>44341</v>
      </c>
    </row>
    <row r="1691" spans="2:18">
      <c r="C1691" s="2" t="s">
        <v>4</v>
      </c>
      <c r="D1691" s="2" t="s">
        <v>558</v>
      </c>
      <c r="E1691" s="3">
        <v>4</v>
      </c>
      <c r="F1691" s="3">
        <v>1</v>
      </c>
      <c r="G1691" s="4">
        <v>43671</v>
      </c>
    </row>
    <row r="1692" spans="2:18">
      <c r="C1692" s="2" t="s">
        <v>285</v>
      </c>
      <c r="D1692" s="2" t="s">
        <v>558</v>
      </c>
      <c r="E1692" s="3">
        <v>0.5</v>
      </c>
      <c r="F1692" s="3">
        <v>0.1</v>
      </c>
      <c r="G1692" s="4">
        <v>43262</v>
      </c>
    </row>
    <row r="1693" spans="2:18">
      <c r="C1693" s="2" t="s">
        <v>4</v>
      </c>
      <c r="D1693" s="2" t="s">
        <v>343</v>
      </c>
      <c r="E1693" s="3">
        <v>3</v>
      </c>
      <c r="F1693" s="3">
        <f>1.5/4</f>
        <v>0.375</v>
      </c>
      <c r="G1693" s="4">
        <v>44327</v>
      </c>
    </row>
    <row r="1694" spans="2:18">
      <c r="C1694" s="2" t="s">
        <v>285</v>
      </c>
      <c r="D1694" s="2" t="s">
        <v>343</v>
      </c>
      <c r="E1694" s="3">
        <v>1.2</v>
      </c>
      <c r="F1694" s="3">
        <v>1.2</v>
      </c>
      <c r="G1694" s="4">
        <v>42744</v>
      </c>
    </row>
    <row r="1695" spans="2:18">
      <c r="G1695" s="4"/>
    </row>
    <row r="1696" spans="2:18" s="12" customFormat="1">
      <c r="B1696" s="12" t="s">
        <v>776</v>
      </c>
      <c r="C1696" s="13" t="s">
        <v>986</v>
      </c>
      <c r="D1696" s="13" t="s">
        <v>985</v>
      </c>
      <c r="E1696" s="15"/>
      <c r="F1696" s="15">
        <f>SUM(F1697:F1698)</f>
        <v>3.5</v>
      </c>
      <c r="G1696" s="14">
        <f>G1698</f>
        <v>44510</v>
      </c>
    </row>
    <row r="1697" spans="2:18">
      <c r="C1697" s="2" t="s">
        <v>285</v>
      </c>
      <c r="D1697" s="2" t="s">
        <v>775</v>
      </c>
      <c r="E1697" s="3">
        <v>1</v>
      </c>
      <c r="F1697" s="3">
        <v>0.5</v>
      </c>
      <c r="G1697" s="4">
        <v>44287</v>
      </c>
      <c r="M1697" s="1"/>
      <c r="N1697" s="1"/>
      <c r="O1697" s="1"/>
      <c r="P1697" s="1"/>
      <c r="Q1697" s="1"/>
      <c r="R1697" s="1"/>
    </row>
    <row r="1698" spans="2:18">
      <c r="C1698" s="2" t="s">
        <v>5</v>
      </c>
      <c r="D1698" s="2" t="s">
        <v>115</v>
      </c>
      <c r="E1698" s="3">
        <v>25</v>
      </c>
      <c r="F1698" s="3">
        <v>3</v>
      </c>
      <c r="G1698" s="4">
        <v>44510</v>
      </c>
      <c r="M1698" s="1"/>
      <c r="N1698" s="1"/>
      <c r="O1698" s="1"/>
      <c r="P1698" s="1"/>
      <c r="Q1698" s="1"/>
      <c r="R1698" s="1"/>
    </row>
    <row r="1699" spans="2:18">
      <c r="G1699" s="4"/>
      <c r="M1699" s="1"/>
      <c r="N1699" s="1"/>
      <c r="O1699" s="1"/>
      <c r="P1699" s="1"/>
      <c r="Q1699" s="1"/>
      <c r="R1699" s="1"/>
    </row>
    <row r="1700" spans="2:18" s="12" customFormat="1">
      <c r="B1700" s="12" t="s">
        <v>745</v>
      </c>
      <c r="C1700" s="13" t="s">
        <v>986</v>
      </c>
      <c r="D1700" s="13" t="s">
        <v>985</v>
      </c>
      <c r="E1700" s="15"/>
      <c r="F1700" s="15">
        <f>SUM(F1701:F1702)</f>
        <v>3.0714285714285716</v>
      </c>
      <c r="G1700" s="14">
        <f>G1701</f>
        <v>44757</v>
      </c>
    </row>
    <row r="1701" spans="2:18">
      <c r="C1701" s="2" t="s">
        <v>5</v>
      </c>
      <c r="D1701" s="2" t="s">
        <v>742</v>
      </c>
      <c r="E1701" s="3">
        <v>25</v>
      </c>
      <c r="F1701" s="3">
        <f>18/7</f>
        <v>2.5714285714285716</v>
      </c>
      <c r="G1701" s="4">
        <v>44757</v>
      </c>
    </row>
    <row r="1702" spans="2:18">
      <c r="C1702" s="2" t="s">
        <v>4</v>
      </c>
      <c r="D1702" s="2" t="s">
        <v>742</v>
      </c>
      <c r="E1702" s="3">
        <v>4</v>
      </c>
      <c r="F1702" s="3">
        <v>0.5</v>
      </c>
      <c r="G1702" s="4">
        <v>44340</v>
      </c>
    </row>
    <row r="1704" spans="2:18" s="12" customFormat="1">
      <c r="B1704" s="12" t="s">
        <v>989</v>
      </c>
      <c r="C1704" s="13" t="s">
        <v>986</v>
      </c>
      <c r="D1704" s="13" t="s">
        <v>985</v>
      </c>
      <c r="E1704" s="15"/>
      <c r="F1704" s="15">
        <f>SUM(F1705:F1706)</f>
        <v>2.7142857142857144</v>
      </c>
      <c r="G1704" s="14">
        <f>G1705</f>
        <v>43816</v>
      </c>
      <c r="M1704" s="13"/>
      <c r="N1704" s="13"/>
      <c r="O1704" s="13"/>
      <c r="P1704" s="13"/>
      <c r="Q1704" s="13"/>
      <c r="R1704" s="13"/>
    </row>
    <row r="1705" spans="2:18">
      <c r="C1705" s="2" t="s">
        <v>5</v>
      </c>
      <c r="D1705" s="2" t="s">
        <v>844</v>
      </c>
      <c r="E1705" s="3">
        <v>20</v>
      </c>
      <c r="F1705" s="3">
        <f>12/6</f>
        <v>2</v>
      </c>
      <c r="G1705" s="4">
        <v>43816</v>
      </c>
    </row>
    <row r="1706" spans="2:18">
      <c r="C1706" s="2" t="s">
        <v>4</v>
      </c>
      <c r="D1706" s="2" t="s">
        <v>432</v>
      </c>
      <c r="E1706" s="3">
        <v>7</v>
      </c>
      <c r="F1706" s="3">
        <v>0.7142857142857143</v>
      </c>
      <c r="G1706" s="4">
        <v>43046</v>
      </c>
    </row>
    <row r="1707" spans="2:18">
      <c r="G1707" s="4"/>
    </row>
    <row r="1708" spans="2:18">
      <c r="B1708" s="12" t="s">
        <v>988</v>
      </c>
      <c r="C1708" s="13" t="s">
        <v>986</v>
      </c>
      <c r="D1708" s="13" t="s">
        <v>985</v>
      </c>
      <c r="F1708" s="15">
        <f>SUM(F1709:F1710)</f>
        <v>2.666666666666667</v>
      </c>
      <c r="G1708" s="14">
        <f>G1710</f>
        <v>45062</v>
      </c>
    </row>
    <row r="1709" spans="2:18">
      <c r="C1709" s="2" t="s">
        <v>5</v>
      </c>
      <c r="D1709" s="2" t="s">
        <v>808</v>
      </c>
      <c r="E1709" s="3">
        <v>17.5</v>
      </c>
      <c r="F1709" s="3">
        <v>1</v>
      </c>
      <c r="G1709" s="4">
        <v>44614</v>
      </c>
    </row>
    <row r="1710" spans="2:18">
      <c r="C1710" s="2" t="s">
        <v>4</v>
      </c>
      <c r="D1710" s="2" t="s">
        <v>819</v>
      </c>
      <c r="E1710" s="3">
        <v>5</v>
      </c>
      <c r="F1710" s="3">
        <f>5/3</f>
        <v>1.6666666666666667</v>
      </c>
      <c r="G1710" s="4">
        <v>45062</v>
      </c>
    </row>
    <row r="1711" spans="2:18">
      <c r="C1711" s="2" t="s">
        <v>4</v>
      </c>
      <c r="D1711" s="2" t="s">
        <v>576</v>
      </c>
      <c r="E1711" s="3">
        <v>9</v>
      </c>
      <c r="F1711" s="3">
        <v>0.5</v>
      </c>
      <c r="G1711" s="4">
        <v>44859</v>
      </c>
    </row>
    <row r="1712" spans="2:18">
      <c r="G1712" s="4"/>
    </row>
    <row r="1713" spans="2:18" s="12" customFormat="1">
      <c r="B1713" s="12" t="s">
        <v>727</v>
      </c>
      <c r="C1713" s="13" t="s">
        <v>986</v>
      </c>
      <c r="D1713" s="13" t="s">
        <v>985</v>
      </c>
      <c r="E1713" s="15"/>
      <c r="F1713" s="15">
        <f>SUM(F1714:F1715)</f>
        <v>2</v>
      </c>
      <c r="G1713" s="14">
        <f>G1714</f>
        <v>44679</v>
      </c>
      <c r="M1713" s="13"/>
      <c r="N1713" s="13"/>
      <c r="O1713" s="13"/>
      <c r="P1713" s="13"/>
      <c r="Q1713" s="13"/>
      <c r="R1713" s="13"/>
    </row>
    <row r="1714" spans="2:18">
      <c r="C1714" s="2" t="s">
        <v>5</v>
      </c>
      <c r="D1714" s="2" t="s">
        <v>674</v>
      </c>
      <c r="E1714" s="3">
        <v>17</v>
      </c>
      <c r="F1714" s="3">
        <v>1.5</v>
      </c>
      <c r="G1714" s="4">
        <v>44679</v>
      </c>
    </row>
    <row r="1715" spans="2:18">
      <c r="C1715" s="2" t="s">
        <v>4</v>
      </c>
      <c r="D1715" s="2" t="s">
        <v>674</v>
      </c>
      <c r="E1715" s="3">
        <v>4.5</v>
      </c>
      <c r="F1715" s="3">
        <v>0.5</v>
      </c>
      <c r="G1715" s="4">
        <v>44415</v>
      </c>
    </row>
    <row r="1716" spans="2:18">
      <c r="G1716" s="4"/>
    </row>
    <row r="1717" spans="2:18" s="12" customFormat="1">
      <c r="B1717" s="12" t="s">
        <v>767</v>
      </c>
      <c r="C1717" s="13" t="s">
        <v>986</v>
      </c>
      <c r="D1717" s="13" t="s">
        <v>985</v>
      </c>
      <c r="E1717" s="15"/>
      <c r="F1717" s="15">
        <f>SUM(F1718:F1719)</f>
        <v>1</v>
      </c>
      <c r="G1717" s="14">
        <f>G1719</f>
        <v>44434</v>
      </c>
    </row>
    <row r="1718" spans="2:18">
      <c r="C1718" s="2" t="s">
        <v>4</v>
      </c>
      <c r="D1718" s="2" t="s">
        <v>683</v>
      </c>
      <c r="E1718" s="3">
        <v>3</v>
      </c>
      <c r="F1718" s="3">
        <v>0.5</v>
      </c>
      <c r="G1718" s="4">
        <v>43993</v>
      </c>
      <c r="M1718" s="1"/>
      <c r="N1718" s="1"/>
      <c r="O1718" s="1"/>
      <c r="P1718" s="1"/>
      <c r="Q1718" s="1"/>
      <c r="R1718" s="1"/>
    </row>
    <row r="1719" spans="2:18">
      <c r="C1719" s="2" t="s">
        <v>4</v>
      </c>
      <c r="D1719" s="2" t="s">
        <v>127</v>
      </c>
      <c r="E1719" s="3">
        <v>4.5</v>
      </c>
      <c r="F1719" s="3">
        <v>0.5</v>
      </c>
      <c r="G1719" s="4">
        <v>44434</v>
      </c>
      <c r="M1719" s="1"/>
      <c r="N1719" s="1"/>
      <c r="O1719" s="1"/>
      <c r="P1719" s="1"/>
      <c r="Q1719" s="1"/>
      <c r="R1719" s="1"/>
    </row>
    <row r="1720" spans="2:18">
      <c r="G1720" s="4"/>
      <c r="M1720" s="1"/>
      <c r="N1720" s="1"/>
      <c r="O1720" s="1"/>
      <c r="P1720" s="1"/>
      <c r="Q1720" s="1"/>
      <c r="R1720" s="1"/>
    </row>
    <row r="1721" spans="2:18" s="12" customFormat="1">
      <c r="B1721" s="12" t="s">
        <v>987</v>
      </c>
      <c r="C1721" s="13" t="s">
        <v>986</v>
      </c>
      <c r="D1721" s="13" t="s">
        <v>985</v>
      </c>
      <c r="E1721" s="15"/>
      <c r="F1721" s="15">
        <f>SUM(F1722:F1723)</f>
        <v>1.4</v>
      </c>
      <c r="G1721" s="14">
        <f>G1722</f>
        <v>44994</v>
      </c>
      <c r="M1721" s="13"/>
      <c r="N1721" s="13"/>
      <c r="O1721" s="13"/>
      <c r="P1721" s="13"/>
      <c r="Q1721" s="13"/>
      <c r="R1721" s="13"/>
    </row>
    <row r="1722" spans="2:18">
      <c r="C1722" s="2" t="s">
        <v>4</v>
      </c>
      <c r="D1722" s="2" t="s">
        <v>757</v>
      </c>
      <c r="E1722" s="3">
        <v>2.8</v>
      </c>
      <c r="F1722" s="3">
        <v>1</v>
      </c>
      <c r="G1722" s="4">
        <v>44994</v>
      </c>
    </row>
    <row r="1723" spans="2:18">
      <c r="C1723" s="2" t="s">
        <v>4</v>
      </c>
      <c r="D1723" s="2" t="s">
        <v>757</v>
      </c>
      <c r="E1723" s="3">
        <v>2.6</v>
      </c>
      <c r="F1723" s="3">
        <f>1.6/4</f>
        <v>0.4</v>
      </c>
      <c r="G1723" s="4">
        <v>44147</v>
      </c>
    </row>
    <row r="1725" spans="2:18" s="12" customFormat="1">
      <c r="B1725" s="12" t="s">
        <v>761</v>
      </c>
      <c r="C1725" s="13" t="s">
        <v>986</v>
      </c>
      <c r="D1725" s="13" t="s">
        <v>985</v>
      </c>
      <c r="E1725" s="15"/>
      <c r="F1725" s="15">
        <f>SUM(F1726:F1727)</f>
        <v>1</v>
      </c>
      <c r="G1725" s="14">
        <f>G1726</f>
        <v>43580</v>
      </c>
    </row>
    <row r="1726" spans="2:18">
      <c r="C1726" s="2" t="s">
        <v>4</v>
      </c>
      <c r="D1726" s="2" t="s">
        <v>411</v>
      </c>
      <c r="E1726" s="3">
        <v>3.1</v>
      </c>
      <c r="F1726" s="3">
        <v>0.5</v>
      </c>
      <c r="G1726" s="4">
        <v>43580</v>
      </c>
      <c r="M1726" s="1"/>
      <c r="N1726" s="1"/>
      <c r="O1726" s="1"/>
      <c r="P1726" s="1"/>
      <c r="Q1726" s="1"/>
      <c r="R1726" s="1"/>
    </row>
    <row r="1727" spans="2:18">
      <c r="C1727" s="2" t="s">
        <v>4</v>
      </c>
      <c r="D1727" s="2" t="s">
        <v>2180</v>
      </c>
      <c r="E1727" s="3">
        <v>3</v>
      </c>
      <c r="F1727" s="3">
        <f>0.5</f>
        <v>0.5</v>
      </c>
      <c r="G1727" s="4">
        <v>42979</v>
      </c>
      <c r="M1727" s="1"/>
      <c r="N1727" s="1"/>
      <c r="O1727" s="1"/>
      <c r="P1727" s="1"/>
      <c r="Q1727" s="1"/>
      <c r="R1727" s="1"/>
    </row>
    <row r="1728" spans="2:18">
      <c r="G1728" s="4"/>
      <c r="M1728" s="1"/>
      <c r="N1728" s="1"/>
      <c r="O1728" s="1"/>
      <c r="P1728" s="1"/>
      <c r="Q1728" s="1"/>
      <c r="R1728" s="1"/>
    </row>
    <row r="1729" spans="2:7">
      <c r="B1729" s="1" t="s">
        <v>984</v>
      </c>
      <c r="C1729" s="2" t="s">
        <v>7</v>
      </c>
      <c r="D1729" s="2" t="s">
        <v>981</v>
      </c>
      <c r="E1729" s="3">
        <v>580</v>
      </c>
      <c r="F1729" s="3">
        <v>580</v>
      </c>
      <c r="G1729" s="4">
        <v>44680</v>
      </c>
    </row>
    <row r="1730" spans="2:7">
      <c r="B1730" s="1" t="s">
        <v>983</v>
      </c>
      <c r="C1730" s="2" t="s">
        <v>9</v>
      </c>
      <c r="D1730" s="2" t="s">
        <v>815</v>
      </c>
      <c r="E1730" s="3">
        <v>325</v>
      </c>
      <c r="F1730" s="3">
        <v>65</v>
      </c>
      <c r="G1730" s="4">
        <v>44299</v>
      </c>
    </row>
    <row r="1731" spans="2:7">
      <c r="B1731" s="1" t="s">
        <v>982</v>
      </c>
      <c r="C1731" s="2" t="s">
        <v>18</v>
      </c>
      <c r="D1731" s="2" t="s">
        <v>981</v>
      </c>
      <c r="E1731" s="3">
        <v>450</v>
      </c>
      <c r="F1731" s="3">
        <f>300/5</f>
        <v>60</v>
      </c>
      <c r="G1731" s="4">
        <v>45069</v>
      </c>
    </row>
    <row r="1732" spans="2:7">
      <c r="B1732" s="1" t="s">
        <v>980</v>
      </c>
      <c r="C1732" s="2" t="s">
        <v>18</v>
      </c>
      <c r="D1732" s="2" t="s">
        <v>979</v>
      </c>
      <c r="E1732" s="3">
        <v>135</v>
      </c>
      <c r="F1732" s="3">
        <v>42.5</v>
      </c>
      <c r="G1732" s="4">
        <v>44482</v>
      </c>
    </row>
    <row r="1733" spans="2:7">
      <c r="B1733" s="1" t="s">
        <v>978</v>
      </c>
      <c r="C1733" s="2" t="s">
        <v>5</v>
      </c>
      <c r="D1733" s="2" t="s">
        <v>915</v>
      </c>
      <c r="E1733" s="3">
        <v>70</v>
      </c>
      <c r="F1733" s="3">
        <v>30</v>
      </c>
      <c r="G1733" s="4">
        <v>45035</v>
      </c>
    </row>
    <row r="1734" spans="2:7">
      <c r="B1734" s="1" t="s">
        <v>977</v>
      </c>
      <c r="C1734" s="2" t="s">
        <v>7</v>
      </c>
      <c r="D1734" s="2" t="s">
        <v>438</v>
      </c>
      <c r="E1734" s="3">
        <v>26</v>
      </c>
      <c r="F1734" s="3">
        <v>26</v>
      </c>
      <c r="G1734" s="4">
        <v>44594</v>
      </c>
    </row>
    <row r="1735" spans="2:7">
      <c r="B1735" s="1" t="s">
        <v>976</v>
      </c>
      <c r="C1735" s="2" t="s">
        <v>4</v>
      </c>
      <c r="D1735" s="2" t="s">
        <v>951</v>
      </c>
      <c r="E1735" s="3">
        <v>100</v>
      </c>
      <c r="F1735" s="3">
        <v>25</v>
      </c>
      <c r="G1735" s="4">
        <v>44846</v>
      </c>
    </row>
    <row r="1736" spans="2:7">
      <c r="B1736" s="1" t="s">
        <v>975</v>
      </c>
      <c r="C1736" s="2" t="s">
        <v>8</v>
      </c>
      <c r="D1736" s="2" t="s">
        <v>974</v>
      </c>
      <c r="E1736" s="3">
        <v>100</v>
      </c>
      <c r="F1736" s="3">
        <v>25</v>
      </c>
      <c r="G1736" s="4">
        <v>45051</v>
      </c>
    </row>
    <row r="1737" spans="2:7">
      <c r="B1737" s="1" t="s">
        <v>973</v>
      </c>
      <c r="C1737" s="2" t="s">
        <v>18</v>
      </c>
      <c r="D1737" s="2" t="s">
        <v>969</v>
      </c>
      <c r="E1737" s="3">
        <v>270</v>
      </c>
      <c r="F1737" s="3">
        <v>24</v>
      </c>
      <c r="G1737" s="4">
        <v>45048</v>
      </c>
    </row>
    <row r="1738" spans="2:7">
      <c r="B1738" s="1" t="s">
        <v>971</v>
      </c>
      <c r="C1738" s="2" t="s">
        <v>18</v>
      </c>
      <c r="D1738" s="2" t="s">
        <v>969</v>
      </c>
      <c r="E1738" s="3">
        <v>270</v>
      </c>
      <c r="F1738" s="3">
        <v>24</v>
      </c>
      <c r="G1738" s="4">
        <v>45048</v>
      </c>
    </row>
    <row r="1739" spans="2:7">
      <c r="B1739" s="1" t="s">
        <v>970</v>
      </c>
      <c r="C1739" s="2" t="s">
        <v>18</v>
      </c>
      <c r="D1739" s="2" t="s">
        <v>969</v>
      </c>
      <c r="E1739" s="3">
        <v>270</v>
      </c>
      <c r="F1739" s="3">
        <v>24</v>
      </c>
      <c r="G1739" s="4">
        <v>45048</v>
      </c>
    </row>
    <row r="1740" spans="2:7">
      <c r="B1740" s="1" t="s">
        <v>967</v>
      </c>
      <c r="C1740" s="2" t="s">
        <v>7</v>
      </c>
      <c r="D1740" s="2" t="s">
        <v>965</v>
      </c>
      <c r="E1740" s="3">
        <v>350</v>
      </c>
      <c r="F1740" s="3">
        <v>20</v>
      </c>
      <c r="G1740" s="4">
        <v>44999</v>
      </c>
    </row>
    <row r="1741" spans="2:7">
      <c r="B1741" s="1" t="s">
        <v>966</v>
      </c>
      <c r="C1741" s="2" t="s">
        <v>7</v>
      </c>
      <c r="D1741" s="2" t="s">
        <v>965</v>
      </c>
      <c r="E1741" s="3">
        <v>350</v>
      </c>
      <c r="F1741" s="3">
        <v>20</v>
      </c>
      <c r="G1741" s="4">
        <v>44999</v>
      </c>
    </row>
    <row r="1742" spans="2:7">
      <c r="B1742" s="1" t="s">
        <v>964</v>
      </c>
      <c r="C1742" s="2" t="s">
        <v>4</v>
      </c>
      <c r="D1742" s="2" t="s">
        <v>926</v>
      </c>
      <c r="E1742" s="3">
        <v>42</v>
      </c>
      <c r="F1742" s="3">
        <v>20</v>
      </c>
      <c r="G1742" s="4">
        <v>44882</v>
      </c>
    </row>
    <row r="1743" spans="2:7">
      <c r="B1743" s="1" t="s">
        <v>963</v>
      </c>
      <c r="C1743" s="2" t="s">
        <v>9</v>
      </c>
      <c r="D1743" s="2" t="s">
        <v>815</v>
      </c>
      <c r="E1743" s="3">
        <v>325</v>
      </c>
      <c r="F1743" s="3">
        <v>18.5</v>
      </c>
      <c r="G1743" s="4">
        <v>44299</v>
      </c>
    </row>
    <row r="1744" spans="2:7">
      <c r="B1744" s="1" t="s">
        <v>962</v>
      </c>
      <c r="C1744" s="2" t="s">
        <v>9</v>
      </c>
      <c r="D1744" s="2" t="s">
        <v>815</v>
      </c>
      <c r="E1744" s="3">
        <v>325</v>
      </c>
      <c r="F1744" s="3">
        <v>18.5</v>
      </c>
      <c r="G1744" s="4">
        <v>44299</v>
      </c>
    </row>
    <row r="1745" spans="2:7">
      <c r="B1745" s="1" t="s">
        <v>961</v>
      </c>
      <c r="C1745" s="2" t="s">
        <v>5</v>
      </c>
      <c r="D1745" s="2" t="s">
        <v>775</v>
      </c>
      <c r="E1745" s="3">
        <v>125</v>
      </c>
      <c r="F1745" s="3">
        <v>15</v>
      </c>
      <c r="G1745" s="4">
        <v>44852</v>
      </c>
    </row>
    <row r="1746" spans="2:7">
      <c r="B1746" s="1" t="s">
        <v>960</v>
      </c>
      <c r="C1746" s="2" t="s">
        <v>5</v>
      </c>
      <c r="D1746" s="2" t="s">
        <v>775</v>
      </c>
      <c r="E1746" s="3">
        <v>125</v>
      </c>
      <c r="F1746" s="3">
        <v>15</v>
      </c>
      <c r="G1746" s="4">
        <v>44852</v>
      </c>
    </row>
    <row r="1747" spans="2:7">
      <c r="B1747" s="1" t="s">
        <v>959</v>
      </c>
      <c r="C1747" s="2" t="s">
        <v>5</v>
      </c>
      <c r="D1747" s="2" t="s">
        <v>942</v>
      </c>
      <c r="E1747" s="3">
        <v>25</v>
      </c>
      <c r="F1747" s="3">
        <v>15</v>
      </c>
      <c r="G1747" s="4">
        <v>44944</v>
      </c>
    </row>
    <row r="1748" spans="2:7">
      <c r="B1748" s="1" t="s">
        <v>958</v>
      </c>
      <c r="C1748" s="2" t="s">
        <v>5</v>
      </c>
      <c r="D1748" s="2" t="s">
        <v>886</v>
      </c>
      <c r="E1748" s="3">
        <v>30</v>
      </c>
      <c r="F1748" s="3">
        <v>14</v>
      </c>
      <c r="G1748" s="4">
        <v>44522</v>
      </c>
    </row>
    <row r="1749" spans="2:7">
      <c r="B1749" s="1" t="s">
        <v>955</v>
      </c>
      <c r="C1749" s="2" t="s">
        <v>18</v>
      </c>
      <c r="D1749" s="2" t="s">
        <v>406</v>
      </c>
      <c r="E1749" s="3">
        <v>13</v>
      </c>
      <c r="F1749" s="3">
        <v>13</v>
      </c>
      <c r="G1749" s="4">
        <v>45090</v>
      </c>
    </row>
    <row r="1750" spans="2:7">
      <c r="B1750" s="1" t="s">
        <v>953</v>
      </c>
      <c r="C1750" s="2" t="s">
        <v>4</v>
      </c>
      <c r="D1750" s="2" t="s">
        <v>951</v>
      </c>
      <c r="E1750" s="3">
        <v>100</v>
      </c>
      <c r="F1750" s="3">
        <v>12.5</v>
      </c>
      <c r="G1750" s="4">
        <v>44846</v>
      </c>
    </row>
    <row r="1751" spans="2:7">
      <c r="B1751" s="1" t="s">
        <v>952</v>
      </c>
      <c r="C1751" s="2" t="s">
        <v>4</v>
      </c>
      <c r="D1751" s="2" t="s">
        <v>951</v>
      </c>
      <c r="E1751" s="3">
        <v>100</v>
      </c>
      <c r="F1751" s="3">
        <v>12.5</v>
      </c>
      <c r="G1751" s="4">
        <v>44846</v>
      </c>
    </row>
    <row r="1752" spans="2:7">
      <c r="B1752" s="1" t="s">
        <v>950</v>
      </c>
      <c r="C1752" s="2" t="s">
        <v>5</v>
      </c>
      <c r="D1752" s="2" t="s">
        <v>949</v>
      </c>
      <c r="E1752" s="3">
        <v>150</v>
      </c>
      <c r="F1752" s="3">
        <v>10</v>
      </c>
      <c r="G1752" s="4">
        <v>45008</v>
      </c>
    </row>
    <row r="1753" spans="2:7">
      <c r="B1753" s="1" t="s">
        <v>947</v>
      </c>
      <c r="C1753" s="2" t="s">
        <v>5</v>
      </c>
      <c r="D1753" s="2" t="s">
        <v>946</v>
      </c>
      <c r="E1753" s="3">
        <v>30</v>
      </c>
      <c r="F1753" s="3">
        <v>10</v>
      </c>
      <c r="G1753" s="4">
        <v>44656</v>
      </c>
    </row>
    <row r="1754" spans="2:7">
      <c r="B1754" s="1" t="s">
        <v>944</v>
      </c>
      <c r="C1754" s="2" t="s">
        <v>4</v>
      </c>
      <c r="D1754" s="2" t="s">
        <v>900</v>
      </c>
      <c r="E1754" s="3">
        <v>20</v>
      </c>
      <c r="F1754" s="3">
        <v>10</v>
      </c>
      <c r="G1754" s="4">
        <v>44614</v>
      </c>
    </row>
    <row r="1755" spans="2:7">
      <c r="B1755" s="1" t="s">
        <v>943</v>
      </c>
      <c r="C1755" s="2" t="s">
        <v>5</v>
      </c>
      <c r="D1755" s="2" t="s">
        <v>942</v>
      </c>
      <c r="E1755" s="3">
        <v>25</v>
      </c>
      <c r="F1755" s="3">
        <v>10</v>
      </c>
      <c r="G1755" s="4">
        <v>44944</v>
      </c>
    </row>
    <row r="1756" spans="2:7">
      <c r="B1756" s="1" t="s">
        <v>941</v>
      </c>
      <c r="C1756" s="2" t="s">
        <v>18</v>
      </c>
      <c r="D1756" s="2" t="s">
        <v>940</v>
      </c>
      <c r="E1756" s="3">
        <v>100</v>
      </c>
      <c r="F1756" s="3">
        <v>9</v>
      </c>
      <c r="G1756" s="4">
        <v>44690</v>
      </c>
    </row>
    <row r="1757" spans="2:7">
      <c r="B1757" s="1" t="s">
        <v>939</v>
      </c>
      <c r="C1757" s="2" t="s">
        <v>4</v>
      </c>
      <c r="D1757" s="2" t="s">
        <v>717</v>
      </c>
      <c r="E1757" s="3">
        <v>113</v>
      </c>
      <c r="F1757" s="3">
        <v>8</v>
      </c>
      <c r="G1757" s="4">
        <v>45090</v>
      </c>
    </row>
    <row r="1758" spans="2:7">
      <c r="B1758" s="1" t="s">
        <v>938</v>
      </c>
      <c r="C1758" s="2" t="s">
        <v>4</v>
      </c>
      <c r="D1758" s="2" t="s">
        <v>717</v>
      </c>
      <c r="E1758" s="3">
        <v>113</v>
      </c>
      <c r="F1758" s="3">
        <v>8</v>
      </c>
      <c r="G1758" s="4">
        <v>45090</v>
      </c>
    </row>
    <row r="1759" spans="2:7">
      <c r="B1759" s="1" t="s">
        <v>936</v>
      </c>
      <c r="C1759" s="2" t="s">
        <v>4</v>
      </c>
      <c r="D1759" s="2" t="s">
        <v>717</v>
      </c>
      <c r="E1759" s="3">
        <v>113</v>
      </c>
      <c r="F1759" s="3">
        <v>8</v>
      </c>
      <c r="G1759" s="4">
        <v>45090</v>
      </c>
    </row>
    <row r="1760" spans="2:7">
      <c r="B1760" s="1" t="s">
        <v>934</v>
      </c>
      <c r="C1760" s="2" t="s">
        <v>4</v>
      </c>
      <c r="D1760" s="2" t="s">
        <v>717</v>
      </c>
      <c r="E1760" s="3">
        <v>113</v>
      </c>
      <c r="F1760" s="3">
        <v>8</v>
      </c>
      <c r="G1760" s="4">
        <v>45090</v>
      </c>
    </row>
    <row r="1761" spans="2:7">
      <c r="B1761" s="1" t="s">
        <v>933</v>
      </c>
      <c r="C1761" s="2" t="s">
        <v>7</v>
      </c>
      <c r="D1761" s="2" t="s">
        <v>921</v>
      </c>
      <c r="E1761" s="3">
        <v>97.4</v>
      </c>
      <c r="F1761" s="3">
        <f>47/6</f>
        <v>7.833333333333333</v>
      </c>
      <c r="G1761" s="4">
        <v>45041</v>
      </c>
    </row>
    <row r="1762" spans="2:7">
      <c r="B1762" s="1" t="s">
        <v>932</v>
      </c>
      <c r="C1762" s="2" t="s">
        <v>5</v>
      </c>
      <c r="D1762" s="2" t="s">
        <v>902</v>
      </c>
      <c r="E1762" s="3">
        <v>20</v>
      </c>
      <c r="F1762" s="3">
        <v>7.5</v>
      </c>
      <c r="G1762" s="4">
        <v>45009</v>
      </c>
    </row>
    <row r="1763" spans="2:7">
      <c r="B1763" s="1" t="s">
        <v>931</v>
      </c>
      <c r="C1763" s="2" t="s">
        <v>7</v>
      </c>
      <c r="D1763" s="2" t="s">
        <v>877</v>
      </c>
      <c r="E1763" s="3">
        <v>50</v>
      </c>
      <c r="F1763" s="3">
        <f>E1763/7</f>
        <v>7.1428571428571432</v>
      </c>
      <c r="G1763" s="4">
        <v>44628</v>
      </c>
    </row>
    <row r="1764" spans="2:7">
      <c r="B1764" s="1" t="s">
        <v>930</v>
      </c>
      <c r="C1764" s="2" t="s">
        <v>7</v>
      </c>
      <c r="D1764" s="2" t="s">
        <v>877</v>
      </c>
      <c r="E1764" s="3">
        <v>50</v>
      </c>
      <c r="F1764" s="3">
        <f>E1764/7</f>
        <v>7.1428571428571432</v>
      </c>
      <c r="G1764" s="4">
        <v>44628</v>
      </c>
    </row>
    <row r="1765" spans="2:7">
      <c r="B1765" s="1" t="s">
        <v>929</v>
      </c>
      <c r="C1765" s="2" t="s">
        <v>5</v>
      </c>
      <c r="D1765" s="2" t="s">
        <v>734</v>
      </c>
      <c r="E1765" s="3">
        <v>20</v>
      </c>
      <c r="F1765" s="3">
        <v>7</v>
      </c>
      <c r="G1765" s="4">
        <v>44903</v>
      </c>
    </row>
    <row r="1766" spans="2:7">
      <c r="B1766" s="1" t="s">
        <v>928</v>
      </c>
      <c r="C1766" s="2" t="s">
        <v>4</v>
      </c>
      <c r="D1766" s="2" t="s">
        <v>926</v>
      </c>
      <c r="E1766" s="3">
        <v>42</v>
      </c>
      <c r="F1766" s="3">
        <v>7</v>
      </c>
      <c r="G1766" s="4">
        <v>44882</v>
      </c>
    </row>
    <row r="1767" spans="2:7">
      <c r="B1767" s="1" t="s">
        <v>927</v>
      </c>
      <c r="C1767" s="2" t="s">
        <v>4</v>
      </c>
      <c r="D1767" s="2" t="s">
        <v>926</v>
      </c>
      <c r="E1767" s="3">
        <v>42</v>
      </c>
      <c r="F1767" s="3">
        <v>7</v>
      </c>
      <c r="G1767" s="4">
        <v>44882</v>
      </c>
    </row>
    <row r="1768" spans="2:7">
      <c r="B1768" s="1" t="s">
        <v>925</v>
      </c>
      <c r="C1768" s="2" t="s">
        <v>5</v>
      </c>
      <c r="D1768" s="2" t="s">
        <v>921</v>
      </c>
      <c r="E1768" s="3">
        <v>80</v>
      </c>
      <c r="F1768" s="3">
        <f t="shared" ref="F1768:F1776" si="0">40/6</f>
        <v>6.666666666666667</v>
      </c>
      <c r="G1768" s="4">
        <v>44539</v>
      </c>
    </row>
    <row r="1769" spans="2:7">
      <c r="B1769" s="1" t="s">
        <v>924</v>
      </c>
      <c r="C1769" s="2" t="s">
        <v>5</v>
      </c>
      <c r="D1769" s="2" t="s">
        <v>921</v>
      </c>
      <c r="E1769" s="3">
        <v>80</v>
      </c>
      <c r="F1769" s="3">
        <f t="shared" si="0"/>
        <v>6.666666666666667</v>
      </c>
      <c r="G1769" s="4">
        <v>44539</v>
      </c>
    </row>
    <row r="1770" spans="2:7">
      <c r="B1770" s="1" t="s">
        <v>923</v>
      </c>
      <c r="C1770" s="2" t="s">
        <v>5</v>
      </c>
      <c r="D1770" s="2" t="s">
        <v>921</v>
      </c>
      <c r="E1770" s="3">
        <v>80</v>
      </c>
      <c r="F1770" s="3">
        <f t="shared" si="0"/>
        <v>6.666666666666667</v>
      </c>
      <c r="G1770" s="4">
        <v>44539</v>
      </c>
    </row>
    <row r="1771" spans="2:7">
      <c r="B1771" s="1" t="s">
        <v>922</v>
      </c>
      <c r="C1771" s="2" t="s">
        <v>5</v>
      </c>
      <c r="D1771" s="2" t="s">
        <v>921</v>
      </c>
      <c r="E1771" s="3">
        <v>80</v>
      </c>
      <c r="F1771" s="3">
        <f t="shared" si="0"/>
        <v>6.666666666666667</v>
      </c>
      <c r="G1771" s="4">
        <v>44539</v>
      </c>
    </row>
    <row r="1772" spans="2:7">
      <c r="B1772" s="1" t="s">
        <v>920</v>
      </c>
      <c r="C1772" s="2" t="s">
        <v>5</v>
      </c>
      <c r="D1772" s="2" t="s">
        <v>915</v>
      </c>
      <c r="E1772" s="3">
        <v>70</v>
      </c>
      <c r="F1772" s="3">
        <f t="shared" si="0"/>
        <v>6.666666666666667</v>
      </c>
      <c r="G1772" s="4">
        <v>45035</v>
      </c>
    </row>
    <row r="1773" spans="2:7">
      <c r="B1773" s="1" t="s">
        <v>919</v>
      </c>
      <c r="C1773" s="2" t="s">
        <v>5</v>
      </c>
      <c r="D1773" s="2" t="s">
        <v>915</v>
      </c>
      <c r="E1773" s="3">
        <v>70</v>
      </c>
      <c r="F1773" s="3">
        <f t="shared" si="0"/>
        <v>6.666666666666667</v>
      </c>
      <c r="G1773" s="4">
        <v>45035</v>
      </c>
    </row>
    <row r="1774" spans="2:7">
      <c r="B1774" s="1" t="s">
        <v>918</v>
      </c>
      <c r="C1774" s="2" t="s">
        <v>5</v>
      </c>
      <c r="D1774" s="2" t="s">
        <v>915</v>
      </c>
      <c r="E1774" s="3">
        <v>70</v>
      </c>
      <c r="F1774" s="3">
        <f t="shared" si="0"/>
        <v>6.666666666666667</v>
      </c>
      <c r="G1774" s="4">
        <v>45035</v>
      </c>
    </row>
    <row r="1775" spans="2:7">
      <c r="B1775" s="1" t="s">
        <v>917</v>
      </c>
      <c r="C1775" s="2" t="s">
        <v>5</v>
      </c>
      <c r="D1775" s="2" t="s">
        <v>915</v>
      </c>
      <c r="E1775" s="3">
        <v>70</v>
      </c>
      <c r="F1775" s="3">
        <f t="shared" si="0"/>
        <v>6.666666666666667</v>
      </c>
      <c r="G1775" s="4">
        <v>45035</v>
      </c>
    </row>
    <row r="1776" spans="2:7">
      <c r="B1776" s="1" t="s">
        <v>916</v>
      </c>
      <c r="C1776" s="2" t="s">
        <v>5</v>
      </c>
      <c r="D1776" s="2" t="s">
        <v>915</v>
      </c>
      <c r="E1776" s="3">
        <v>70</v>
      </c>
      <c r="F1776" s="3">
        <f t="shared" si="0"/>
        <v>6.666666666666667</v>
      </c>
      <c r="G1776" s="4">
        <v>45035</v>
      </c>
    </row>
    <row r="1777" spans="2:7">
      <c r="B1777" s="1" t="s">
        <v>914</v>
      </c>
      <c r="C1777" s="2" t="s">
        <v>18</v>
      </c>
      <c r="D1777" s="2" t="s">
        <v>890</v>
      </c>
      <c r="E1777" s="3">
        <v>85</v>
      </c>
      <c r="F1777" s="3">
        <v>6</v>
      </c>
      <c r="G1777" s="4">
        <v>44417</v>
      </c>
    </row>
    <row r="1778" spans="2:7">
      <c r="B1778" s="1" t="s">
        <v>913</v>
      </c>
      <c r="C1778" s="2" t="s">
        <v>4</v>
      </c>
      <c r="D1778" s="2" t="s">
        <v>861</v>
      </c>
      <c r="E1778" s="3">
        <v>16</v>
      </c>
      <c r="F1778" s="3">
        <v>6</v>
      </c>
      <c r="G1778" s="4">
        <v>44298</v>
      </c>
    </row>
    <row r="1779" spans="2:7">
      <c r="B1779" s="1" t="s">
        <v>912</v>
      </c>
      <c r="C1779" s="2" t="s">
        <v>4</v>
      </c>
      <c r="D1779" s="2" t="s">
        <v>672</v>
      </c>
      <c r="E1779" s="3">
        <v>13</v>
      </c>
      <c r="F1779" s="3">
        <v>6</v>
      </c>
      <c r="G1779" s="4">
        <v>44896</v>
      </c>
    </row>
    <row r="1780" spans="2:7">
      <c r="B1780" s="1" t="s">
        <v>911</v>
      </c>
      <c r="C1780" s="2" t="s">
        <v>5</v>
      </c>
      <c r="D1780" s="2" t="s">
        <v>822</v>
      </c>
      <c r="E1780" s="3">
        <v>11</v>
      </c>
      <c r="F1780" s="3">
        <v>6</v>
      </c>
      <c r="G1780" s="4">
        <v>44044</v>
      </c>
    </row>
    <row r="1781" spans="2:7">
      <c r="B1781" s="1" t="s">
        <v>910</v>
      </c>
      <c r="C1781" s="2" t="s">
        <v>5</v>
      </c>
      <c r="D1781" s="2" t="s">
        <v>649</v>
      </c>
      <c r="E1781" s="3">
        <v>10.6</v>
      </c>
      <c r="F1781" s="3">
        <v>5.6</v>
      </c>
      <c r="G1781" s="4">
        <v>44819</v>
      </c>
    </row>
    <row r="1782" spans="2:7">
      <c r="B1782" s="1" t="s">
        <v>909</v>
      </c>
      <c r="C1782" s="2" t="s">
        <v>7</v>
      </c>
      <c r="D1782" s="2" t="s">
        <v>908</v>
      </c>
      <c r="E1782" s="3">
        <v>40</v>
      </c>
      <c r="F1782" s="3">
        <v>5</v>
      </c>
      <c r="G1782" s="4">
        <v>44728</v>
      </c>
    </row>
    <row r="1783" spans="2:7">
      <c r="B1783" s="1" t="s">
        <v>907</v>
      </c>
      <c r="C1783" s="2" t="s">
        <v>7</v>
      </c>
      <c r="D1783" s="2" t="s">
        <v>905</v>
      </c>
      <c r="E1783" s="3">
        <v>40</v>
      </c>
      <c r="F1783" s="3">
        <v>5</v>
      </c>
      <c r="G1783" s="4">
        <v>44650</v>
      </c>
    </row>
    <row r="1784" spans="2:7">
      <c r="B1784" s="1" t="s">
        <v>904</v>
      </c>
      <c r="C1784" s="2" t="s">
        <v>5</v>
      </c>
      <c r="D1784" s="2" t="s">
        <v>831</v>
      </c>
      <c r="E1784" s="3">
        <v>20</v>
      </c>
      <c r="F1784" s="3">
        <v>5</v>
      </c>
      <c r="G1784" s="4">
        <v>44578</v>
      </c>
    </row>
    <row r="1785" spans="2:7">
      <c r="B1785" s="1" t="s">
        <v>903</v>
      </c>
      <c r="C1785" s="2" t="s">
        <v>5</v>
      </c>
      <c r="D1785" s="2" t="s">
        <v>902</v>
      </c>
      <c r="E1785" s="3">
        <v>20</v>
      </c>
      <c r="F1785" s="3">
        <v>5</v>
      </c>
      <c r="G1785" s="4">
        <v>45009</v>
      </c>
    </row>
    <row r="1786" spans="2:7">
      <c r="B1786" s="1" t="s">
        <v>901</v>
      </c>
      <c r="C1786" s="2" t="s">
        <v>4</v>
      </c>
      <c r="D1786" s="2" t="s">
        <v>900</v>
      </c>
      <c r="E1786" s="3">
        <v>20</v>
      </c>
      <c r="F1786" s="3">
        <v>5</v>
      </c>
      <c r="G1786" s="4">
        <v>44614</v>
      </c>
    </row>
    <row r="1787" spans="2:7">
      <c r="B1787" s="1" t="s">
        <v>899</v>
      </c>
      <c r="C1787" s="2" t="s">
        <v>5</v>
      </c>
      <c r="D1787" s="2" t="s">
        <v>728</v>
      </c>
      <c r="E1787" s="3">
        <v>12.5</v>
      </c>
      <c r="F1787" s="3">
        <v>5</v>
      </c>
      <c r="G1787" s="4">
        <v>44784</v>
      </c>
    </row>
    <row r="1788" spans="2:7">
      <c r="B1788" s="1" t="s">
        <v>898</v>
      </c>
      <c r="C1788" s="2" t="s">
        <v>4</v>
      </c>
      <c r="D1788" s="2" t="s">
        <v>697</v>
      </c>
      <c r="E1788" s="3">
        <v>30</v>
      </c>
      <c r="F1788" s="3">
        <v>5</v>
      </c>
      <c r="G1788" s="4">
        <v>44601</v>
      </c>
    </row>
    <row r="1789" spans="2:7">
      <c r="B1789" s="1" t="s">
        <v>897</v>
      </c>
      <c r="C1789" s="2" t="s">
        <v>7</v>
      </c>
      <c r="D1789" s="2" t="s">
        <v>896</v>
      </c>
      <c r="E1789" s="3">
        <v>75</v>
      </c>
      <c r="F1789" s="3">
        <v>5</v>
      </c>
      <c r="G1789" s="4">
        <v>43783</v>
      </c>
    </row>
    <row r="1790" spans="2:7">
      <c r="B1790" s="1" t="s">
        <v>895</v>
      </c>
      <c r="C1790" s="2" t="s">
        <v>5</v>
      </c>
      <c r="D1790" s="2" t="s">
        <v>856</v>
      </c>
      <c r="E1790" s="3">
        <v>44</v>
      </c>
      <c r="F1790" s="3">
        <f>14/3</f>
        <v>4.666666666666667</v>
      </c>
      <c r="G1790" s="4">
        <v>44671</v>
      </c>
    </row>
    <row r="1791" spans="2:7">
      <c r="B1791" s="1" t="s">
        <v>894</v>
      </c>
      <c r="C1791" s="2" t="s">
        <v>5</v>
      </c>
      <c r="D1791" s="2" t="s">
        <v>856</v>
      </c>
      <c r="E1791" s="3">
        <v>44</v>
      </c>
      <c r="F1791" s="3">
        <f>14/3</f>
        <v>4.666666666666667</v>
      </c>
      <c r="G1791" s="4">
        <v>44671</v>
      </c>
    </row>
    <row r="1792" spans="2:7">
      <c r="B1792" s="1" t="s">
        <v>893</v>
      </c>
      <c r="C1792" s="2" t="s">
        <v>5</v>
      </c>
      <c r="D1792" s="2" t="s">
        <v>856</v>
      </c>
      <c r="E1792" s="3">
        <v>44</v>
      </c>
      <c r="F1792" s="3">
        <f>14/3</f>
        <v>4.666666666666667</v>
      </c>
      <c r="G1792" s="4">
        <v>44671</v>
      </c>
    </row>
    <row r="1793" spans="2:7">
      <c r="B1793" s="1" t="s">
        <v>892</v>
      </c>
      <c r="C1793" s="2" t="s">
        <v>5</v>
      </c>
      <c r="D1793" s="2" t="s">
        <v>683</v>
      </c>
      <c r="E1793" s="3">
        <v>14.5</v>
      </c>
      <c r="F1793" s="3">
        <v>4.5</v>
      </c>
      <c r="G1793" s="4">
        <v>44389</v>
      </c>
    </row>
    <row r="1794" spans="2:7">
      <c r="B1794" s="1" t="s">
        <v>891</v>
      </c>
      <c r="C1794" s="2" t="s">
        <v>7</v>
      </c>
      <c r="D1794" s="2" t="s">
        <v>890</v>
      </c>
      <c r="E1794" s="3">
        <v>35</v>
      </c>
      <c r="F1794" s="3">
        <f>25/6</f>
        <v>4.166666666666667</v>
      </c>
      <c r="G1794" s="4">
        <v>44293</v>
      </c>
    </row>
    <row r="1795" spans="2:7">
      <c r="B1795" s="1" t="s">
        <v>889</v>
      </c>
      <c r="C1795" s="2" t="s">
        <v>5</v>
      </c>
      <c r="D1795" s="2" t="s">
        <v>655</v>
      </c>
      <c r="E1795" s="3">
        <v>12.5</v>
      </c>
      <c r="F1795" s="3">
        <f>E1795/3</f>
        <v>4.166666666666667</v>
      </c>
      <c r="G1795" s="4">
        <v>44825</v>
      </c>
    </row>
    <row r="1796" spans="2:7">
      <c r="B1796" s="1" t="s">
        <v>888</v>
      </c>
      <c r="C1796" s="2" t="s">
        <v>5</v>
      </c>
      <c r="D1796" s="2" t="s">
        <v>655</v>
      </c>
      <c r="E1796" s="3">
        <v>12.5</v>
      </c>
      <c r="F1796" s="3">
        <f>E1796/3</f>
        <v>4.166666666666667</v>
      </c>
      <c r="G1796" s="4">
        <v>44825</v>
      </c>
    </row>
    <row r="1797" spans="2:7">
      <c r="B1797" s="1" t="s">
        <v>887</v>
      </c>
      <c r="C1797" s="2" t="s">
        <v>5</v>
      </c>
      <c r="D1797" s="2" t="s">
        <v>886</v>
      </c>
      <c r="E1797" s="3">
        <v>30</v>
      </c>
      <c r="F1797" s="3">
        <v>4</v>
      </c>
      <c r="G1797" s="4">
        <v>44522</v>
      </c>
    </row>
    <row r="1798" spans="2:7">
      <c r="B1798" s="1" t="s">
        <v>885</v>
      </c>
      <c r="C1798" s="2" t="s">
        <v>5</v>
      </c>
      <c r="D1798" s="2" t="s">
        <v>884</v>
      </c>
      <c r="E1798" s="3">
        <v>21.4</v>
      </c>
      <c r="F1798" s="3">
        <f>11.4/3</f>
        <v>3.8000000000000003</v>
      </c>
      <c r="G1798" s="4">
        <v>44232</v>
      </c>
    </row>
    <row r="1799" spans="2:7">
      <c r="B1799" s="1" t="s">
        <v>883</v>
      </c>
      <c r="C1799" s="2" t="s">
        <v>4</v>
      </c>
      <c r="D1799" s="2" t="s">
        <v>672</v>
      </c>
      <c r="E1799" s="3">
        <v>13</v>
      </c>
      <c r="F1799" s="3">
        <f>7/2</f>
        <v>3.5</v>
      </c>
      <c r="G1799" s="4">
        <v>44896</v>
      </c>
    </row>
    <row r="1800" spans="2:7">
      <c r="B1800" s="1" t="s">
        <v>882</v>
      </c>
      <c r="C1800" s="2" t="s">
        <v>4</v>
      </c>
      <c r="D1800" s="2" t="s">
        <v>783</v>
      </c>
      <c r="E1800" s="3">
        <v>10</v>
      </c>
      <c r="F1800" s="3">
        <v>3.5</v>
      </c>
      <c r="G1800" s="4">
        <v>44858</v>
      </c>
    </row>
    <row r="1801" spans="2:7">
      <c r="B1801" s="1" t="s">
        <v>881</v>
      </c>
      <c r="C1801" s="2" t="s">
        <v>4</v>
      </c>
      <c r="D1801" s="2" t="s">
        <v>783</v>
      </c>
      <c r="E1801" s="3">
        <v>10</v>
      </c>
      <c r="F1801" s="3">
        <v>3.5</v>
      </c>
      <c r="G1801" s="4">
        <v>44858</v>
      </c>
    </row>
    <row r="1802" spans="2:7">
      <c r="B1802" s="1" t="s">
        <v>880</v>
      </c>
      <c r="C1802" s="2" t="s">
        <v>5</v>
      </c>
      <c r="D1802" s="2" t="s">
        <v>877</v>
      </c>
      <c r="E1802" s="3">
        <v>10</v>
      </c>
      <c r="F1802" s="3">
        <v>3</v>
      </c>
      <c r="G1802" s="4">
        <v>44378</v>
      </c>
    </row>
    <row r="1803" spans="2:7">
      <c r="B1803" s="1" t="s">
        <v>878</v>
      </c>
      <c r="C1803" s="2" t="s">
        <v>5</v>
      </c>
      <c r="D1803" s="2" t="s">
        <v>877</v>
      </c>
      <c r="E1803" s="3">
        <v>10</v>
      </c>
      <c r="F1803" s="3">
        <v>3</v>
      </c>
      <c r="G1803" s="4">
        <v>44378</v>
      </c>
    </row>
    <row r="1804" spans="2:7">
      <c r="B1804" s="1" t="s">
        <v>876</v>
      </c>
      <c r="C1804" s="2" t="s">
        <v>7</v>
      </c>
      <c r="D1804" s="2" t="s">
        <v>747</v>
      </c>
      <c r="E1804" s="3">
        <v>25</v>
      </c>
      <c r="F1804" s="3">
        <f>15/5</f>
        <v>3</v>
      </c>
      <c r="G1804" s="4">
        <v>44755</v>
      </c>
    </row>
    <row r="1805" spans="2:7">
      <c r="B1805" s="1" t="s">
        <v>875</v>
      </c>
      <c r="C1805" s="2" t="s">
        <v>5</v>
      </c>
      <c r="D1805" s="2" t="s">
        <v>795</v>
      </c>
      <c r="E1805" s="3">
        <v>10.9</v>
      </c>
      <c r="F1805" s="3">
        <v>3</v>
      </c>
      <c r="G1805" s="4">
        <v>45070</v>
      </c>
    </row>
    <row r="1806" spans="2:7">
      <c r="B1806" s="1" t="s">
        <v>874</v>
      </c>
      <c r="C1806" s="2" t="s">
        <v>7</v>
      </c>
      <c r="D1806" s="2" t="s">
        <v>873</v>
      </c>
      <c r="E1806" s="3">
        <v>25</v>
      </c>
      <c r="F1806" s="3">
        <v>3</v>
      </c>
      <c r="G1806" s="4">
        <v>44636</v>
      </c>
    </row>
    <row r="1807" spans="2:7">
      <c r="B1807" s="1" t="s">
        <v>872</v>
      </c>
      <c r="C1807" s="2" t="s">
        <v>5</v>
      </c>
      <c r="D1807" s="2" t="s">
        <v>653</v>
      </c>
      <c r="E1807" s="3">
        <v>12</v>
      </c>
      <c r="F1807" s="3">
        <v>3</v>
      </c>
      <c r="G1807" s="4">
        <v>44860</v>
      </c>
    </row>
    <row r="1808" spans="2:7">
      <c r="B1808" s="1" t="s">
        <v>870</v>
      </c>
      <c r="C1808" s="2" t="s">
        <v>7</v>
      </c>
      <c r="D1808" s="2" t="s">
        <v>535</v>
      </c>
      <c r="E1808" s="3">
        <v>32</v>
      </c>
      <c r="F1808" s="3">
        <v>3</v>
      </c>
      <c r="G1808" s="4">
        <v>44364</v>
      </c>
    </row>
    <row r="1809" spans="2:7">
      <c r="B1809" s="1" t="s">
        <v>869</v>
      </c>
      <c r="C1809" s="2" t="s">
        <v>7</v>
      </c>
      <c r="D1809" s="2" t="s">
        <v>535</v>
      </c>
      <c r="E1809" s="3">
        <v>32</v>
      </c>
      <c r="F1809" s="3">
        <v>3</v>
      </c>
      <c r="G1809" s="4">
        <v>44364</v>
      </c>
    </row>
    <row r="1810" spans="2:7">
      <c r="B1810" s="1" t="s">
        <v>868</v>
      </c>
      <c r="C1810" s="2" t="s">
        <v>5</v>
      </c>
      <c r="D1810" s="2" t="s">
        <v>747</v>
      </c>
      <c r="E1810" s="3">
        <v>21</v>
      </c>
      <c r="F1810" s="3">
        <f>14/5</f>
        <v>2.8</v>
      </c>
      <c r="G1810" s="4">
        <v>44489</v>
      </c>
    </row>
    <row r="1811" spans="2:7">
      <c r="B1811" s="1" t="s">
        <v>867</v>
      </c>
      <c r="C1811" s="2" t="s">
        <v>5</v>
      </c>
      <c r="D1811" s="2" t="s">
        <v>742</v>
      </c>
      <c r="E1811" s="3">
        <v>25</v>
      </c>
      <c r="F1811" s="3">
        <f>18/7</f>
        <v>2.5714285714285716</v>
      </c>
      <c r="G1811" s="4">
        <v>44757</v>
      </c>
    </row>
    <row r="1812" spans="2:7">
      <c r="B1812" s="1" t="s">
        <v>866</v>
      </c>
      <c r="C1812" s="2" t="s">
        <v>5</v>
      </c>
      <c r="D1812" s="2" t="s">
        <v>742</v>
      </c>
      <c r="E1812" s="3">
        <v>25</v>
      </c>
      <c r="F1812" s="3">
        <f>18/7</f>
        <v>2.5714285714285716</v>
      </c>
      <c r="G1812" s="4">
        <v>44757</v>
      </c>
    </row>
    <row r="1813" spans="2:7">
      <c r="B1813" s="1" t="s">
        <v>865</v>
      </c>
      <c r="C1813" s="2" t="s">
        <v>4</v>
      </c>
      <c r="D1813" s="2" t="s">
        <v>861</v>
      </c>
      <c r="E1813" s="3">
        <v>16</v>
      </c>
      <c r="F1813" s="3">
        <f>10/4</f>
        <v>2.5</v>
      </c>
      <c r="G1813" s="4">
        <v>44298</v>
      </c>
    </row>
    <row r="1814" spans="2:7">
      <c r="B1814" s="1" t="s">
        <v>864</v>
      </c>
      <c r="C1814" s="2" t="s">
        <v>4</v>
      </c>
      <c r="D1814" s="2" t="s">
        <v>861</v>
      </c>
      <c r="E1814" s="3">
        <v>16</v>
      </c>
      <c r="F1814" s="3">
        <f>10/4</f>
        <v>2.5</v>
      </c>
      <c r="G1814" s="4">
        <v>44298</v>
      </c>
    </row>
    <row r="1815" spans="2:7">
      <c r="B1815" s="1" t="s">
        <v>863</v>
      </c>
      <c r="C1815" s="2" t="s">
        <v>4</v>
      </c>
      <c r="D1815" s="2" t="s">
        <v>861</v>
      </c>
      <c r="E1815" s="3">
        <v>16</v>
      </c>
      <c r="F1815" s="3">
        <f>10/4</f>
        <v>2.5</v>
      </c>
      <c r="G1815" s="4">
        <v>44298</v>
      </c>
    </row>
    <row r="1816" spans="2:7">
      <c r="B1816" s="1" t="s">
        <v>862</v>
      </c>
      <c r="C1816" s="2" t="s">
        <v>4</v>
      </c>
      <c r="D1816" s="2" t="s">
        <v>861</v>
      </c>
      <c r="E1816" s="3">
        <v>16</v>
      </c>
      <c r="F1816" s="3">
        <f>10/4</f>
        <v>2.5</v>
      </c>
      <c r="G1816" s="4">
        <v>44298</v>
      </c>
    </row>
    <row r="1817" spans="2:7">
      <c r="B1817" s="1" t="s">
        <v>860</v>
      </c>
      <c r="C1817" s="2" t="s">
        <v>5</v>
      </c>
      <c r="D1817" s="2" t="s">
        <v>712</v>
      </c>
      <c r="E1817" s="3">
        <v>50</v>
      </c>
      <c r="F1817" s="3">
        <f>30/12</f>
        <v>2.5</v>
      </c>
      <c r="G1817" s="4">
        <v>44796</v>
      </c>
    </row>
    <row r="1818" spans="2:7">
      <c r="B1818" s="1" t="s">
        <v>859</v>
      </c>
      <c r="C1818" s="2" t="s">
        <v>5</v>
      </c>
      <c r="D1818" s="2" t="s">
        <v>712</v>
      </c>
      <c r="E1818" s="3">
        <v>50</v>
      </c>
      <c r="F1818" s="3">
        <f>30/12</f>
        <v>2.5</v>
      </c>
      <c r="G1818" s="4">
        <v>44796</v>
      </c>
    </row>
    <row r="1819" spans="2:7">
      <c r="B1819" s="1" t="s">
        <v>858</v>
      </c>
      <c r="C1819" s="2" t="s">
        <v>5</v>
      </c>
      <c r="D1819" s="2" t="s">
        <v>706</v>
      </c>
      <c r="E1819" s="3">
        <v>20</v>
      </c>
      <c r="F1819" s="3">
        <v>2.5</v>
      </c>
      <c r="G1819" s="4">
        <v>44392</v>
      </c>
    </row>
    <row r="1820" spans="2:7">
      <c r="B1820" s="1" t="s">
        <v>854</v>
      </c>
      <c r="C1820" s="2" t="s">
        <v>5</v>
      </c>
      <c r="D1820" s="2" t="s">
        <v>734</v>
      </c>
      <c r="E1820" s="3">
        <v>20</v>
      </c>
      <c r="F1820" s="3">
        <f>13/6</f>
        <v>2.1666666666666665</v>
      </c>
      <c r="G1820" s="4">
        <v>44903</v>
      </c>
    </row>
    <row r="1821" spans="2:7">
      <c r="B1821" s="1" t="s">
        <v>853</v>
      </c>
      <c r="C1821" s="2" t="s">
        <v>5</v>
      </c>
      <c r="D1821" s="2" t="s">
        <v>734</v>
      </c>
      <c r="E1821" s="3">
        <v>20</v>
      </c>
      <c r="F1821" s="3">
        <f>13/6</f>
        <v>2.1666666666666665</v>
      </c>
      <c r="G1821" s="4">
        <v>44903</v>
      </c>
    </row>
    <row r="1822" spans="2:7">
      <c r="B1822" s="1" t="s">
        <v>852</v>
      </c>
      <c r="C1822" s="2" t="s">
        <v>5</v>
      </c>
      <c r="D1822" s="2" t="s">
        <v>734</v>
      </c>
      <c r="E1822" s="3">
        <v>20</v>
      </c>
      <c r="F1822" s="3">
        <f>13/6</f>
        <v>2.1666666666666665</v>
      </c>
      <c r="G1822" s="4">
        <v>44903</v>
      </c>
    </row>
    <row r="1823" spans="2:7">
      <c r="B1823" s="1" t="s">
        <v>851</v>
      </c>
      <c r="C1823" s="2" t="s">
        <v>5</v>
      </c>
      <c r="D1823" s="2" t="s">
        <v>737</v>
      </c>
      <c r="E1823" s="3">
        <v>20</v>
      </c>
      <c r="F1823" s="3">
        <f>13/6</f>
        <v>2.1666666666666665</v>
      </c>
      <c r="G1823" s="4">
        <v>44676</v>
      </c>
    </row>
    <row r="1824" spans="2:7">
      <c r="B1824" s="1" t="s">
        <v>850</v>
      </c>
      <c r="C1824" s="2" t="s">
        <v>5</v>
      </c>
      <c r="D1824" s="2" t="s">
        <v>737</v>
      </c>
      <c r="E1824" s="3">
        <v>20</v>
      </c>
      <c r="F1824" s="3">
        <f>13/6</f>
        <v>2.1666666666666665</v>
      </c>
      <c r="G1824" s="4">
        <v>44676</v>
      </c>
    </row>
    <row r="1825" spans="2:7">
      <c r="B1825" s="1" t="s">
        <v>849</v>
      </c>
      <c r="C1825" s="2" t="s">
        <v>4</v>
      </c>
      <c r="D1825" s="2" t="s">
        <v>689</v>
      </c>
      <c r="E1825" s="3">
        <v>15</v>
      </c>
      <c r="F1825" s="3">
        <f>15/7</f>
        <v>2.1428571428571428</v>
      </c>
      <c r="G1825" s="4">
        <v>44691</v>
      </c>
    </row>
    <row r="1826" spans="2:7">
      <c r="B1826" s="1" t="s">
        <v>848</v>
      </c>
      <c r="C1826" s="2" t="s">
        <v>4</v>
      </c>
      <c r="D1826" s="2" t="s">
        <v>689</v>
      </c>
      <c r="E1826" s="3">
        <v>15</v>
      </c>
      <c r="F1826" s="3">
        <f>15/7</f>
        <v>2.1428571428571428</v>
      </c>
      <c r="G1826" s="4">
        <v>44691</v>
      </c>
    </row>
    <row r="1827" spans="2:7">
      <c r="B1827" s="1" t="s">
        <v>847</v>
      </c>
      <c r="C1827" s="2" t="s">
        <v>4</v>
      </c>
      <c r="D1827" s="2" t="s">
        <v>689</v>
      </c>
      <c r="E1827" s="3">
        <v>15</v>
      </c>
      <c r="F1827" s="3">
        <f>15/7</f>
        <v>2.1428571428571428</v>
      </c>
      <c r="G1827" s="4">
        <v>44691</v>
      </c>
    </row>
    <row r="1828" spans="2:7">
      <c r="B1828" s="1" t="s">
        <v>846</v>
      </c>
      <c r="C1828" s="2" t="s">
        <v>4</v>
      </c>
      <c r="D1828" s="2" t="s">
        <v>689</v>
      </c>
      <c r="E1828" s="3">
        <v>15</v>
      </c>
      <c r="F1828" s="3">
        <f>15/7</f>
        <v>2.1428571428571428</v>
      </c>
      <c r="G1828" s="4">
        <v>44691</v>
      </c>
    </row>
    <row r="1829" spans="2:7">
      <c r="B1829" s="1" t="s">
        <v>845</v>
      </c>
      <c r="C1829" s="2" t="s">
        <v>5</v>
      </c>
      <c r="D1829" s="2" t="s">
        <v>844</v>
      </c>
      <c r="E1829" s="3">
        <v>20</v>
      </c>
      <c r="F1829" s="3">
        <f>12/6</f>
        <v>2</v>
      </c>
      <c r="G1829" s="4">
        <v>43816</v>
      </c>
    </row>
    <row r="1830" spans="2:7">
      <c r="B1830" s="1" t="s">
        <v>843</v>
      </c>
      <c r="C1830" s="2" t="s">
        <v>5</v>
      </c>
      <c r="D1830" s="2" t="s">
        <v>728</v>
      </c>
      <c r="E1830" s="3">
        <v>12.5</v>
      </c>
      <c r="F1830" s="3">
        <v>2</v>
      </c>
      <c r="G1830" s="4">
        <v>44784</v>
      </c>
    </row>
    <row r="1831" spans="2:7">
      <c r="B1831" s="1" t="s">
        <v>842</v>
      </c>
      <c r="C1831" s="2" t="s">
        <v>4</v>
      </c>
      <c r="D1831" s="2" t="s">
        <v>841</v>
      </c>
      <c r="E1831" s="3">
        <v>4.5</v>
      </c>
      <c r="F1831" s="3">
        <v>2</v>
      </c>
      <c r="G1831" s="4">
        <v>45056</v>
      </c>
    </row>
    <row r="1832" spans="2:7">
      <c r="B1832" s="1" t="s">
        <v>840</v>
      </c>
      <c r="C1832" s="2" t="s">
        <v>5</v>
      </c>
      <c r="D1832" s="2" t="s">
        <v>708</v>
      </c>
      <c r="E1832" s="3">
        <v>23.5</v>
      </c>
      <c r="F1832" s="3">
        <v>2</v>
      </c>
      <c r="G1832" s="4">
        <v>44875</v>
      </c>
    </row>
    <row r="1833" spans="2:7">
      <c r="B1833" s="1" t="s">
        <v>839</v>
      </c>
      <c r="C1833" s="2" t="s">
        <v>5</v>
      </c>
      <c r="D1833" s="2" t="s">
        <v>837</v>
      </c>
      <c r="E1833" s="3">
        <v>20</v>
      </c>
      <c r="F1833" s="3">
        <v>2</v>
      </c>
      <c r="G1833" s="4">
        <v>44602</v>
      </c>
    </row>
    <row r="1834" spans="2:7">
      <c r="B1834" s="1" t="s">
        <v>838</v>
      </c>
      <c r="C1834" s="2" t="s">
        <v>5</v>
      </c>
      <c r="D1834" s="2" t="s">
        <v>837</v>
      </c>
      <c r="E1834" s="3">
        <v>20</v>
      </c>
      <c r="F1834" s="3">
        <v>2</v>
      </c>
      <c r="G1834" s="4">
        <v>44602</v>
      </c>
    </row>
    <row r="1835" spans="2:7">
      <c r="B1835" s="1" t="s">
        <v>835</v>
      </c>
      <c r="C1835" s="2" t="s">
        <v>5</v>
      </c>
      <c r="D1835" s="2" t="s">
        <v>831</v>
      </c>
      <c r="E1835" s="3">
        <v>20</v>
      </c>
      <c r="F1835" s="3">
        <v>2</v>
      </c>
      <c r="G1835" s="4">
        <v>44578</v>
      </c>
    </row>
    <row r="1836" spans="2:7">
      <c r="B1836" s="1" t="s">
        <v>834</v>
      </c>
      <c r="C1836" s="2" t="s">
        <v>5</v>
      </c>
      <c r="D1836" s="2" t="s">
        <v>831</v>
      </c>
      <c r="E1836" s="3">
        <v>20</v>
      </c>
      <c r="F1836" s="3">
        <v>2</v>
      </c>
      <c r="G1836" s="4">
        <v>44578</v>
      </c>
    </row>
    <row r="1837" spans="2:7">
      <c r="B1837" s="1" t="s">
        <v>833</v>
      </c>
      <c r="C1837" s="2" t="s">
        <v>5</v>
      </c>
      <c r="D1837" s="2" t="s">
        <v>831</v>
      </c>
      <c r="E1837" s="3">
        <v>20</v>
      </c>
      <c r="F1837" s="3">
        <v>2</v>
      </c>
      <c r="G1837" s="4">
        <v>44578</v>
      </c>
    </row>
    <row r="1838" spans="2:7">
      <c r="B1838" s="1" t="s">
        <v>832</v>
      </c>
      <c r="C1838" s="2" t="s">
        <v>5</v>
      </c>
      <c r="D1838" s="2" t="s">
        <v>831</v>
      </c>
      <c r="E1838" s="3">
        <v>20</v>
      </c>
      <c r="F1838" s="3">
        <v>2</v>
      </c>
      <c r="G1838" s="4">
        <v>44578</v>
      </c>
    </row>
    <row r="1839" spans="2:7">
      <c r="B1839" s="1" t="s">
        <v>830</v>
      </c>
      <c r="C1839" s="2" t="s">
        <v>4</v>
      </c>
      <c r="D1839" s="2" t="s">
        <v>607</v>
      </c>
      <c r="E1839" s="3">
        <v>6</v>
      </c>
      <c r="F1839" s="3">
        <v>2</v>
      </c>
      <c r="G1839" s="4">
        <v>44781</v>
      </c>
    </row>
    <row r="1840" spans="2:7">
      <c r="B1840" s="1" t="s">
        <v>829</v>
      </c>
      <c r="C1840" s="2" t="s">
        <v>4</v>
      </c>
      <c r="D1840" s="2" t="s">
        <v>714</v>
      </c>
      <c r="E1840" s="3">
        <v>6</v>
      </c>
      <c r="F1840" s="3">
        <v>2</v>
      </c>
      <c r="G1840" s="4">
        <v>44180</v>
      </c>
    </row>
    <row r="1841" spans="2:18">
      <c r="B1841" s="1" t="s">
        <v>828</v>
      </c>
      <c r="C1841" s="2" t="s">
        <v>4</v>
      </c>
      <c r="D1841" s="2" t="s">
        <v>655</v>
      </c>
      <c r="E1841" s="3">
        <v>2</v>
      </c>
      <c r="F1841" s="3">
        <v>2</v>
      </c>
      <c r="G1841" s="4">
        <v>43685</v>
      </c>
    </row>
    <row r="1842" spans="2:18">
      <c r="B1842" s="1" t="s">
        <v>826</v>
      </c>
      <c r="C1842" s="2" t="s">
        <v>5</v>
      </c>
      <c r="D1842" s="2" t="s">
        <v>657</v>
      </c>
      <c r="E1842" s="3">
        <v>13</v>
      </c>
      <c r="F1842" s="3">
        <f>8/4</f>
        <v>2</v>
      </c>
      <c r="G1842" s="4">
        <v>44642</v>
      </c>
    </row>
    <row r="1843" spans="2:18">
      <c r="B1843" s="1" t="s">
        <v>825</v>
      </c>
      <c r="C1843" s="2" t="s">
        <v>5</v>
      </c>
      <c r="D1843" s="2" t="s">
        <v>657</v>
      </c>
      <c r="E1843" s="3">
        <v>13</v>
      </c>
      <c r="F1843" s="3">
        <f>8/4</f>
        <v>2</v>
      </c>
      <c r="G1843" s="4">
        <v>44642</v>
      </c>
    </row>
    <row r="1844" spans="2:18">
      <c r="B1844" s="1" t="s">
        <v>824</v>
      </c>
      <c r="C1844" s="2" t="s">
        <v>4</v>
      </c>
      <c r="D1844" s="2" t="s">
        <v>665</v>
      </c>
      <c r="E1844" s="3">
        <v>12.8</v>
      </c>
      <c r="F1844" s="3">
        <v>2</v>
      </c>
      <c r="G1844" s="4">
        <v>44601</v>
      </c>
    </row>
    <row r="1845" spans="2:18">
      <c r="B1845" s="1" t="s">
        <v>823</v>
      </c>
      <c r="C1845" s="2" t="s">
        <v>7</v>
      </c>
      <c r="D1845" s="2" t="s">
        <v>822</v>
      </c>
      <c r="E1845" s="3">
        <v>27</v>
      </c>
      <c r="F1845" s="3">
        <v>2</v>
      </c>
      <c r="G1845" s="4">
        <v>44882</v>
      </c>
    </row>
    <row r="1846" spans="2:18">
      <c r="B1846" s="1" t="s">
        <v>821</v>
      </c>
      <c r="C1846" s="2" t="s">
        <v>4</v>
      </c>
      <c r="D1846" s="2" t="s">
        <v>777</v>
      </c>
      <c r="E1846" s="3">
        <v>4</v>
      </c>
      <c r="F1846" s="3">
        <v>2</v>
      </c>
      <c r="G1846" s="4">
        <v>45026</v>
      </c>
    </row>
    <row r="1847" spans="2:18">
      <c r="B1847" s="1" t="s">
        <v>820</v>
      </c>
      <c r="C1847" s="2" t="s">
        <v>4</v>
      </c>
      <c r="D1847" s="2" t="s">
        <v>819</v>
      </c>
      <c r="E1847" s="3">
        <v>5</v>
      </c>
      <c r="F1847" s="3">
        <f>5/3</f>
        <v>1.6666666666666667</v>
      </c>
      <c r="G1847" s="4">
        <v>45062</v>
      </c>
    </row>
    <row r="1848" spans="2:18">
      <c r="B1848" s="1" t="s">
        <v>816</v>
      </c>
      <c r="C1848" s="2" t="s">
        <v>5</v>
      </c>
      <c r="D1848" s="2" t="s">
        <v>815</v>
      </c>
      <c r="E1848" s="3">
        <v>4.5</v>
      </c>
      <c r="F1848" s="3">
        <v>1.5</v>
      </c>
      <c r="G1848" s="4">
        <v>42858</v>
      </c>
      <c r="M1848" s="1"/>
      <c r="N1848" s="1"/>
      <c r="O1848" s="1"/>
      <c r="P1848" s="1"/>
      <c r="Q1848" s="1"/>
      <c r="R1848" s="1"/>
    </row>
    <row r="1849" spans="2:18">
      <c r="B1849" s="1" t="s">
        <v>814</v>
      </c>
      <c r="C1849" s="2" t="s">
        <v>5</v>
      </c>
      <c r="D1849" s="2" t="s">
        <v>674</v>
      </c>
      <c r="E1849" s="3">
        <v>17</v>
      </c>
      <c r="F1849" s="3">
        <v>1.5</v>
      </c>
      <c r="G1849" s="4">
        <v>44679</v>
      </c>
      <c r="M1849" s="1"/>
      <c r="N1849" s="1"/>
      <c r="O1849" s="1"/>
      <c r="P1849" s="1"/>
      <c r="Q1849" s="1"/>
      <c r="R1849" s="1"/>
    </row>
    <row r="1850" spans="2:18">
      <c r="B1850" s="1" t="s">
        <v>813</v>
      </c>
      <c r="C1850" s="2" t="s">
        <v>4</v>
      </c>
      <c r="D1850" s="2" t="s">
        <v>775</v>
      </c>
      <c r="E1850" s="3">
        <v>6</v>
      </c>
      <c r="F1850" s="3">
        <v>1</v>
      </c>
      <c r="G1850" s="4">
        <v>44352</v>
      </c>
      <c r="M1850" s="1"/>
      <c r="N1850" s="1"/>
      <c r="O1850" s="1"/>
      <c r="P1850" s="1"/>
      <c r="Q1850" s="1"/>
      <c r="R1850" s="1"/>
    </row>
    <row r="1851" spans="2:18">
      <c r="B1851" s="1" t="s">
        <v>812</v>
      </c>
      <c r="C1851" s="2" t="s">
        <v>4</v>
      </c>
      <c r="D1851" s="2" t="s">
        <v>775</v>
      </c>
      <c r="E1851" s="3">
        <v>6</v>
      </c>
      <c r="F1851" s="3">
        <v>1</v>
      </c>
      <c r="G1851" s="4">
        <v>44352</v>
      </c>
      <c r="M1851" s="1"/>
      <c r="N1851" s="1"/>
      <c r="O1851" s="1"/>
      <c r="P1851" s="1"/>
      <c r="Q1851" s="1"/>
      <c r="R1851" s="1"/>
    </row>
    <row r="1852" spans="2:18">
      <c r="B1852" s="1" t="s">
        <v>811</v>
      </c>
      <c r="C1852" s="2" t="s">
        <v>4</v>
      </c>
      <c r="D1852" s="2" t="s">
        <v>810</v>
      </c>
      <c r="E1852" s="3">
        <v>5.3</v>
      </c>
      <c r="F1852" s="3">
        <v>1</v>
      </c>
      <c r="G1852" s="4">
        <v>43628</v>
      </c>
      <c r="M1852" s="1"/>
      <c r="N1852" s="1"/>
      <c r="O1852" s="1"/>
      <c r="P1852" s="1"/>
      <c r="Q1852" s="1"/>
      <c r="R1852" s="1"/>
    </row>
    <row r="1853" spans="2:18">
      <c r="B1853" s="1" t="s">
        <v>809</v>
      </c>
      <c r="C1853" s="2" t="s">
        <v>5</v>
      </c>
      <c r="D1853" s="2" t="s">
        <v>808</v>
      </c>
      <c r="E1853" s="3">
        <v>17.5</v>
      </c>
      <c r="F1853" s="3">
        <v>1</v>
      </c>
      <c r="G1853" s="4">
        <v>44614</v>
      </c>
      <c r="M1853" s="1"/>
      <c r="N1853" s="1"/>
      <c r="O1853" s="1"/>
      <c r="P1853" s="1"/>
      <c r="Q1853" s="1"/>
      <c r="R1853" s="1"/>
    </row>
    <row r="1854" spans="2:18">
      <c r="B1854" s="1" t="s">
        <v>807</v>
      </c>
      <c r="C1854" s="2" t="s">
        <v>5</v>
      </c>
      <c r="D1854" s="2" t="s">
        <v>795</v>
      </c>
      <c r="E1854" s="3">
        <v>10.9</v>
      </c>
      <c r="F1854" s="3">
        <f>8/8</f>
        <v>1</v>
      </c>
      <c r="G1854" s="4">
        <v>45070</v>
      </c>
      <c r="M1854" s="1"/>
      <c r="N1854" s="1"/>
      <c r="O1854" s="1"/>
      <c r="P1854" s="1"/>
      <c r="Q1854" s="1"/>
      <c r="R1854" s="1"/>
    </row>
    <row r="1855" spans="2:18">
      <c r="B1855" s="1" t="s">
        <v>806</v>
      </c>
      <c r="C1855" s="2" t="s">
        <v>4</v>
      </c>
      <c r="D1855" s="2" t="s">
        <v>721</v>
      </c>
      <c r="E1855" s="3">
        <v>5.5</v>
      </c>
      <c r="F1855" s="3">
        <v>1</v>
      </c>
      <c r="G1855" s="4">
        <v>45092</v>
      </c>
      <c r="M1855" s="1"/>
      <c r="N1855" s="1"/>
      <c r="O1855" s="1"/>
      <c r="P1855" s="1"/>
      <c r="Q1855" s="1"/>
      <c r="R1855" s="1"/>
    </row>
    <row r="1856" spans="2:18">
      <c r="B1856" s="1" t="s">
        <v>805</v>
      </c>
      <c r="C1856" s="2" t="s">
        <v>4</v>
      </c>
      <c r="D1856" s="2" t="s">
        <v>710</v>
      </c>
      <c r="E1856" s="3">
        <v>2.5</v>
      </c>
      <c r="F1856" s="3">
        <v>1</v>
      </c>
      <c r="G1856" s="4">
        <v>44469</v>
      </c>
      <c r="M1856" s="1"/>
      <c r="N1856" s="1"/>
      <c r="O1856" s="1"/>
      <c r="P1856" s="1"/>
      <c r="Q1856" s="1"/>
      <c r="R1856" s="1"/>
    </row>
    <row r="1857" spans="2:18">
      <c r="B1857" s="1" t="s">
        <v>804</v>
      </c>
      <c r="C1857" s="2" t="s">
        <v>4</v>
      </c>
      <c r="D1857" s="2" t="s">
        <v>708</v>
      </c>
      <c r="E1857" s="3">
        <v>5.6</v>
      </c>
      <c r="F1857" s="3">
        <v>1</v>
      </c>
      <c r="G1857" s="4">
        <v>44292</v>
      </c>
      <c r="M1857" s="1"/>
      <c r="N1857" s="1"/>
      <c r="O1857" s="1"/>
      <c r="P1857" s="1"/>
      <c r="Q1857" s="1"/>
      <c r="R1857" s="1"/>
    </row>
    <row r="1858" spans="2:18">
      <c r="B1858" s="1" t="s">
        <v>803</v>
      </c>
      <c r="C1858" s="2" t="s">
        <v>4</v>
      </c>
      <c r="D1858" s="2" t="s">
        <v>708</v>
      </c>
      <c r="E1858" s="3">
        <v>5.6</v>
      </c>
      <c r="F1858" s="3">
        <v>1</v>
      </c>
      <c r="G1858" s="4">
        <v>44292</v>
      </c>
      <c r="M1858" s="1"/>
      <c r="N1858" s="1"/>
      <c r="O1858" s="1"/>
      <c r="P1858" s="1"/>
      <c r="Q1858" s="1"/>
      <c r="R1858" s="1"/>
    </row>
    <row r="1859" spans="2:18">
      <c r="B1859" s="1" t="s">
        <v>802</v>
      </c>
      <c r="C1859" s="2" t="s">
        <v>4</v>
      </c>
      <c r="D1859" s="2" t="s">
        <v>708</v>
      </c>
      <c r="E1859" s="3">
        <v>5.6</v>
      </c>
      <c r="F1859" s="3">
        <v>1</v>
      </c>
      <c r="G1859" s="4">
        <v>44292</v>
      </c>
      <c r="M1859" s="1"/>
      <c r="N1859" s="1"/>
      <c r="O1859" s="1"/>
      <c r="P1859" s="1"/>
      <c r="Q1859" s="1"/>
      <c r="R1859" s="1"/>
    </row>
    <row r="1860" spans="2:18">
      <c r="B1860" s="1" t="s">
        <v>801</v>
      </c>
      <c r="C1860" s="2" t="s">
        <v>4</v>
      </c>
      <c r="D1860" s="2" t="s">
        <v>708</v>
      </c>
      <c r="E1860" s="3">
        <v>5.6</v>
      </c>
      <c r="F1860" s="3">
        <v>1</v>
      </c>
      <c r="G1860" s="4">
        <v>44292</v>
      </c>
      <c r="M1860" s="1"/>
      <c r="N1860" s="1"/>
      <c r="O1860" s="1"/>
      <c r="P1860" s="1"/>
      <c r="Q1860" s="1"/>
      <c r="R1860" s="1"/>
    </row>
    <row r="1861" spans="2:18">
      <c r="B1861" s="1" t="s">
        <v>800</v>
      </c>
      <c r="C1861" s="2" t="s">
        <v>5</v>
      </c>
      <c r="D1861" s="2" t="s">
        <v>795</v>
      </c>
      <c r="E1861" s="3">
        <v>10.9</v>
      </c>
      <c r="F1861" s="3">
        <f>8/8</f>
        <v>1</v>
      </c>
      <c r="G1861" s="4">
        <v>45070</v>
      </c>
      <c r="M1861" s="1"/>
      <c r="N1861" s="1"/>
      <c r="O1861" s="1"/>
      <c r="P1861" s="1"/>
      <c r="Q1861" s="1"/>
      <c r="R1861" s="1"/>
    </row>
    <row r="1862" spans="2:18">
      <c r="B1862" s="1" t="s">
        <v>799</v>
      </c>
      <c r="C1862" s="2" t="s">
        <v>5</v>
      </c>
      <c r="D1862" s="2" t="s">
        <v>795</v>
      </c>
      <c r="E1862" s="3">
        <v>10.9</v>
      </c>
      <c r="F1862" s="3">
        <f>8/8</f>
        <v>1</v>
      </c>
      <c r="G1862" s="4">
        <v>45070</v>
      </c>
      <c r="M1862" s="1"/>
      <c r="N1862" s="1"/>
      <c r="O1862" s="1"/>
      <c r="P1862" s="1"/>
      <c r="Q1862" s="1"/>
      <c r="R1862" s="1"/>
    </row>
    <row r="1863" spans="2:18">
      <c r="B1863" s="1" t="s">
        <v>798</v>
      </c>
      <c r="C1863" s="2" t="s">
        <v>5</v>
      </c>
      <c r="D1863" s="2" t="s">
        <v>795</v>
      </c>
      <c r="E1863" s="3">
        <v>10.9</v>
      </c>
      <c r="F1863" s="3">
        <f>8/8</f>
        <v>1</v>
      </c>
      <c r="G1863" s="4">
        <v>45070</v>
      </c>
      <c r="M1863" s="1"/>
      <c r="N1863" s="1"/>
      <c r="O1863" s="1"/>
      <c r="P1863" s="1"/>
      <c r="Q1863" s="1"/>
      <c r="R1863" s="1"/>
    </row>
    <row r="1864" spans="2:18">
      <c r="B1864" s="1" t="s">
        <v>797</v>
      </c>
      <c r="C1864" s="2" t="s">
        <v>5</v>
      </c>
      <c r="D1864" s="2" t="s">
        <v>795</v>
      </c>
      <c r="E1864" s="3">
        <v>10.9</v>
      </c>
      <c r="F1864" s="3">
        <f>8/8</f>
        <v>1</v>
      </c>
      <c r="G1864" s="4">
        <v>45070</v>
      </c>
      <c r="M1864" s="1"/>
      <c r="N1864" s="1"/>
      <c r="O1864" s="1"/>
      <c r="P1864" s="1"/>
      <c r="Q1864" s="1"/>
      <c r="R1864" s="1"/>
    </row>
    <row r="1865" spans="2:18">
      <c r="B1865" s="1" t="s">
        <v>796</v>
      </c>
      <c r="C1865" s="2" t="s">
        <v>5</v>
      </c>
      <c r="D1865" s="2" t="s">
        <v>795</v>
      </c>
      <c r="E1865" s="3">
        <v>10.9</v>
      </c>
      <c r="F1865" s="3">
        <f>8/8</f>
        <v>1</v>
      </c>
      <c r="G1865" s="4">
        <v>45070</v>
      </c>
      <c r="M1865" s="1"/>
      <c r="N1865" s="1"/>
      <c r="O1865" s="1"/>
      <c r="P1865" s="1"/>
      <c r="Q1865" s="1"/>
      <c r="R1865" s="1"/>
    </row>
    <row r="1866" spans="2:18">
      <c r="B1866" s="1" t="s">
        <v>794</v>
      </c>
      <c r="C1866" s="2" t="s">
        <v>4</v>
      </c>
      <c r="D1866" s="2" t="s">
        <v>712</v>
      </c>
      <c r="E1866" s="3">
        <v>7.2</v>
      </c>
      <c r="F1866" s="3">
        <v>1</v>
      </c>
      <c r="G1866" s="4">
        <v>44508</v>
      </c>
      <c r="M1866" s="1"/>
      <c r="N1866" s="1"/>
      <c r="O1866" s="1"/>
      <c r="P1866" s="1"/>
      <c r="Q1866" s="1"/>
      <c r="R1866" s="1"/>
    </row>
    <row r="1867" spans="2:18">
      <c r="B1867" s="1" t="s">
        <v>793</v>
      </c>
      <c r="C1867" s="2" t="s">
        <v>4</v>
      </c>
      <c r="D1867" s="2" t="s">
        <v>712</v>
      </c>
      <c r="E1867" s="3">
        <v>7.2</v>
      </c>
      <c r="F1867" s="3">
        <v>1</v>
      </c>
      <c r="G1867" s="4">
        <v>44508</v>
      </c>
      <c r="M1867" s="1"/>
      <c r="N1867" s="1"/>
      <c r="O1867" s="1"/>
      <c r="P1867" s="1"/>
      <c r="Q1867" s="1"/>
      <c r="R1867" s="1"/>
    </row>
    <row r="1868" spans="2:18">
      <c r="B1868" s="1" t="s">
        <v>792</v>
      </c>
      <c r="C1868" s="11" t="s">
        <v>681</v>
      </c>
      <c r="D1868" s="11" t="s">
        <v>791</v>
      </c>
      <c r="E1868" s="10">
        <v>3</v>
      </c>
      <c r="F1868" s="10">
        <v>1</v>
      </c>
      <c r="G1868" s="9">
        <v>44183</v>
      </c>
      <c r="M1868" s="1"/>
      <c r="N1868" s="1"/>
      <c r="O1868" s="1"/>
      <c r="P1868" s="1"/>
      <c r="Q1868" s="1"/>
      <c r="R1868" s="1"/>
    </row>
    <row r="1869" spans="2:18">
      <c r="B1869" s="1" t="s">
        <v>790</v>
      </c>
      <c r="C1869" s="2" t="s">
        <v>681</v>
      </c>
      <c r="D1869" s="2" t="s">
        <v>788</v>
      </c>
      <c r="E1869" s="3">
        <v>4.5</v>
      </c>
      <c r="F1869" s="3">
        <v>1</v>
      </c>
      <c r="G1869" s="4">
        <v>44691</v>
      </c>
      <c r="M1869" s="1"/>
      <c r="N1869" s="1"/>
      <c r="O1869" s="1"/>
      <c r="P1869" s="1"/>
      <c r="Q1869" s="1"/>
      <c r="R1869" s="1"/>
    </row>
    <row r="1870" spans="2:18">
      <c r="B1870" s="1" t="s">
        <v>789</v>
      </c>
      <c r="C1870" s="2" t="s">
        <v>681</v>
      </c>
      <c r="D1870" s="2" t="s">
        <v>788</v>
      </c>
      <c r="E1870" s="3">
        <v>4.5</v>
      </c>
      <c r="F1870" s="3">
        <v>1</v>
      </c>
      <c r="G1870" s="4">
        <v>44691</v>
      </c>
      <c r="M1870" s="1"/>
      <c r="N1870" s="1"/>
      <c r="O1870" s="1"/>
      <c r="P1870" s="1"/>
      <c r="Q1870" s="1"/>
      <c r="R1870" s="1"/>
    </row>
    <row r="1871" spans="2:18">
      <c r="B1871" s="1" t="s">
        <v>787</v>
      </c>
      <c r="C1871" s="2" t="s">
        <v>4</v>
      </c>
      <c r="D1871" s="2" t="s">
        <v>660</v>
      </c>
      <c r="E1871" s="3">
        <v>8</v>
      </c>
      <c r="F1871" s="3">
        <v>1</v>
      </c>
      <c r="G1871" s="4">
        <v>44677</v>
      </c>
      <c r="M1871" s="1"/>
      <c r="N1871" s="1"/>
      <c r="O1871" s="1"/>
      <c r="P1871" s="1"/>
      <c r="Q1871" s="1"/>
      <c r="R1871" s="1"/>
    </row>
    <row r="1872" spans="2:18">
      <c r="B1872" s="1" t="s">
        <v>786</v>
      </c>
      <c r="C1872" s="2" t="s">
        <v>4</v>
      </c>
      <c r="D1872" s="2" t="s">
        <v>785</v>
      </c>
      <c r="E1872" s="3">
        <v>5.5</v>
      </c>
      <c r="F1872" s="3">
        <v>1</v>
      </c>
      <c r="G1872" s="4">
        <v>44488</v>
      </c>
      <c r="M1872" s="1"/>
      <c r="N1872" s="1"/>
      <c r="O1872" s="1"/>
      <c r="P1872" s="1"/>
      <c r="Q1872" s="1"/>
      <c r="R1872" s="1"/>
    </row>
    <row r="1873" spans="2:18">
      <c r="B1873" s="1" t="s">
        <v>784</v>
      </c>
      <c r="C1873" s="2" t="s">
        <v>4</v>
      </c>
      <c r="D1873" s="2" t="s">
        <v>783</v>
      </c>
      <c r="E1873" s="3">
        <v>10</v>
      </c>
      <c r="F1873" s="3">
        <v>1</v>
      </c>
      <c r="G1873" s="4">
        <v>44858</v>
      </c>
      <c r="M1873" s="1"/>
      <c r="N1873" s="1"/>
      <c r="O1873" s="1"/>
      <c r="P1873" s="1"/>
      <c r="Q1873" s="1"/>
      <c r="R1873" s="1"/>
    </row>
    <row r="1874" spans="2:18">
      <c r="B1874" s="1" t="s">
        <v>782</v>
      </c>
      <c r="C1874" s="2" t="s">
        <v>4</v>
      </c>
      <c r="D1874" s="2" t="s">
        <v>734</v>
      </c>
      <c r="E1874" s="3">
        <v>3</v>
      </c>
      <c r="F1874" s="3">
        <v>0.75</v>
      </c>
      <c r="G1874" s="4">
        <v>44011</v>
      </c>
      <c r="M1874" s="1"/>
      <c r="N1874" s="1"/>
      <c r="O1874" s="1"/>
      <c r="P1874" s="1"/>
      <c r="Q1874" s="1"/>
      <c r="R1874" s="1"/>
    </row>
    <row r="1875" spans="2:18">
      <c r="B1875" s="1" t="s">
        <v>781</v>
      </c>
      <c r="C1875" s="2" t="s">
        <v>4</v>
      </c>
      <c r="D1875" s="2" t="s">
        <v>734</v>
      </c>
      <c r="E1875" s="3">
        <v>3</v>
      </c>
      <c r="F1875" s="3">
        <v>0.75</v>
      </c>
      <c r="G1875" s="4">
        <v>44011</v>
      </c>
      <c r="M1875" s="1"/>
      <c r="N1875" s="1"/>
      <c r="O1875" s="1"/>
      <c r="P1875" s="1"/>
      <c r="Q1875" s="1"/>
      <c r="R1875" s="1"/>
    </row>
    <row r="1876" spans="2:18">
      <c r="B1876" s="1" t="s">
        <v>780</v>
      </c>
      <c r="C1876" s="2" t="s">
        <v>4</v>
      </c>
      <c r="D1876" s="2" t="s">
        <v>777</v>
      </c>
      <c r="E1876" s="3">
        <v>4</v>
      </c>
      <c r="F1876" s="3">
        <f>2/3</f>
        <v>0.66666666666666663</v>
      </c>
      <c r="G1876" s="4">
        <v>45026</v>
      </c>
      <c r="M1876" s="1"/>
      <c r="N1876" s="1"/>
      <c r="O1876" s="1"/>
      <c r="P1876" s="1"/>
      <c r="Q1876" s="1"/>
      <c r="R1876" s="1"/>
    </row>
    <row r="1877" spans="2:18">
      <c r="B1877" s="1" t="s">
        <v>779</v>
      </c>
      <c r="C1877" s="2" t="s">
        <v>4</v>
      </c>
      <c r="D1877" s="2" t="s">
        <v>777</v>
      </c>
      <c r="E1877" s="3">
        <v>4</v>
      </c>
      <c r="F1877" s="3">
        <f>2/3</f>
        <v>0.66666666666666663</v>
      </c>
      <c r="G1877" s="4">
        <v>45026</v>
      </c>
      <c r="M1877" s="1"/>
      <c r="N1877" s="1"/>
      <c r="O1877" s="1"/>
      <c r="P1877" s="1"/>
      <c r="Q1877" s="1"/>
      <c r="R1877" s="1"/>
    </row>
    <row r="1878" spans="2:18">
      <c r="B1878" s="1" t="s">
        <v>778</v>
      </c>
      <c r="C1878" s="2" t="s">
        <v>4</v>
      </c>
      <c r="D1878" s="2" t="s">
        <v>777</v>
      </c>
      <c r="E1878" s="3">
        <v>4</v>
      </c>
      <c r="F1878" s="3">
        <f>2/3</f>
        <v>0.66666666666666663</v>
      </c>
      <c r="G1878" s="4">
        <v>45026</v>
      </c>
      <c r="M1878" s="1"/>
      <c r="N1878" s="1"/>
      <c r="O1878" s="1"/>
      <c r="P1878" s="1"/>
      <c r="Q1878" s="1"/>
      <c r="R1878" s="1"/>
    </row>
    <row r="1879" spans="2:18">
      <c r="B1879" s="1" t="s">
        <v>774</v>
      </c>
      <c r="C1879" s="2" t="s">
        <v>4</v>
      </c>
      <c r="D1879" s="2" t="s">
        <v>674</v>
      </c>
      <c r="E1879" s="3">
        <v>4.5</v>
      </c>
      <c r="F1879" s="3">
        <v>0.5</v>
      </c>
      <c r="G1879" s="4">
        <v>44415</v>
      </c>
      <c r="M1879" s="1"/>
      <c r="N1879" s="1"/>
      <c r="O1879" s="1"/>
      <c r="P1879" s="1"/>
      <c r="Q1879" s="1"/>
      <c r="R1879" s="1"/>
    </row>
    <row r="1880" spans="2:18">
      <c r="B1880" s="1" t="s">
        <v>773</v>
      </c>
      <c r="C1880" s="2" t="s">
        <v>4</v>
      </c>
      <c r="D1880" s="2" t="s">
        <v>732</v>
      </c>
      <c r="E1880" s="3">
        <v>2.1</v>
      </c>
      <c r="F1880" s="3">
        <v>0.5</v>
      </c>
      <c r="G1880" s="4">
        <v>44455</v>
      </c>
      <c r="M1880" s="1"/>
      <c r="N1880" s="1"/>
      <c r="O1880" s="1"/>
      <c r="P1880" s="1"/>
      <c r="Q1880" s="1"/>
      <c r="R1880" s="1"/>
    </row>
    <row r="1881" spans="2:18">
      <c r="B1881" s="1" t="s">
        <v>772</v>
      </c>
      <c r="C1881" s="2" t="s">
        <v>4</v>
      </c>
      <c r="D1881" s="2" t="s">
        <v>742</v>
      </c>
      <c r="E1881" s="3">
        <v>4</v>
      </c>
      <c r="F1881" s="3">
        <v>0.5</v>
      </c>
      <c r="G1881" s="4">
        <v>44340</v>
      </c>
      <c r="M1881" s="1"/>
      <c r="N1881" s="1"/>
      <c r="O1881" s="1"/>
      <c r="P1881" s="1"/>
      <c r="Q1881" s="1"/>
      <c r="R1881" s="1"/>
    </row>
    <row r="1882" spans="2:18">
      <c r="B1882" s="1" t="s">
        <v>771</v>
      </c>
      <c r="C1882" s="2" t="s">
        <v>4</v>
      </c>
      <c r="D1882" s="2" t="s">
        <v>742</v>
      </c>
      <c r="E1882" s="3">
        <v>1.5</v>
      </c>
      <c r="F1882" s="3">
        <v>0.5</v>
      </c>
      <c r="G1882" s="4">
        <v>43979</v>
      </c>
      <c r="M1882" s="1"/>
      <c r="N1882" s="1"/>
      <c r="O1882" s="1"/>
      <c r="P1882" s="1"/>
      <c r="Q1882" s="1"/>
      <c r="R1882" s="1"/>
    </row>
    <row r="1883" spans="2:18">
      <c r="B1883" s="1" t="s">
        <v>770</v>
      </c>
      <c r="C1883" s="2" t="s">
        <v>4</v>
      </c>
      <c r="D1883" s="2" t="s">
        <v>687</v>
      </c>
      <c r="E1883" s="3">
        <v>4.5</v>
      </c>
      <c r="F1883" s="3">
        <v>0.5</v>
      </c>
      <c r="G1883" s="4">
        <v>44362</v>
      </c>
      <c r="M1883" s="1"/>
      <c r="N1883" s="1"/>
      <c r="O1883" s="1"/>
      <c r="P1883" s="1"/>
      <c r="Q1883" s="1"/>
      <c r="R1883" s="1"/>
    </row>
    <row r="1884" spans="2:18">
      <c r="B1884" s="1" t="s">
        <v>769</v>
      </c>
      <c r="C1884" s="2" t="s">
        <v>4</v>
      </c>
      <c r="D1884" s="2" t="s">
        <v>683</v>
      </c>
      <c r="E1884" s="3">
        <v>3</v>
      </c>
      <c r="F1884" s="3">
        <v>0.5</v>
      </c>
      <c r="G1884" s="4">
        <v>43993</v>
      </c>
      <c r="M1884" s="1"/>
      <c r="N1884" s="1"/>
      <c r="O1884" s="1"/>
      <c r="P1884" s="1"/>
      <c r="Q1884" s="1"/>
      <c r="R1884" s="1"/>
    </row>
    <row r="1885" spans="2:18">
      <c r="B1885" s="1" t="s">
        <v>768</v>
      </c>
      <c r="C1885" s="2" t="s">
        <v>4</v>
      </c>
      <c r="D1885" s="2" t="s">
        <v>683</v>
      </c>
      <c r="E1885" s="3">
        <v>3</v>
      </c>
      <c r="F1885" s="3">
        <v>0.5</v>
      </c>
      <c r="G1885" s="4">
        <v>43993</v>
      </c>
      <c r="M1885" s="1"/>
      <c r="N1885" s="1"/>
      <c r="O1885" s="1"/>
      <c r="P1885" s="1"/>
      <c r="Q1885" s="1"/>
      <c r="R1885" s="1"/>
    </row>
    <row r="1886" spans="2:18">
      <c r="B1886" s="1" t="s">
        <v>766</v>
      </c>
      <c r="C1886" s="2" t="s">
        <v>4</v>
      </c>
      <c r="D1886" s="2" t="s">
        <v>651</v>
      </c>
      <c r="E1886" s="3">
        <v>2.2000000000000002</v>
      </c>
      <c r="F1886" s="3">
        <v>0.5</v>
      </c>
      <c r="G1886" s="4">
        <v>44959</v>
      </c>
      <c r="M1886" s="1"/>
      <c r="N1886" s="1"/>
      <c r="O1886" s="1"/>
      <c r="P1886" s="1"/>
      <c r="Q1886" s="1"/>
      <c r="R1886" s="1"/>
    </row>
    <row r="1887" spans="2:18">
      <c r="B1887" s="1" t="s">
        <v>765</v>
      </c>
      <c r="C1887" s="2" t="s">
        <v>4</v>
      </c>
      <c r="D1887" s="2" t="s">
        <v>651</v>
      </c>
      <c r="E1887" s="3">
        <v>2.2000000000000002</v>
      </c>
      <c r="F1887" s="3">
        <v>0.5</v>
      </c>
      <c r="G1887" s="4">
        <v>44959</v>
      </c>
      <c r="M1887" s="1"/>
      <c r="N1887" s="1"/>
      <c r="O1887" s="1"/>
      <c r="P1887" s="1"/>
      <c r="Q1887" s="1"/>
      <c r="R1887" s="1"/>
    </row>
    <row r="1888" spans="2:18">
      <c r="B1888" s="1" t="s">
        <v>764</v>
      </c>
      <c r="C1888" s="2" t="s">
        <v>4</v>
      </c>
      <c r="D1888" s="2" t="s">
        <v>731</v>
      </c>
      <c r="E1888" s="3">
        <v>2.9</v>
      </c>
      <c r="F1888" s="3">
        <v>0.5</v>
      </c>
      <c r="G1888" s="4">
        <v>44272</v>
      </c>
      <c r="M1888" s="1"/>
      <c r="N1888" s="1"/>
      <c r="O1888" s="1"/>
      <c r="P1888" s="1"/>
      <c r="Q1888" s="1"/>
      <c r="R1888" s="1"/>
    </row>
    <row r="1889" spans="2:18">
      <c r="B1889" s="1" t="s">
        <v>763</v>
      </c>
      <c r="C1889" s="2" t="s">
        <v>4</v>
      </c>
      <c r="D1889" s="2" t="s">
        <v>649</v>
      </c>
      <c r="E1889" s="3">
        <v>1.5</v>
      </c>
      <c r="F1889" s="3">
        <v>0.5</v>
      </c>
      <c r="G1889" s="4">
        <v>44098</v>
      </c>
      <c r="M1889" s="1"/>
      <c r="N1889" s="1"/>
      <c r="O1889" s="1"/>
      <c r="P1889" s="1"/>
      <c r="Q1889" s="1"/>
      <c r="R1889" s="1"/>
    </row>
    <row r="1890" spans="2:18">
      <c r="B1890" s="1" t="s">
        <v>762</v>
      </c>
      <c r="C1890" s="2" t="s">
        <v>4</v>
      </c>
      <c r="D1890" s="2" t="s">
        <v>411</v>
      </c>
      <c r="E1890" s="3">
        <v>3.1</v>
      </c>
      <c r="F1890" s="3">
        <v>0.5</v>
      </c>
      <c r="G1890" s="4">
        <v>43580</v>
      </c>
      <c r="M1890" s="1"/>
      <c r="N1890" s="1"/>
      <c r="O1890" s="1"/>
      <c r="P1890" s="1"/>
      <c r="Q1890" s="1"/>
      <c r="R1890" s="1"/>
    </row>
    <row r="1891" spans="2:18">
      <c r="B1891" s="1" t="s">
        <v>760</v>
      </c>
      <c r="C1891" s="2" t="s">
        <v>4</v>
      </c>
      <c r="D1891" s="2" t="s">
        <v>757</v>
      </c>
      <c r="E1891" s="3">
        <v>2.6</v>
      </c>
      <c r="F1891" s="3">
        <f>1.6/4</f>
        <v>0.4</v>
      </c>
      <c r="G1891" s="4">
        <v>44147</v>
      </c>
      <c r="M1891" s="1"/>
      <c r="N1891" s="1"/>
      <c r="O1891" s="1"/>
      <c r="P1891" s="1"/>
      <c r="Q1891" s="1"/>
      <c r="R1891" s="1"/>
    </row>
    <row r="1892" spans="2:18">
      <c r="B1892" s="1" t="s">
        <v>759</v>
      </c>
      <c r="C1892" s="2" t="s">
        <v>4</v>
      </c>
      <c r="D1892" s="2" t="s">
        <v>757</v>
      </c>
      <c r="E1892" s="3">
        <v>2.6</v>
      </c>
      <c r="F1892" s="3">
        <f>1.6/4</f>
        <v>0.4</v>
      </c>
      <c r="G1892" s="4">
        <v>44147</v>
      </c>
      <c r="M1892" s="1"/>
      <c r="N1892" s="1"/>
      <c r="O1892" s="1"/>
      <c r="P1892" s="1"/>
      <c r="Q1892" s="1"/>
      <c r="R1892" s="1"/>
    </row>
    <row r="1893" spans="2:18">
      <c r="B1893" s="1" t="s">
        <v>758</v>
      </c>
      <c r="C1893" s="2" t="s">
        <v>4</v>
      </c>
      <c r="D1893" s="2" t="s">
        <v>757</v>
      </c>
      <c r="E1893" s="3">
        <v>2.6</v>
      </c>
      <c r="F1893" s="3">
        <f>1.6/4</f>
        <v>0.4</v>
      </c>
      <c r="G1893" s="4">
        <v>44147</v>
      </c>
      <c r="M1893" s="1"/>
      <c r="N1893" s="1"/>
      <c r="O1893" s="1"/>
      <c r="P1893" s="1"/>
      <c r="Q1893" s="1"/>
      <c r="R1893" s="1"/>
    </row>
    <row r="1894" spans="2:18">
      <c r="B1894" s="1" t="s">
        <v>756</v>
      </c>
      <c r="C1894" s="2" t="s">
        <v>4</v>
      </c>
      <c r="D1894" s="2" t="s">
        <v>710</v>
      </c>
      <c r="E1894" s="3">
        <v>2.5</v>
      </c>
      <c r="F1894" s="3">
        <f>2/6</f>
        <v>0.33333333333333331</v>
      </c>
      <c r="G1894" s="4">
        <v>44469</v>
      </c>
      <c r="M1894" s="1"/>
      <c r="N1894" s="1"/>
      <c r="O1894" s="1"/>
      <c r="P1894" s="1"/>
      <c r="Q1894" s="1"/>
      <c r="R1894" s="1"/>
    </row>
    <row r="1895" spans="2:18">
      <c r="B1895" s="1" t="s">
        <v>755</v>
      </c>
      <c r="C1895" s="2" t="s">
        <v>4</v>
      </c>
      <c r="D1895" s="2" t="s">
        <v>710</v>
      </c>
      <c r="E1895" s="3">
        <v>2.5</v>
      </c>
      <c r="F1895" s="3">
        <f>2/6</f>
        <v>0.33333333333333331</v>
      </c>
      <c r="G1895" s="4">
        <v>44469</v>
      </c>
      <c r="M1895" s="1"/>
      <c r="N1895" s="1"/>
      <c r="O1895" s="1"/>
      <c r="P1895" s="1"/>
      <c r="Q1895" s="1"/>
      <c r="R1895" s="1"/>
    </row>
    <row r="1896" spans="2:18">
      <c r="B1896" s="1" t="s">
        <v>754</v>
      </c>
      <c r="C1896" s="2" t="s">
        <v>4</v>
      </c>
      <c r="D1896" s="2" t="s">
        <v>710</v>
      </c>
      <c r="E1896" s="3">
        <v>2.5</v>
      </c>
      <c r="F1896" s="3">
        <f>2/6</f>
        <v>0.33333333333333331</v>
      </c>
      <c r="G1896" s="4">
        <v>44469</v>
      </c>
      <c r="M1896" s="1"/>
      <c r="N1896" s="1"/>
      <c r="O1896" s="1"/>
      <c r="P1896" s="1"/>
      <c r="Q1896" s="1"/>
      <c r="R1896" s="1"/>
    </row>
    <row r="1897" spans="2:18">
      <c r="B1897" s="1" t="s">
        <v>753</v>
      </c>
      <c r="C1897" s="2" t="s">
        <v>4</v>
      </c>
      <c r="D1897" s="2" t="s">
        <v>710</v>
      </c>
      <c r="E1897" s="3">
        <v>2.5</v>
      </c>
      <c r="F1897" s="3">
        <f>2/6</f>
        <v>0.33333333333333331</v>
      </c>
      <c r="G1897" s="4">
        <v>44469</v>
      </c>
      <c r="I1897" s="5"/>
      <c r="M1897" s="1"/>
      <c r="N1897" s="1"/>
      <c r="O1897" s="1"/>
      <c r="P1897" s="1"/>
      <c r="Q1897" s="1"/>
      <c r="R1897" s="1"/>
    </row>
    <row r="1898" spans="2:18">
      <c r="G1898" s="4"/>
      <c r="M1898" s="1"/>
      <c r="N1898" s="1"/>
      <c r="O1898" s="1"/>
      <c r="P1898" s="1"/>
      <c r="Q1898" s="1"/>
      <c r="R1898" s="1"/>
    </row>
    <row r="1899" spans="2:18">
      <c r="B1899" s="1" t="s">
        <v>744</v>
      </c>
      <c r="C1899" s="2" t="s">
        <v>5</v>
      </c>
      <c r="D1899" s="2" t="s">
        <v>742</v>
      </c>
      <c r="E1899" s="3">
        <v>25</v>
      </c>
      <c r="F1899" s="3">
        <f>18/7</f>
        <v>2.5714285714285716</v>
      </c>
      <c r="G1899" s="4">
        <v>44757</v>
      </c>
    </row>
    <row r="1900" spans="2:18">
      <c r="C1900" s="2" t="s">
        <v>4</v>
      </c>
      <c r="D1900" s="2" t="s">
        <v>742</v>
      </c>
      <c r="E1900" s="3">
        <v>4</v>
      </c>
      <c r="F1900" s="3">
        <v>0.5</v>
      </c>
      <c r="G1900" s="4">
        <v>44340</v>
      </c>
    </row>
    <row r="1901" spans="2:18">
      <c r="G1901" s="4"/>
    </row>
    <row r="1902" spans="2:18">
      <c r="B1902" s="1" t="s">
        <v>741</v>
      </c>
      <c r="C1902" s="2" t="s">
        <v>5</v>
      </c>
      <c r="D1902" s="2" t="s">
        <v>737</v>
      </c>
      <c r="E1902" s="3">
        <v>20</v>
      </c>
      <c r="F1902" s="3">
        <f>13/6</f>
        <v>2.1666666666666665</v>
      </c>
      <c r="G1902" s="4">
        <v>44676</v>
      </c>
    </row>
    <row r="1903" spans="2:18">
      <c r="C1903" s="2" t="s">
        <v>4</v>
      </c>
      <c r="D1903" s="2" t="s">
        <v>737</v>
      </c>
      <c r="E1903" s="3">
        <v>5</v>
      </c>
      <c r="F1903" s="3">
        <v>1.5</v>
      </c>
      <c r="G1903" s="4">
        <v>44060</v>
      </c>
    </row>
    <row r="1904" spans="2:18">
      <c r="G1904" s="4"/>
    </row>
    <row r="1905" spans="2:10">
      <c r="B1905" s="1" t="s">
        <v>740</v>
      </c>
      <c r="C1905" s="2" t="s">
        <v>5</v>
      </c>
      <c r="D1905" s="2" t="s">
        <v>737</v>
      </c>
      <c r="E1905" s="3">
        <v>20</v>
      </c>
      <c r="F1905" s="3">
        <f>13/6</f>
        <v>2.1666666666666665</v>
      </c>
      <c r="G1905" s="4">
        <v>44676</v>
      </c>
    </row>
    <row r="1906" spans="2:10">
      <c r="C1906" s="2" t="s">
        <v>4</v>
      </c>
      <c r="D1906" s="2" t="s">
        <v>737</v>
      </c>
      <c r="E1906" s="3">
        <v>5</v>
      </c>
      <c r="F1906" s="3">
        <v>1.5</v>
      </c>
      <c r="G1906" s="4">
        <v>44060</v>
      </c>
    </row>
    <row r="1907" spans="2:10">
      <c r="G1907" s="4"/>
    </row>
    <row r="1908" spans="2:10">
      <c r="B1908" s="1" t="s">
        <v>739</v>
      </c>
      <c r="C1908" s="2" t="s">
        <v>5</v>
      </c>
      <c r="D1908" s="2" t="s">
        <v>737</v>
      </c>
      <c r="E1908" s="3">
        <v>20</v>
      </c>
      <c r="F1908" s="3">
        <f>13/6</f>
        <v>2.1666666666666665</v>
      </c>
      <c r="G1908" s="4">
        <v>44676</v>
      </c>
    </row>
    <row r="1909" spans="2:10">
      <c r="C1909" s="2" t="s">
        <v>4</v>
      </c>
      <c r="D1909" s="2" t="s">
        <v>737</v>
      </c>
      <c r="E1909" s="3">
        <v>5</v>
      </c>
      <c r="F1909" s="3">
        <v>1.5</v>
      </c>
      <c r="G1909" s="4">
        <v>44060</v>
      </c>
    </row>
    <row r="1911" spans="2:10">
      <c r="B1911" s="1" t="s">
        <v>738</v>
      </c>
      <c r="C1911" s="2" t="s">
        <v>5</v>
      </c>
      <c r="D1911" s="2" t="s">
        <v>737</v>
      </c>
      <c r="E1911" s="3">
        <v>20</v>
      </c>
      <c r="F1911" s="3">
        <f>13/6</f>
        <v>2.1666666666666665</v>
      </c>
      <c r="G1911" s="4">
        <v>44676</v>
      </c>
    </row>
    <row r="1912" spans="2:10">
      <c r="C1912" s="2" t="s">
        <v>4</v>
      </c>
      <c r="D1912" s="2" t="s">
        <v>737</v>
      </c>
      <c r="E1912" s="3">
        <v>5</v>
      </c>
      <c r="F1912" s="3">
        <v>0.5</v>
      </c>
      <c r="G1912" s="4">
        <v>44060</v>
      </c>
    </row>
    <row r="1913" spans="2:10">
      <c r="G1913" s="4"/>
    </row>
    <row r="1914" spans="2:10">
      <c r="B1914" s="1" t="s">
        <v>736</v>
      </c>
      <c r="C1914" s="2" t="s">
        <v>5</v>
      </c>
      <c r="D1914" s="2" t="s">
        <v>734</v>
      </c>
      <c r="E1914" s="3">
        <v>20</v>
      </c>
      <c r="F1914" s="3">
        <f>13/6</f>
        <v>2.1666666666666665</v>
      </c>
      <c r="G1914" s="4">
        <v>44903</v>
      </c>
    </row>
    <row r="1915" spans="2:10">
      <c r="C1915" s="2" t="s">
        <v>5</v>
      </c>
      <c r="D1915" s="2" t="s">
        <v>734</v>
      </c>
      <c r="E1915" s="3">
        <v>11</v>
      </c>
      <c r="F1915" s="3">
        <v>3</v>
      </c>
      <c r="G1915" s="4">
        <v>44313</v>
      </c>
    </row>
    <row r="1916" spans="2:10">
      <c r="C1916" s="2" t="s">
        <v>5</v>
      </c>
      <c r="D1916" s="2" t="s">
        <v>670</v>
      </c>
      <c r="E1916" s="3">
        <v>10</v>
      </c>
      <c r="F1916" s="3">
        <v>10</v>
      </c>
      <c r="G1916" s="4">
        <v>44854</v>
      </c>
    </row>
    <row r="1917" spans="2:10">
      <c r="G1917" s="4"/>
    </row>
    <row r="1918" spans="2:10">
      <c r="B1918" s="1" t="s">
        <v>735</v>
      </c>
      <c r="C1918" s="2" t="s">
        <v>5</v>
      </c>
      <c r="D1918" s="2" t="s">
        <v>734</v>
      </c>
      <c r="E1918" s="3">
        <v>20</v>
      </c>
      <c r="F1918" s="3">
        <f>13/6</f>
        <v>2.1666666666666665</v>
      </c>
      <c r="G1918" s="4">
        <v>44903</v>
      </c>
    </row>
    <row r="1919" spans="2:10">
      <c r="C1919" s="2" t="s">
        <v>5</v>
      </c>
      <c r="D1919" s="2" t="s">
        <v>734</v>
      </c>
      <c r="E1919" s="3">
        <v>11</v>
      </c>
      <c r="F1919" s="3">
        <v>5</v>
      </c>
      <c r="G1919" s="4">
        <v>44313</v>
      </c>
    </row>
    <row r="1920" spans="2:10">
      <c r="C1920" s="2" t="s">
        <v>9</v>
      </c>
      <c r="D1920" s="2" t="s">
        <v>23</v>
      </c>
      <c r="E1920" s="3">
        <v>222</v>
      </c>
      <c r="F1920" s="3">
        <v>10</v>
      </c>
      <c r="G1920" s="4">
        <v>44194</v>
      </c>
      <c r="I1920" s="1">
        <v>2500</v>
      </c>
      <c r="J1920" s="1">
        <v>2500</v>
      </c>
    </row>
    <row r="1921" spans="2:10">
      <c r="C1921" s="2" t="s">
        <v>8</v>
      </c>
      <c r="D1921" s="2" t="s">
        <v>23</v>
      </c>
      <c r="E1921" s="3">
        <v>200</v>
      </c>
      <c r="F1921" s="3">
        <v>13</v>
      </c>
      <c r="G1921" s="4">
        <v>43452</v>
      </c>
      <c r="I1921" s="1">
        <v>1500</v>
      </c>
      <c r="J1921" s="1">
        <v>2500</v>
      </c>
    </row>
    <row r="1922" spans="2:10">
      <c r="C1922" s="2" t="s">
        <v>7</v>
      </c>
      <c r="D1922" s="2" t="s">
        <v>23</v>
      </c>
      <c r="E1922" s="3">
        <v>30</v>
      </c>
      <c r="F1922" s="3">
        <v>8</v>
      </c>
      <c r="G1922" s="4">
        <v>42936</v>
      </c>
    </row>
    <row r="1923" spans="2:10">
      <c r="G1923" s="4"/>
    </row>
    <row r="1924" spans="2:10">
      <c r="B1924" s="1" t="s">
        <v>733</v>
      </c>
      <c r="C1924" s="2" t="s">
        <v>5</v>
      </c>
      <c r="D1924" s="2" t="s">
        <v>732</v>
      </c>
      <c r="E1924" s="3">
        <v>20</v>
      </c>
      <c r="F1924" s="3">
        <v>7</v>
      </c>
      <c r="G1924" s="4">
        <v>44455</v>
      </c>
    </row>
    <row r="1925" spans="2:10">
      <c r="C1925" s="2" t="s">
        <v>4</v>
      </c>
      <c r="D1925" s="2" t="s">
        <v>732</v>
      </c>
      <c r="E1925" s="3">
        <v>2.1</v>
      </c>
      <c r="F1925" s="3">
        <v>1</v>
      </c>
      <c r="G1925" s="4">
        <v>44455</v>
      </c>
    </row>
    <row r="1926" spans="2:10">
      <c r="C1926" s="2" t="s">
        <v>5</v>
      </c>
      <c r="D1926" s="2" t="s">
        <v>731</v>
      </c>
      <c r="E1926" s="3">
        <v>11</v>
      </c>
      <c r="F1926" s="3">
        <f>7/3</f>
        <v>2.3333333333333335</v>
      </c>
      <c r="G1926" s="4">
        <v>44483</v>
      </c>
    </row>
    <row r="1927" spans="2:10">
      <c r="C1927" s="2" t="s">
        <v>4</v>
      </c>
      <c r="D1927" s="2" t="s">
        <v>731</v>
      </c>
      <c r="E1927" s="3">
        <v>2.9</v>
      </c>
      <c r="F1927" s="3">
        <v>1.9</v>
      </c>
      <c r="G1927" s="4">
        <v>44272</v>
      </c>
    </row>
    <row r="1928" spans="2:10">
      <c r="C1928" s="2" t="s">
        <v>4</v>
      </c>
      <c r="D1928" s="2" t="s">
        <v>490</v>
      </c>
      <c r="E1928" s="3">
        <v>2</v>
      </c>
      <c r="F1928" s="3">
        <v>0.5</v>
      </c>
      <c r="G1928" s="4">
        <v>43876</v>
      </c>
    </row>
    <row r="1929" spans="2:10">
      <c r="G1929" s="4"/>
    </row>
    <row r="1930" spans="2:10">
      <c r="B1930" s="1" t="s">
        <v>730</v>
      </c>
      <c r="C1930" s="2" t="s">
        <v>5</v>
      </c>
      <c r="D1930" s="2" t="s">
        <v>728</v>
      </c>
      <c r="E1930" s="3">
        <v>12.5</v>
      </c>
      <c r="F1930" s="3">
        <v>2</v>
      </c>
      <c r="G1930" s="4">
        <v>44784</v>
      </c>
    </row>
    <row r="1931" spans="2:10">
      <c r="C1931" s="2" t="s">
        <v>5</v>
      </c>
      <c r="D1931" s="2" t="s">
        <v>728</v>
      </c>
      <c r="E1931" s="3">
        <v>10</v>
      </c>
      <c r="F1931" s="3">
        <v>4</v>
      </c>
      <c r="G1931" s="4">
        <v>44110</v>
      </c>
    </row>
    <row r="1932" spans="2:10">
      <c r="C1932" s="2" t="s">
        <v>5</v>
      </c>
      <c r="D1932" s="2" t="s">
        <v>677</v>
      </c>
      <c r="E1932" s="3">
        <v>12.7</v>
      </c>
      <c r="F1932" s="3">
        <v>4.7</v>
      </c>
      <c r="G1932" s="4">
        <v>44952</v>
      </c>
    </row>
    <row r="1933" spans="2:10">
      <c r="G1933" s="4"/>
    </row>
    <row r="1934" spans="2:10">
      <c r="B1934" s="1" t="s">
        <v>729</v>
      </c>
      <c r="C1934" s="2" t="s">
        <v>5</v>
      </c>
      <c r="D1934" s="2" t="s">
        <v>728</v>
      </c>
      <c r="E1934" s="3">
        <v>10</v>
      </c>
      <c r="F1934" s="3">
        <v>2</v>
      </c>
      <c r="G1934" s="4">
        <v>44110</v>
      </c>
    </row>
    <row r="1935" spans="2:10">
      <c r="C1935" s="2" t="s">
        <v>4</v>
      </c>
      <c r="D1935" s="2" t="s">
        <v>728</v>
      </c>
      <c r="E1935" s="3">
        <v>5</v>
      </c>
      <c r="F1935" s="3">
        <v>2</v>
      </c>
      <c r="G1935" s="4">
        <v>43423</v>
      </c>
    </row>
    <row r="1936" spans="2:10">
      <c r="G1936" s="4"/>
    </row>
    <row r="1937" spans="2:7">
      <c r="B1937" s="1" t="s">
        <v>726</v>
      </c>
      <c r="C1937" s="2" t="s">
        <v>5</v>
      </c>
      <c r="D1937" s="2" t="s">
        <v>674</v>
      </c>
      <c r="E1937" s="3">
        <v>17</v>
      </c>
      <c r="F1937" s="3">
        <v>1.5</v>
      </c>
      <c r="G1937" s="4">
        <v>44679</v>
      </c>
    </row>
    <row r="1938" spans="2:7">
      <c r="C1938" s="2" t="s">
        <v>4</v>
      </c>
      <c r="D1938" s="2" t="s">
        <v>674</v>
      </c>
      <c r="E1938" s="3">
        <v>4.5</v>
      </c>
      <c r="F1938" s="3">
        <v>0.5</v>
      </c>
      <c r="G1938" s="4">
        <v>44415</v>
      </c>
    </row>
    <row r="1939" spans="2:7">
      <c r="G1939" s="4"/>
    </row>
    <row r="1940" spans="2:7">
      <c r="B1940" s="1" t="s">
        <v>725</v>
      </c>
      <c r="C1940" s="2" t="s">
        <v>5</v>
      </c>
      <c r="D1940" s="2" t="s">
        <v>674</v>
      </c>
      <c r="E1940" s="3">
        <v>17</v>
      </c>
      <c r="F1940" s="3">
        <v>1.5</v>
      </c>
      <c r="G1940" s="4">
        <v>44679</v>
      </c>
    </row>
    <row r="1941" spans="2:7">
      <c r="C1941" s="2" t="s">
        <v>4</v>
      </c>
      <c r="D1941" s="2" t="s">
        <v>674</v>
      </c>
      <c r="E1941" s="3">
        <v>4.5</v>
      </c>
      <c r="F1941" s="3">
        <v>0.5</v>
      </c>
      <c r="G1941" s="4">
        <v>44415</v>
      </c>
    </row>
    <row r="1942" spans="2:7">
      <c r="G1942" s="4"/>
    </row>
    <row r="1943" spans="2:7">
      <c r="B1943" s="1" t="s">
        <v>724</v>
      </c>
      <c r="C1943" s="2" t="s">
        <v>5</v>
      </c>
      <c r="D1943" s="2" t="s">
        <v>674</v>
      </c>
      <c r="E1943" s="3">
        <v>17</v>
      </c>
      <c r="F1943" s="3">
        <v>1.5</v>
      </c>
      <c r="G1943" s="4">
        <v>44679</v>
      </c>
    </row>
    <row r="1944" spans="2:7">
      <c r="C1944" s="2" t="s">
        <v>4</v>
      </c>
      <c r="D1944" s="2" t="s">
        <v>674</v>
      </c>
      <c r="E1944" s="3">
        <v>4.5</v>
      </c>
      <c r="F1944" s="3">
        <v>0.5</v>
      </c>
      <c r="G1944" s="4">
        <v>44415</v>
      </c>
    </row>
    <row r="1945" spans="2:7">
      <c r="G1945" s="4"/>
    </row>
    <row r="1946" spans="2:7">
      <c r="B1946" s="1" t="s">
        <v>723</v>
      </c>
      <c r="C1946" s="2" t="s">
        <v>5</v>
      </c>
      <c r="D1946" s="2" t="s">
        <v>674</v>
      </c>
      <c r="E1946" s="3">
        <v>17</v>
      </c>
      <c r="F1946" s="3">
        <v>1.5</v>
      </c>
      <c r="G1946" s="4">
        <v>44679</v>
      </c>
    </row>
    <row r="1947" spans="2:7">
      <c r="C1947" s="2" t="s">
        <v>4</v>
      </c>
      <c r="D1947" s="2" t="s">
        <v>674</v>
      </c>
      <c r="E1947" s="3">
        <v>4.5</v>
      </c>
      <c r="F1947" s="3">
        <v>0.5</v>
      </c>
      <c r="G1947" s="4">
        <v>44415</v>
      </c>
    </row>
    <row r="1948" spans="2:7">
      <c r="G1948" s="4"/>
    </row>
    <row r="1949" spans="2:7">
      <c r="B1949" s="1" t="s">
        <v>722</v>
      </c>
      <c r="C1949" s="2" t="s">
        <v>4</v>
      </c>
      <c r="D1949" s="2" t="s">
        <v>721</v>
      </c>
      <c r="E1949" s="3">
        <v>5.5</v>
      </c>
      <c r="F1949" s="3">
        <v>3</v>
      </c>
      <c r="G1949" s="4">
        <v>45092</v>
      </c>
    </row>
    <row r="1950" spans="2:7">
      <c r="C1950" s="2" t="s">
        <v>4</v>
      </c>
      <c r="D1950" s="2" t="s">
        <v>348</v>
      </c>
      <c r="E1950" s="3">
        <v>3.5</v>
      </c>
      <c r="F1950" s="3">
        <v>1.25</v>
      </c>
      <c r="G1950" s="4">
        <v>44636</v>
      </c>
    </row>
    <row r="1951" spans="2:7">
      <c r="C1951" s="2" t="s">
        <v>4</v>
      </c>
      <c r="D1951" s="2" t="s">
        <v>343</v>
      </c>
      <c r="E1951" s="3">
        <v>3</v>
      </c>
      <c r="F1951" s="3">
        <f>1.5/4</f>
        <v>0.375</v>
      </c>
      <c r="G1951" s="4">
        <v>44327</v>
      </c>
    </row>
    <row r="1952" spans="2:7">
      <c r="C1952" s="2" t="s">
        <v>4</v>
      </c>
      <c r="D1952" s="2" t="s">
        <v>339</v>
      </c>
      <c r="E1952" s="3">
        <v>5.0999999999999996</v>
      </c>
      <c r="F1952" s="3">
        <v>1</v>
      </c>
      <c r="G1952" s="4">
        <v>43990</v>
      </c>
    </row>
    <row r="1953" spans="2:12">
      <c r="C1953" s="2" t="s">
        <v>4</v>
      </c>
      <c r="D1953" s="2" t="s">
        <v>336</v>
      </c>
      <c r="E1953" s="3">
        <v>5</v>
      </c>
      <c r="F1953" s="3">
        <v>1</v>
      </c>
      <c r="G1953" s="4">
        <v>43224</v>
      </c>
      <c r="L1953" s="1">
        <v>0</v>
      </c>
    </row>
    <row r="1954" spans="2:12">
      <c r="G1954" s="4"/>
    </row>
    <row r="1955" spans="2:12">
      <c r="B1955" s="1" t="s">
        <v>720</v>
      </c>
      <c r="C1955" s="2" t="s">
        <v>4</v>
      </c>
      <c r="D1955" s="2" t="s">
        <v>717</v>
      </c>
      <c r="E1955" s="3">
        <v>113</v>
      </c>
      <c r="F1955" s="3">
        <v>8</v>
      </c>
      <c r="G1955" s="4">
        <v>45090</v>
      </c>
    </row>
    <row r="1956" spans="2:12">
      <c r="C1956" s="2" t="s">
        <v>5</v>
      </c>
      <c r="D1956" s="2" t="s">
        <v>388</v>
      </c>
      <c r="E1956" s="3">
        <v>86</v>
      </c>
      <c r="F1956" s="3">
        <v>10</v>
      </c>
      <c r="G1956" s="4">
        <v>44488</v>
      </c>
    </row>
    <row r="1957" spans="2:12">
      <c r="C1957" s="2" t="s">
        <v>4</v>
      </c>
      <c r="D1957" s="2" t="s">
        <v>388</v>
      </c>
      <c r="E1957" s="3">
        <v>8.5</v>
      </c>
      <c r="F1957" s="3">
        <v>5.5</v>
      </c>
      <c r="G1957" s="4">
        <v>43796</v>
      </c>
    </row>
    <row r="1958" spans="2:12">
      <c r="C1958" s="2" t="s">
        <v>8</v>
      </c>
      <c r="D1958" s="2" t="s">
        <v>719</v>
      </c>
      <c r="E1958" s="3">
        <v>150</v>
      </c>
      <c r="F1958" s="3">
        <f>100/6</f>
        <v>16.666666666666668</v>
      </c>
      <c r="G1958" s="4">
        <v>43885</v>
      </c>
      <c r="I1958" s="1">
        <v>1800</v>
      </c>
      <c r="J1958" s="1">
        <v>2500</v>
      </c>
    </row>
    <row r="1959" spans="2:12">
      <c r="G1959" s="4"/>
    </row>
    <row r="1960" spans="2:12">
      <c r="G1960" s="4"/>
    </row>
    <row r="1961" spans="2:12">
      <c r="B1961" s="1" t="s">
        <v>718</v>
      </c>
      <c r="C1961" s="2" t="s">
        <v>4</v>
      </c>
      <c r="D1961" s="2" t="s">
        <v>717</v>
      </c>
      <c r="E1961" s="3">
        <v>113</v>
      </c>
      <c r="F1961" s="3">
        <v>8</v>
      </c>
      <c r="G1961" s="4">
        <v>45090</v>
      </c>
    </row>
    <row r="1962" spans="2:12">
      <c r="C1962" s="2" t="s">
        <v>5</v>
      </c>
      <c r="D1962" s="2" t="s">
        <v>474</v>
      </c>
      <c r="E1962" s="3">
        <v>15.5</v>
      </c>
      <c r="F1962" s="3">
        <v>1.625</v>
      </c>
      <c r="G1962" s="4">
        <v>44727</v>
      </c>
    </row>
    <row r="1963" spans="2:12">
      <c r="C1963" s="2" t="s">
        <v>5</v>
      </c>
      <c r="D1963" s="2" t="s">
        <v>474</v>
      </c>
      <c r="E1963" s="3">
        <v>12</v>
      </c>
      <c r="F1963" s="3">
        <v>6</v>
      </c>
      <c r="G1963" s="4">
        <v>43948</v>
      </c>
    </row>
    <row r="1964" spans="2:12">
      <c r="G1964" s="4"/>
    </row>
    <row r="1965" spans="2:12">
      <c r="B1965" s="1" t="s">
        <v>716</v>
      </c>
      <c r="C1965" s="2" t="s">
        <v>5</v>
      </c>
      <c r="D1965" s="2" t="s">
        <v>714</v>
      </c>
      <c r="E1965" s="3">
        <v>6</v>
      </c>
      <c r="F1965" s="3">
        <v>1</v>
      </c>
      <c r="G1965" s="4">
        <v>44917</v>
      </c>
    </row>
    <row r="1966" spans="2:12">
      <c r="C1966" s="2" t="s">
        <v>4</v>
      </c>
      <c r="D1966" s="2" t="s">
        <v>714</v>
      </c>
      <c r="E1966" s="3">
        <v>3.6</v>
      </c>
      <c r="F1966" s="3">
        <v>1.8</v>
      </c>
      <c r="G1966" s="4">
        <v>43361</v>
      </c>
    </row>
    <row r="1967" spans="2:12">
      <c r="G1967" s="4"/>
    </row>
    <row r="1968" spans="2:12">
      <c r="B1968" s="1" t="s">
        <v>715</v>
      </c>
      <c r="C1968" s="2" t="s">
        <v>5</v>
      </c>
      <c r="D1968" s="2" t="s">
        <v>714</v>
      </c>
      <c r="E1968" s="3">
        <v>6</v>
      </c>
      <c r="F1968" s="3">
        <v>1</v>
      </c>
      <c r="G1968" s="4">
        <v>44917</v>
      </c>
    </row>
    <row r="1969" spans="2:12">
      <c r="C1969" s="2" t="s">
        <v>4</v>
      </c>
      <c r="D1969" s="2" t="s">
        <v>714</v>
      </c>
      <c r="E1969" s="3">
        <v>5.9</v>
      </c>
      <c r="F1969" s="3">
        <v>3</v>
      </c>
      <c r="G1969" s="4">
        <v>44180</v>
      </c>
    </row>
    <row r="1970" spans="2:12">
      <c r="G1970" s="4"/>
    </row>
    <row r="1971" spans="2:12">
      <c r="B1971" s="1" t="s">
        <v>713</v>
      </c>
      <c r="C1971" s="2" t="s">
        <v>5</v>
      </c>
      <c r="D1971" s="2" t="s">
        <v>712</v>
      </c>
      <c r="E1971" s="3">
        <v>50</v>
      </c>
      <c r="F1971" s="3">
        <f>30/12</f>
        <v>2.5</v>
      </c>
      <c r="G1971" s="4">
        <v>44796</v>
      </c>
    </row>
    <row r="1972" spans="2:12">
      <c r="C1972" s="2" t="s">
        <v>5</v>
      </c>
      <c r="D1972" s="2" t="s">
        <v>677</v>
      </c>
      <c r="E1972" s="3">
        <v>12.7</v>
      </c>
      <c r="F1972" s="3">
        <f>8/5</f>
        <v>1.6</v>
      </c>
      <c r="G1972" s="4">
        <v>44952</v>
      </c>
    </row>
    <row r="1973" spans="2:12">
      <c r="C1973" s="2" t="s">
        <v>4</v>
      </c>
      <c r="D1973" s="2" t="s">
        <v>127</v>
      </c>
      <c r="E1973" s="3">
        <v>4.5</v>
      </c>
      <c r="F1973" s="3">
        <v>2</v>
      </c>
      <c r="G1973" s="4">
        <v>44434</v>
      </c>
    </row>
    <row r="1974" spans="2:12">
      <c r="G1974" s="4"/>
    </row>
    <row r="1975" spans="2:12">
      <c r="B1975" s="1" t="s">
        <v>711</v>
      </c>
      <c r="C1975" s="2" t="s">
        <v>4</v>
      </c>
      <c r="D1975" s="2" t="s">
        <v>710</v>
      </c>
      <c r="E1975" s="3">
        <v>2.5</v>
      </c>
      <c r="F1975" s="3">
        <f>2/6</f>
        <v>0.33333333333333331</v>
      </c>
      <c r="G1975" s="4">
        <v>44469</v>
      </c>
    </row>
    <row r="1976" spans="2:12">
      <c r="C1976" s="2" t="s">
        <v>4</v>
      </c>
      <c r="D1976" s="2" t="s">
        <v>354</v>
      </c>
      <c r="E1976" s="3">
        <v>3.5</v>
      </c>
      <c r="F1976" s="3">
        <f>E1976/10</f>
        <v>0.35</v>
      </c>
      <c r="G1976" s="4">
        <v>43046</v>
      </c>
      <c r="L1976" s="1">
        <v>0</v>
      </c>
    </row>
    <row r="1977" spans="2:12">
      <c r="G1977" s="4"/>
    </row>
    <row r="1978" spans="2:12">
      <c r="B1978" s="1" t="s">
        <v>709</v>
      </c>
      <c r="C1978" s="2" t="s">
        <v>5</v>
      </c>
      <c r="D1978" s="2" t="s">
        <v>708</v>
      </c>
      <c r="E1978" s="3">
        <v>23.5</v>
      </c>
      <c r="F1978" s="3">
        <v>2</v>
      </c>
      <c r="G1978" s="4">
        <v>44875</v>
      </c>
    </row>
    <row r="1979" spans="2:12">
      <c r="C1979" s="2" t="s">
        <v>4</v>
      </c>
      <c r="D1979" s="2" t="s">
        <v>699</v>
      </c>
      <c r="E1979" s="3">
        <v>5</v>
      </c>
      <c r="F1979" s="3">
        <v>5</v>
      </c>
      <c r="G1979" s="4">
        <v>44562</v>
      </c>
    </row>
    <row r="1980" spans="2:12">
      <c r="G1980" s="4"/>
    </row>
    <row r="1981" spans="2:12">
      <c r="B1981" s="1" t="s">
        <v>707</v>
      </c>
      <c r="C1981" s="2" t="s">
        <v>5</v>
      </c>
      <c r="D1981" s="2" t="s">
        <v>706</v>
      </c>
      <c r="E1981" s="3">
        <v>20</v>
      </c>
      <c r="F1981" s="3">
        <v>2.5</v>
      </c>
      <c r="G1981" s="4">
        <v>44392</v>
      </c>
    </row>
    <row r="1982" spans="2:12">
      <c r="C1982" s="2" t="s">
        <v>18</v>
      </c>
      <c r="D1982" s="2" t="s">
        <v>610</v>
      </c>
      <c r="E1982" s="3">
        <v>125</v>
      </c>
      <c r="F1982" s="3">
        <f>75/8</f>
        <v>9.375</v>
      </c>
      <c r="G1982" s="4">
        <v>44663</v>
      </c>
    </row>
    <row r="1983" spans="2:12">
      <c r="C1983" s="2" t="s">
        <v>5</v>
      </c>
      <c r="D1983" s="2" t="s">
        <v>610</v>
      </c>
      <c r="E1983" s="3">
        <v>26</v>
      </c>
      <c r="F1983" s="3">
        <f>16/4</f>
        <v>4</v>
      </c>
      <c r="G1983" s="4">
        <v>43809</v>
      </c>
    </row>
    <row r="1984" spans="2:12">
      <c r="C1984" s="2" t="s">
        <v>5</v>
      </c>
      <c r="D1984" s="2" t="s">
        <v>610</v>
      </c>
      <c r="E1984" s="3">
        <v>8</v>
      </c>
      <c r="F1984" s="3">
        <v>2</v>
      </c>
      <c r="G1984" s="4">
        <v>43249</v>
      </c>
    </row>
    <row r="1985" spans="2:7">
      <c r="G1985" s="4"/>
    </row>
    <row r="1986" spans="2:7">
      <c r="B1986" s="1" t="s">
        <v>705</v>
      </c>
      <c r="C1986" s="2" t="s">
        <v>7</v>
      </c>
      <c r="D1986" s="2" t="s">
        <v>704</v>
      </c>
      <c r="E1986" s="3">
        <v>50</v>
      </c>
      <c r="F1986" s="3">
        <v>25</v>
      </c>
      <c r="G1986" s="4">
        <v>44643</v>
      </c>
    </row>
    <row r="1987" spans="2:7">
      <c r="C1987" s="2" t="s">
        <v>18</v>
      </c>
      <c r="D1987" s="2" t="s">
        <v>703</v>
      </c>
      <c r="E1987" s="3">
        <v>125</v>
      </c>
      <c r="F1987" s="3">
        <f>75/8</f>
        <v>9.375</v>
      </c>
      <c r="G1987" s="4">
        <v>44663</v>
      </c>
    </row>
    <row r="1988" spans="2:7">
      <c r="C1988" s="2" t="s">
        <v>7</v>
      </c>
      <c r="D1988" s="2" t="s">
        <v>703</v>
      </c>
      <c r="E1988" s="3">
        <v>54</v>
      </c>
      <c r="F1988" s="3">
        <f>40/5</f>
        <v>8</v>
      </c>
      <c r="G1988" s="4">
        <v>44089</v>
      </c>
    </row>
    <row r="1989" spans="2:7">
      <c r="C1989" s="2" t="s">
        <v>5</v>
      </c>
      <c r="D1989" s="2" t="s">
        <v>703</v>
      </c>
      <c r="E1989" s="3">
        <v>26</v>
      </c>
      <c r="F1989" s="3">
        <v>10</v>
      </c>
      <c r="G1989" s="4">
        <v>43809</v>
      </c>
    </row>
    <row r="1990" spans="2:7">
      <c r="G1990" s="4"/>
    </row>
    <row r="1991" spans="2:7">
      <c r="B1991" s="1" t="s">
        <v>702</v>
      </c>
      <c r="C1991" s="2" t="s">
        <v>4</v>
      </c>
      <c r="D1991" s="2" t="s">
        <v>701</v>
      </c>
      <c r="E1991" s="3">
        <v>30</v>
      </c>
      <c r="F1991" s="3">
        <v>5</v>
      </c>
      <c r="G1991" s="4">
        <v>44742</v>
      </c>
    </row>
    <row r="1992" spans="2:7">
      <c r="C1992" s="2" t="s">
        <v>5</v>
      </c>
      <c r="D1992" s="2" t="s">
        <v>700</v>
      </c>
      <c r="E1992" s="3">
        <v>29</v>
      </c>
      <c r="F1992" s="3">
        <v>3</v>
      </c>
      <c r="G1992" s="4">
        <v>44691</v>
      </c>
    </row>
    <row r="1993" spans="2:7">
      <c r="C1993" s="2" t="s">
        <v>5</v>
      </c>
      <c r="D1993" s="2" t="s">
        <v>699</v>
      </c>
      <c r="E1993" s="3">
        <v>13</v>
      </c>
      <c r="F1993" s="3">
        <v>3</v>
      </c>
      <c r="G1993" s="4">
        <v>45005</v>
      </c>
    </row>
    <row r="1994" spans="2:7">
      <c r="G1994" s="4"/>
    </row>
    <row r="1995" spans="2:7">
      <c r="G1995" s="4"/>
    </row>
    <row r="1996" spans="2:7">
      <c r="B1996" s="1" t="s">
        <v>698</v>
      </c>
      <c r="C1996" s="2" t="s">
        <v>4</v>
      </c>
      <c r="D1996" s="2" t="s">
        <v>697</v>
      </c>
      <c r="E1996" s="3">
        <v>30</v>
      </c>
      <c r="F1996" s="3">
        <v>5</v>
      </c>
      <c r="G1996" s="4">
        <v>44601</v>
      </c>
    </row>
    <row r="1997" spans="2:7">
      <c r="C1997" s="2" t="s">
        <v>4</v>
      </c>
      <c r="D1997" s="2" t="s">
        <v>665</v>
      </c>
      <c r="E1997" s="3">
        <v>12.8</v>
      </c>
      <c r="F1997" s="3">
        <v>2</v>
      </c>
      <c r="G1997" s="4">
        <v>44601</v>
      </c>
    </row>
    <row r="1998" spans="2:7">
      <c r="G1998" s="4"/>
    </row>
    <row r="1999" spans="2:7">
      <c r="B1999" s="1" t="s">
        <v>696</v>
      </c>
      <c r="C1999" s="2" t="s">
        <v>5</v>
      </c>
      <c r="D1999" s="2" t="s">
        <v>695</v>
      </c>
      <c r="E1999" s="3">
        <v>21</v>
      </c>
      <c r="F1999" s="3">
        <f>11/3</f>
        <v>3.6666666666666665</v>
      </c>
      <c r="G1999" s="4">
        <v>45027</v>
      </c>
    </row>
    <row r="2000" spans="2:7">
      <c r="C2000" s="2" t="s">
        <v>4</v>
      </c>
      <c r="D2000" s="2" t="s">
        <v>362</v>
      </c>
      <c r="E2000" s="3">
        <v>12</v>
      </c>
      <c r="F2000" s="3">
        <v>3</v>
      </c>
      <c r="G2000" s="4">
        <v>44271</v>
      </c>
    </row>
    <row r="2001" spans="2:18">
      <c r="G2001" s="4"/>
    </row>
    <row r="2002" spans="2:18">
      <c r="B2002" s="1" t="s">
        <v>694</v>
      </c>
      <c r="C2002" s="2" t="s">
        <v>5</v>
      </c>
      <c r="D2002" s="2" t="s">
        <v>693</v>
      </c>
      <c r="E2002" s="3">
        <v>15</v>
      </c>
      <c r="F2002" s="3">
        <f>10/3</f>
        <v>3.3333333333333335</v>
      </c>
      <c r="G2002" s="4">
        <v>44838</v>
      </c>
    </row>
    <row r="2003" spans="2:18">
      <c r="C2003" s="2" t="s">
        <v>4</v>
      </c>
      <c r="D2003" s="2" t="s">
        <v>607</v>
      </c>
      <c r="E2003" s="3">
        <v>6</v>
      </c>
      <c r="F2003" s="3">
        <v>1</v>
      </c>
      <c r="G2003" s="4">
        <v>44781</v>
      </c>
    </row>
    <row r="2004" spans="2:18">
      <c r="G2004" s="4"/>
    </row>
    <row r="2005" spans="2:18">
      <c r="B2005" s="1" t="s">
        <v>692</v>
      </c>
      <c r="C2005" s="2" t="s">
        <v>4</v>
      </c>
      <c r="D2005" s="2" t="s">
        <v>691</v>
      </c>
      <c r="E2005" s="3">
        <v>5.3</v>
      </c>
      <c r="F2005" s="3">
        <v>3.3</v>
      </c>
      <c r="G2005" s="4">
        <v>45069</v>
      </c>
    </row>
    <row r="2006" spans="2:18">
      <c r="G2006" s="4"/>
    </row>
    <row r="2007" spans="2:18">
      <c r="B2007" s="1" t="s">
        <v>690</v>
      </c>
      <c r="C2007" s="2" t="s">
        <v>4</v>
      </c>
      <c r="D2007" s="2" t="s">
        <v>689</v>
      </c>
      <c r="E2007" s="3">
        <v>15</v>
      </c>
      <c r="F2007" s="3">
        <f>15/7</f>
        <v>2.1428571428571428</v>
      </c>
      <c r="G2007" s="4">
        <v>44691</v>
      </c>
    </row>
    <row r="2008" spans="2:18">
      <c r="G2008" s="4"/>
    </row>
    <row r="2009" spans="2:18">
      <c r="B2009" s="1" t="s">
        <v>688</v>
      </c>
      <c r="C2009" s="2" t="s">
        <v>5</v>
      </c>
      <c r="D2009" s="2" t="s">
        <v>687</v>
      </c>
      <c r="E2009" s="3">
        <v>15</v>
      </c>
      <c r="F2009" s="3">
        <v>3</v>
      </c>
      <c r="G2009" s="4">
        <v>44482</v>
      </c>
    </row>
    <row r="2010" spans="2:18">
      <c r="C2010" s="2" t="s">
        <v>4</v>
      </c>
      <c r="D2010" s="2" t="s">
        <v>687</v>
      </c>
      <c r="E2010" s="3">
        <v>4.5</v>
      </c>
      <c r="F2010" s="3">
        <v>0.5</v>
      </c>
      <c r="G2010" s="4">
        <v>44362</v>
      </c>
      <c r="M2010" s="1"/>
      <c r="N2010" s="1"/>
      <c r="O2010" s="1"/>
      <c r="P2010" s="1"/>
      <c r="Q2010" s="1"/>
      <c r="R2010" s="1"/>
    </row>
    <row r="2011" spans="2:18">
      <c r="G2011" s="4"/>
      <c r="M2011" s="1"/>
      <c r="N2011" s="1"/>
      <c r="O2011" s="1"/>
      <c r="P2011" s="1"/>
      <c r="Q2011" s="1"/>
      <c r="R2011" s="1"/>
    </row>
    <row r="2012" spans="2:18">
      <c r="B2012" s="1" t="s">
        <v>686</v>
      </c>
      <c r="C2012" s="2" t="s">
        <v>5</v>
      </c>
      <c r="D2012" s="2" t="s">
        <v>683</v>
      </c>
      <c r="E2012" s="3">
        <v>14.5</v>
      </c>
      <c r="F2012" s="3">
        <v>2.5</v>
      </c>
      <c r="G2012" s="4">
        <v>44389</v>
      </c>
      <c r="M2012" s="1"/>
      <c r="N2012" s="1"/>
      <c r="O2012" s="1"/>
      <c r="P2012" s="1"/>
      <c r="Q2012" s="1"/>
      <c r="R2012" s="1"/>
    </row>
    <row r="2013" spans="2:18">
      <c r="C2013" s="2" t="s">
        <v>4</v>
      </c>
      <c r="D2013" s="2" t="s">
        <v>683</v>
      </c>
      <c r="E2013" s="3">
        <v>3</v>
      </c>
      <c r="F2013" s="3">
        <v>0.5</v>
      </c>
      <c r="G2013" s="4">
        <v>43993</v>
      </c>
      <c r="M2013" s="1"/>
      <c r="N2013" s="1"/>
      <c r="O2013" s="1"/>
      <c r="P2013" s="1"/>
      <c r="Q2013" s="1"/>
      <c r="R2013" s="1"/>
    </row>
    <row r="2014" spans="2:18">
      <c r="G2014" s="4"/>
      <c r="M2014" s="1"/>
      <c r="N2014" s="1"/>
      <c r="O2014" s="1"/>
      <c r="P2014" s="1"/>
      <c r="Q2014" s="1"/>
      <c r="R2014" s="1"/>
    </row>
    <row r="2015" spans="2:18">
      <c r="B2015" s="1" t="s">
        <v>685</v>
      </c>
      <c r="C2015" s="2" t="s">
        <v>5</v>
      </c>
      <c r="D2015" s="2" t="s">
        <v>683</v>
      </c>
      <c r="E2015" s="3">
        <v>14.5</v>
      </c>
      <c r="F2015" s="3">
        <v>2.5</v>
      </c>
      <c r="G2015" s="4">
        <v>44389</v>
      </c>
      <c r="M2015" s="1"/>
      <c r="N2015" s="1"/>
      <c r="O2015" s="1"/>
      <c r="P2015" s="1"/>
      <c r="Q2015" s="1"/>
      <c r="R2015" s="1"/>
    </row>
    <row r="2016" spans="2:18">
      <c r="C2016" s="2" t="s">
        <v>4</v>
      </c>
      <c r="D2016" s="2" t="s">
        <v>683</v>
      </c>
      <c r="E2016" s="3">
        <v>3</v>
      </c>
      <c r="F2016" s="3">
        <v>1</v>
      </c>
      <c r="G2016" s="4">
        <v>43993</v>
      </c>
      <c r="M2016" s="1"/>
      <c r="N2016" s="1"/>
      <c r="O2016" s="1"/>
      <c r="P2016" s="1"/>
      <c r="Q2016" s="1"/>
      <c r="R2016" s="1"/>
    </row>
    <row r="2017" spans="2:18">
      <c r="G2017" s="4"/>
      <c r="M2017" s="1"/>
      <c r="N2017" s="1"/>
      <c r="O2017" s="1"/>
      <c r="P2017" s="1"/>
      <c r="Q2017" s="1"/>
      <c r="R2017" s="1"/>
    </row>
    <row r="2018" spans="2:18">
      <c r="B2018" s="1" t="s">
        <v>684</v>
      </c>
      <c r="C2018" s="2" t="s">
        <v>5</v>
      </c>
      <c r="D2018" s="2" t="s">
        <v>683</v>
      </c>
      <c r="E2018" s="3">
        <v>14.5</v>
      </c>
      <c r="F2018" s="3">
        <v>2.5</v>
      </c>
      <c r="G2018" s="4">
        <v>44389</v>
      </c>
      <c r="M2018" s="1"/>
      <c r="N2018" s="1"/>
      <c r="O2018" s="1"/>
      <c r="P2018" s="1"/>
      <c r="Q2018" s="1"/>
      <c r="R2018" s="1"/>
    </row>
    <row r="2019" spans="2:18">
      <c r="C2019" s="2" t="s">
        <v>4</v>
      </c>
      <c r="D2019" s="2" t="s">
        <v>683</v>
      </c>
      <c r="E2019" s="3">
        <v>3</v>
      </c>
      <c r="F2019" s="3">
        <v>0.5</v>
      </c>
      <c r="G2019" s="4">
        <v>43993</v>
      </c>
      <c r="M2019" s="1"/>
      <c r="N2019" s="1"/>
      <c r="O2019" s="1"/>
      <c r="P2019" s="1"/>
      <c r="Q2019" s="1"/>
      <c r="R2019" s="1"/>
    </row>
    <row r="2020" spans="2:18">
      <c r="G2020" s="4"/>
      <c r="M2020" s="1"/>
      <c r="N2020" s="1"/>
      <c r="O2020" s="1"/>
      <c r="P2020" s="1"/>
      <c r="Q2020" s="1"/>
      <c r="R2020" s="1"/>
    </row>
    <row r="2021" spans="2:18">
      <c r="G2021" s="4"/>
      <c r="M2021" s="1"/>
      <c r="N2021" s="1"/>
      <c r="O2021" s="1"/>
      <c r="P2021" s="1"/>
      <c r="Q2021" s="1"/>
      <c r="R2021" s="1"/>
    </row>
    <row r="2022" spans="2:18">
      <c r="B2022" s="1" t="s">
        <v>682</v>
      </c>
      <c r="C2022" s="2" t="s">
        <v>5</v>
      </c>
      <c r="D2022" s="2" t="s">
        <v>680</v>
      </c>
      <c r="E2022" s="3">
        <v>14</v>
      </c>
      <c r="F2022" s="3">
        <v>3</v>
      </c>
      <c r="G2022" s="4">
        <v>44705</v>
      </c>
      <c r="M2022" s="1"/>
      <c r="N2022" s="1"/>
      <c r="O2022" s="1"/>
      <c r="P2022" s="1"/>
      <c r="Q2022" s="1"/>
      <c r="R2022" s="1"/>
    </row>
    <row r="2023" spans="2:18">
      <c r="C2023" s="2" t="s">
        <v>681</v>
      </c>
      <c r="D2023" s="2" t="s">
        <v>680</v>
      </c>
      <c r="E2023" s="3">
        <v>0.62</v>
      </c>
      <c r="F2023" s="3">
        <v>0.62</v>
      </c>
      <c r="G2023" s="4">
        <v>44105</v>
      </c>
      <c r="M2023" s="1"/>
      <c r="N2023" s="1"/>
      <c r="O2023" s="1"/>
      <c r="P2023" s="1"/>
      <c r="Q2023" s="1"/>
      <c r="R2023" s="1"/>
    </row>
    <row r="2024" spans="2:18">
      <c r="G2024" s="4"/>
      <c r="M2024" s="1"/>
      <c r="N2024" s="1"/>
      <c r="O2024" s="1"/>
      <c r="P2024" s="1"/>
      <c r="Q2024" s="1"/>
      <c r="R2024" s="1"/>
    </row>
    <row r="2025" spans="2:18">
      <c r="B2025" s="1" t="s">
        <v>679</v>
      </c>
      <c r="C2025" s="2" t="s">
        <v>5</v>
      </c>
      <c r="D2025" s="2" t="s">
        <v>677</v>
      </c>
      <c r="E2025" s="3">
        <v>12.7</v>
      </c>
      <c r="F2025" s="3">
        <f>8/5</f>
        <v>1.6</v>
      </c>
      <c r="G2025" s="4">
        <v>44952</v>
      </c>
      <c r="M2025" s="1"/>
      <c r="N2025" s="1"/>
      <c r="O2025" s="1"/>
      <c r="P2025" s="1"/>
      <c r="Q2025" s="1"/>
      <c r="R2025" s="1"/>
    </row>
    <row r="2026" spans="2:18">
      <c r="C2026" s="2" t="s">
        <v>4</v>
      </c>
      <c r="D2026" s="2" t="s">
        <v>676</v>
      </c>
      <c r="E2026" s="3">
        <v>100</v>
      </c>
      <c r="F2026" s="3">
        <v>50</v>
      </c>
      <c r="G2026" s="4">
        <v>44663</v>
      </c>
      <c r="M2026" s="1"/>
      <c r="N2026" s="1"/>
      <c r="O2026" s="1"/>
      <c r="P2026" s="1"/>
      <c r="Q2026" s="1"/>
      <c r="R2026" s="1"/>
    </row>
    <row r="2027" spans="2:18">
      <c r="G2027" s="4"/>
      <c r="M2027" s="1"/>
      <c r="N2027" s="1"/>
      <c r="O2027" s="1"/>
      <c r="P2027" s="1"/>
      <c r="Q2027" s="1"/>
      <c r="R2027" s="1"/>
    </row>
    <row r="2028" spans="2:18">
      <c r="B2028" s="1" t="s">
        <v>678</v>
      </c>
      <c r="C2028" s="2" t="s">
        <v>4</v>
      </c>
      <c r="D2028" s="2" t="s">
        <v>677</v>
      </c>
      <c r="E2028" s="3">
        <v>5</v>
      </c>
      <c r="F2028" s="3">
        <v>2.5</v>
      </c>
      <c r="G2028" s="4">
        <v>44277</v>
      </c>
      <c r="M2028" s="1"/>
      <c r="N2028" s="1"/>
      <c r="O2028" s="1"/>
      <c r="P2028" s="1"/>
      <c r="Q2028" s="1"/>
      <c r="R2028" s="1"/>
    </row>
    <row r="2029" spans="2:18">
      <c r="C2029" s="2" t="s">
        <v>4</v>
      </c>
      <c r="D2029" s="2" t="s">
        <v>676</v>
      </c>
      <c r="E2029" s="3">
        <v>100</v>
      </c>
      <c r="F2029" s="3">
        <v>50</v>
      </c>
      <c r="G2029" s="4">
        <v>44663</v>
      </c>
      <c r="M2029" s="1"/>
      <c r="N2029" s="1"/>
      <c r="O2029" s="1"/>
      <c r="P2029" s="1"/>
      <c r="Q2029" s="1"/>
      <c r="R2029" s="1"/>
    </row>
    <row r="2030" spans="2:18">
      <c r="G2030" s="4"/>
      <c r="M2030" s="1"/>
      <c r="N2030" s="1"/>
      <c r="O2030" s="1"/>
      <c r="P2030" s="1"/>
      <c r="Q2030" s="1"/>
      <c r="R2030" s="1"/>
    </row>
    <row r="2031" spans="2:18">
      <c r="G2031" s="4"/>
      <c r="M2031" s="1"/>
      <c r="N2031" s="1"/>
      <c r="O2031" s="1"/>
      <c r="P2031" s="1"/>
      <c r="Q2031" s="1"/>
      <c r="R2031" s="1"/>
    </row>
    <row r="2032" spans="2:18">
      <c r="G2032" s="4"/>
      <c r="M2032" s="1"/>
      <c r="N2032" s="1"/>
      <c r="O2032" s="1"/>
      <c r="P2032" s="1"/>
      <c r="Q2032" s="1"/>
      <c r="R2032" s="1"/>
    </row>
    <row r="2033" spans="2:18">
      <c r="G2033" s="4"/>
      <c r="M2033" s="1"/>
      <c r="N2033" s="1"/>
      <c r="O2033" s="1"/>
      <c r="P2033" s="1"/>
      <c r="Q2033" s="1"/>
      <c r="R2033" s="1"/>
    </row>
    <row r="2034" spans="2:18">
      <c r="B2034" s="1" t="s">
        <v>675</v>
      </c>
      <c r="C2034" s="2" t="s">
        <v>5</v>
      </c>
      <c r="D2034" s="2" t="s">
        <v>674</v>
      </c>
      <c r="E2034" s="3">
        <v>17</v>
      </c>
      <c r="F2034" s="3">
        <v>6</v>
      </c>
      <c r="G2034" s="4">
        <v>44679</v>
      </c>
      <c r="M2034" s="1"/>
      <c r="N2034" s="1"/>
      <c r="O2034" s="1"/>
      <c r="P2034" s="1"/>
      <c r="Q2034" s="1"/>
      <c r="R2034" s="1"/>
    </row>
    <row r="2035" spans="2:18">
      <c r="C2035" s="2" t="s">
        <v>4</v>
      </c>
      <c r="D2035" s="2" t="s">
        <v>584</v>
      </c>
      <c r="E2035" s="3">
        <v>10</v>
      </c>
      <c r="F2035" s="3">
        <v>3</v>
      </c>
      <c r="G2035" s="4">
        <v>44887</v>
      </c>
      <c r="M2035" s="1"/>
      <c r="N2035" s="1"/>
      <c r="O2035" s="1"/>
      <c r="P2035" s="1"/>
      <c r="Q2035" s="1"/>
      <c r="R2035" s="1"/>
    </row>
    <row r="2036" spans="2:18">
      <c r="G2036" s="4"/>
      <c r="M2036" s="1"/>
      <c r="N2036" s="1"/>
      <c r="O2036" s="1"/>
      <c r="P2036" s="1"/>
      <c r="Q2036" s="1"/>
      <c r="R2036" s="1"/>
    </row>
    <row r="2037" spans="2:18">
      <c r="B2037" s="1" t="s">
        <v>673</v>
      </c>
      <c r="C2037" s="2" t="s">
        <v>4</v>
      </c>
      <c r="D2037" s="2" t="s">
        <v>672</v>
      </c>
      <c r="E2037" s="3">
        <v>13</v>
      </c>
      <c r="F2037" s="3">
        <f>7/2</f>
        <v>3.5</v>
      </c>
      <c r="G2037" s="4">
        <v>44896</v>
      </c>
      <c r="M2037" s="1"/>
      <c r="N2037" s="1"/>
      <c r="O2037" s="1"/>
      <c r="P2037" s="1"/>
      <c r="Q2037" s="1"/>
      <c r="R2037" s="1"/>
    </row>
    <row r="2038" spans="2:18">
      <c r="C2038" s="2" t="s">
        <v>18</v>
      </c>
      <c r="D2038" s="2" t="s">
        <v>617</v>
      </c>
      <c r="E2038" s="3">
        <v>48</v>
      </c>
      <c r="F2038" s="3">
        <v>10</v>
      </c>
      <c r="G2038" s="4">
        <v>43888</v>
      </c>
      <c r="M2038" s="1"/>
      <c r="N2038" s="1"/>
      <c r="O2038" s="1"/>
      <c r="P2038" s="1"/>
      <c r="Q2038" s="1"/>
      <c r="R2038" s="1"/>
    </row>
    <row r="2039" spans="2:18">
      <c r="C2039" s="2" t="s">
        <v>7</v>
      </c>
      <c r="D2039" s="2" t="s">
        <v>617</v>
      </c>
      <c r="E2039" s="3">
        <v>25</v>
      </c>
      <c r="F2039" s="3">
        <v>5</v>
      </c>
      <c r="G2039" s="4">
        <v>43440</v>
      </c>
      <c r="M2039" s="1"/>
      <c r="N2039" s="1"/>
      <c r="O2039" s="1"/>
      <c r="P2039" s="1"/>
      <c r="Q2039" s="1"/>
      <c r="R2039" s="1"/>
    </row>
    <row r="2040" spans="2:18">
      <c r="C2040" s="2" t="s">
        <v>5</v>
      </c>
      <c r="D2040" s="2" t="s">
        <v>617</v>
      </c>
      <c r="E2040" s="3">
        <v>5.8</v>
      </c>
      <c r="F2040" s="3">
        <f>E2040/4</f>
        <v>1.45</v>
      </c>
      <c r="G2040" s="4">
        <v>43117</v>
      </c>
      <c r="M2040" s="1"/>
      <c r="N2040" s="1"/>
      <c r="O2040" s="1"/>
      <c r="P2040" s="1"/>
      <c r="Q2040" s="1"/>
      <c r="R2040" s="1"/>
    </row>
    <row r="2041" spans="2:18">
      <c r="C2041" s="2" t="s">
        <v>4</v>
      </c>
      <c r="D2041" s="2" t="s">
        <v>617</v>
      </c>
      <c r="E2041" s="3">
        <v>3.2</v>
      </c>
      <c r="F2041" s="3">
        <v>3.2</v>
      </c>
      <c r="G2041" s="4">
        <v>42887</v>
      </c>
      <c r="M2041" s="1"/>
      <c r="N2041" s="1"/>
      <c r="O2041" s="1"/>
      <c r="P2041" s="1"/>
      <c r="Q2041" s="1"/>
      <c r="R2041" s="1"/>
    </row>
    <row r="2042" spans="2:18">
      <c r="C2042" s="2" t="s">
        <v>4</v>
      </c>
      <c r="D2042" s="2" t="s">
        <v>617</v>
      </c>
      <c r="E2042" s="3">
        <v>3.3</v>
      </c>
      <c r="F2042" s="3">
        <v>1</v>
      </c>
      <c r="G2042" s="4">
        <v>42678</v>
      </c>
      <c r="M2042" s="1"/>
      <c r="N2042" s="1"/>
      <c r="O2042" s="1"/>
      <c r="P2042" s="1"/>
      <c r="Q2042" s="1"/>
      <c r="R2042" s="1"/>
    </row>
    <row r="2043" spans="2:18">
      <c r="G2043" s="4"/>
      <c r="M2043" s="1"/>
      <c r="N2043" s="1"/>
      <c r="O2043" s="1"/>
      <c r="P2043" s="1"/>
      <c r="Q2043" s="1"/>
      <c r="R2043" s="1"/>
    </row>
    <row r="2044" spans="2:18">
      <c r="B2044" s="1" t="s">
        <v>671</v>
      </c>
      <c r="C2044" s="2" t="s">
        <v>4</v>
      </c>
      <c r="D2044" s="2" t="s">
        <v>670</v>
      </c>
      <c r="E2044" s="3">
        <v>5</v>
      </c>
      <c r="F2044" s="3">
        <v>5</v>
      </c>
      <c r="G2044" s="4">
        <v>44873</v>
      </c>
      <c r="M2044" s="1"/>
      <c r="N2044" s="1"/>
      <c r="O2044" s="1"/>
      <c r="P2044" s="1"/>
      <c r="Q2044" s="1"/>
      <c r="R2044" s="1"/>
    </row>
    <row r="2045" spans="2:18">
      <c r="C2045" s="2" t="s">
        <v>5</v>
      </c>
      <c r="D2045" s="2" t="s">
        <v>643</v>
      </c>
      <c r="E2045" s="3">
        <v>10.5</v>
      </c>
      <c r="F2045" s="3">
        <v>6.5</v>
      </c>
      <c r="G2045" s="4">
        <v>44984</v>
      </c>
      <c r="M2045" s="1"/>
      <c r="N2045" s="1"/>
      <c r="O2045" s="1"/>
      <c r="P2045" s="1"/>
      <c r="Q2045" s="1"/>
      <c r="R2045" s="1"/>
    </row>
    <row r="2046" spans="2:18">
      <c r="G2046" s="4"/>
      <c r="M2046" s="1"/>
      <c r="N2046" s="1"/>
      <c r="O2046" s="1"/>
      <c r="P2046" s="1"/>
      <c r="Q2046" s="1"/>
      <c r="R2046" s="1"/>
    </row>
    <row r="2047" spans="2:18">
      <c r="B2047" s="1" t="s">
        <v>669</v>
      </c>
      <c r="C2047" s="2" t="s">
        <v>5</v>
      </c>
      <c r="D2047" s="2" t="s">
        <v>667</v>
      </c>
      <c r="E2047" s="3">
        <v>12.6</v>
      </c>
      <c r="F2047" s="3">
        <v>3</v>
      </c>
      <c r="G2047" s="4">
        <v>44579</v>
      </c>
      <c r="M2047" s="1"/>
      <c r="N2047" s="1"/>
      <c r="O2047" s="1"/>
      <c r="P2047" s="1"/>
      <c r="Q2047" s="1"/>
      <c r="R2047" s="1"/>
    </row>
    <row r="2048" spans="2:18">
      <c r="C2048" s="2" t="s">
        <v>4</v>
      </c>
      <c r="D2048" s="2" t="s">
        <v>667</v>
      </c>
      <c r="E2048" s="3">
        <v>3</v>
      </c>
      <c r="F2048" s="3">
        <v>1</v>
      </c>
      <c r="G2048" s="4">
        <v>43999</v>
      </c>
      <c r="M2048" s="1"/>
      <c r="N2048" s="1"/>
      <c r="O2048" s="1"/>
      <c r="P2048" s="1"/>
      <c r="Q2048" s="1"/>
      <c r="R2048" s="1"/>
    </row>
    <row r="2049" spans="2:18">
      <c r="C2049" s="2" t="s">
        <v>7</v>
      </c>
      <c r="D2049" s="2" t="s">
        <v>317</v>
      </c>
      <c r="E2049" s="3">
        <v>40</v>
      </c>
      <c r="F2049" s="3">
        <v>4</v>
      </c>
      <c r="G2049" s="4">
        <v>43419</v>
      </c>
      <c r="M2049" s="1"/>
      <c r="N2049" s="1"/>
      <c r="O2049" s="1"/>
      <c r="P2049" s="1"/>
      <c r="Q2049" s="1"/>
      <c r="R2049" s="1"/>
    </row>
    <row r="2050" spans="2:18">
      <c r="C2050" s="2" t="s">
        <v>5</v>
      </c>
      <c r="D2050" s="2" t="s">
        <v>317</v>
      </c>
      <c r="E2050" s="3">
        <v>14.7</v>
      </c>
      <c r="F2050" s="3">
        <v>2.25</v>
      </c>
      <c r="G2050" s="4">
        <v>43032</v>
      </c>
      <c r="M2050" s="1"/>
      <c r="N2050" s="1"/>
      <c r="O2050" s="1"/>
      <c r="P2050" s="1"/>
      <c r="Q2050" s="1"/>
      <c r="R2050" s="1"/>
    </row>
    <row r="2051" spans="2:18">
      <c r="C2051" s="2" t="s">
        <v>4</v>
      </c>
      <c r="D2051" s="2" t="s">
        <v>309</v>
      </c>
      <c r="E2051" s="3">
        <v>1.8</v>
      </c>
      <c r="F2051" s="3">
        <v>0.2</v>
      </c>
      <c r="G2051" s="4">
        <v>42690</v>
      </c>
      <c r="M2051" s="1"/>
      <c r="N2051" s="1"/>
      <c r="O2051" s="1"/>
      <c r="P2051" s="1"/>
      <c r="Q2051" s="1"/>
      <c r="R2051" s="1"/>
    </row>
    <row r="2052" spans="2:18">
      <c r="G2052" s="4"/>
      <c r="M2052" s="1"/>
      <c r="N2052" s="1"/>
      <c r="O2052" s="1"/>
      <c r="P2052" s="1"/>
      <c r="Q2052" s="1"/>
      <c r="R2052" s="1"/>
    </row>
    <row r="2053" spans="2:18">
      <c r="B2053" s="1" t="s">
        <v>668</v>
      </c>
      <c r="C2053" s="2" t="s">
        <v>5</v>
      </c>
      <c r="D2053" s="2" t="s">
        <v>667</v>
      </c>
      <c r="E2053" s="3">
        <v>12.6</v>
      </c>
      <c r="F2053" s="3">
        <f>6.6/3</f>
        <v>2.1999999999999997</v>
      </c>
      <c r="G2053" s="4">
        <v>44579</v>
      </c>
      <c r="M2053" s="1"/>
      <c r="N2053" s="1"/>
      <c r="O2053" s="1"/>
      <c r="P2053" s="1"/>
      <c r="Q2053" s="1"/>
      <c r="R2053" s="1"/>
    </row>
    <row r="2054" spans="2:18">
      <c r="C2054" s="2" t="s">
        <v>8</v>
      </c>
      <c r="D2054" s="2" t="s">
        <v>456</v>
      </c>
      <c r="E2054" s="3">
        <v>90</v>
      </c>
      <c r="F2054" s="3">
        <f>50/11</f>
        <v>4.5454545454545459</v>
      </c>
      <c r="G2054" s="4">
        <v>44776</v>
      </c>
      <c r="M2054" s="1"/>
      <c r="N2054" s="1"/>
      <c r="O2054" s="1"/>
      <c r="P2054" s="1"/>
      <c r="Q2054" s="1"/>
      <c r="R2054" s="1"/>
    </row>
    <row r="2055" spans="2:18">
      <c r="C2055" s="2" t="s">
        <v>9</v>
      </c>
      <c r="D2055" s="2" t="s">
        <v>3</v>
      </c>
      <c r="E2055" s="3">
        <v>90</v>
      </c>
      <c r="F2055" s="3">
        <v>10</v>
      </c>
      <c r="G2055" s="4">
        <v>44721</v>
      </c>
      <c r="I2055" s="1">
        <v>2200</v>
      </c>
      <c r="J2055" s="1">
        <v>2200</v>
      </c>
      <c r="M2055" s="1"/>
      <c r="N2055" s="1"/>
      <c r="O2055" s="1"/>
      <c r="P2055" s="1"/>
      <c r="Q2055" s="1"/>
      <c r="R2055" s="1"/>
    </row>
    <row r="2056" spans="2:18">
      <c r="C2056" s="2" t="s">
        <v>7</v>
      </c>
      <c r="D2056" s="2" t="s">
        <v>3</v>
      </c>
      <c r="E2056" s="3">
        <v>25</v>
      </c>
      <c r="F2056" s="3">
        <v>10</v>
      </c>
      <c r="G2056" s="4">
        <v>43697</v>
      </c>
      <c r="J2056" s="1">
        <v>2200</v>
      </c>
      <c r="M2056" s="1"/>
      <c r="N2056" s="1"/>
      <c r="O2056" s="1"/>
      <c r="P2056" s="1"/>
      <c r="Q2056" s="1"/>
      <c r="R2056" s="1"/>
    </row>
    <row r="2057" spans="2:18">
      <c r="G2057" s="4"/>
      <c r="M2057" s="1"/>
      <c r="N2057" s="1"/>
      <c r="O2057" s="1"/>
      <c r="P2057" s="1"/>
      <c r="Q2057" s="1"/>
      <c r="R2057" s="1"/>
    </row>
    <row r="2058" spans="2:18">
      <c r="B2058" s="1" t="s">
        <v>666</v>
      </c>
      <c r="C2058" s="2" t="s">
        <v>4</v>
      </c>
      <c r="D2058" s="2" t="s">
        <v>665</v>
      </c>
      <c r="E2058" s="3">
        <v>12.8</v>
      </c>
      <c r="F2058" s="3">
        <v>2</v>
      </c>
      <c r="G2058" s="4">
        <v>44601</v>
      </c>
      <c r="M2058" s="1"/>
      <c r="N2058" s="1"/>
      <c r="O2058" s="1"/>
      <c r="P2058" s="1"/>
      <c r="Q2058" s="1"/>
      <c r="R2058" s="1"/>
    </row>
    <row r="2059" spans="2:18">
      <c r="C2059" s="2" t="s">
        <v>8</v>
      </c>
      <c r="D2059" s="2" t="s">
        <v>498</v>
      </c>
      <c r="E2059" s="3">
        <v>100</v>
      </c>
      <c r="F2059" s="3">
        <v>15</v>
      </c>
      <c r="G2059" s="4">
        <v>43397</v>
      </c>
      <c r="M2059" s="1"/>
      <c r="N2059" s="1"/>
      <c r="O2059" s="1"/>
      <c r="P2059" s="1"/>
      <c r="Q2059" s="1"/>
      <c r="R2059" s="1"/>
    </row>
    <row r="2060" spans="2:18">
      <c r="G2060" s="4"/>
      <c r="M2060" s="1"/>
      <c r="N2060" s="1"/>
      <c r="O2060" s="1"/>
      <c r="P2060" s="1"/>
      <c r="Q2060" s="1"/>
      <c r="R2060" s="1"/>
    </row>
    <row r="2061" spans="2:18">
      <c r="G2061" s="4"/>
      <c r="M2061" s="1"/>
      <c r="N2061" s="1"/>
      <c r="O2061" s="1"/>
      <c r="P2061" s="1"/>
      <c r="Q2061" s="1"/>
      <c r="R2061" s="1"/>
    </row>
    <row r="2062" spans="2:18">
      <c r="B2062" s="1" t="s">
        <v>664</v>
      </c>
      <c r="C2062" s="2" t="s">
        <v>4</v>
      </c>
      <c r="D2062" s="2" t="s">
        <v>663</v>
      </c>
      <c r="E2062" s="3">
        <v>12</v>
      </c>
      <c r="F2062" s="3">
        <v>2</v>
      </c>
      <c r="G2062" s="4">
        <v>44971</v>
      </c>
      <c r="M2062" s="1"/>
      <c r="N2062" s="1"/>
      <c r="O2062" s="1"/>
      <c r="P2062" s="1"/>
      <c r="Q2062" s="1"/>
      <c r="R2062" s="1"/>
    </row>
    <row r="2063" spans="2:18">
      <c r="C2063" s="2" t="s">
        <v>4</v>
      </c>
      <c r="D2063" s="2" t="s">
        <v>663</v>
      </c>
      <c r="E2063" s="3">
        <v>5</v>
      </c>
      <c r="F2063" s="3">
        <v>2</v>
      </c>
      <c r="G2063" s="4">
        <v>44769</v>
      </c>
      <c r="M2063" s="1"/>
      <c r="N2063" s="1"/>
      <c r="O2063" s="1"/>
      <c r="P2063" s="1"/>
      <c r="Q2063" s="1"/>
      <c r="R2063" s="1"/>
    </row>
    <row r="2064" spans="2:18">
      <c r="C2064" s="2" t="s">
        <v>4</v>
      </c>
      <c r="D2064" s="2" t="s">
        <v>662</v>
      </c>
      <c r="E2064" s="3">
        <v>12.3</v>
      </c>
      <c r="F2064" s="3">
        <v>6.3</v>
      </c>
      <c r="G2064" s="4">
        <v>44622</v>
      </c>
      <c r="M2064" s="1"/>
      <c r="N2064" s="1"/>
      <c r="O2064" s="1"/>
      <c r="P2064" s="1"/>
      <c r="Q2064" s="1"/>
      <c r="R2064" s="1"/>
    </row>
    <row r="2065" spans="2:18">
      <c r="C2065" s="2" t="s">
        <v>7</v>
      </c>
      <c r="D2065" s="2" t="s">
        <v>293</v>
      </c>
      <c r="E2065" s="3">
        <v>35</v>
      </c>
      <c r="F2065" s="3">
        <v>10</v>
      </c>
      <c r="G2065" s="4">
        <v>44309</v>
      </c>
      <c r="M2065" s="1"/>
      <c r="N2065" s="1"/>
      <c r="O2065" s="1"/>
      <c r="P2065" s="1"/>
      <c r="Q2065" s="1"/>
      <c r="R2065" s="1"/>
    </row>
    <row r="2066" spans="2:18">
      <c r="G2066" s="4"/>
      <c r="M2066" s="1"/>
      <c r="N2066" s="1"/>
      <c r="O2066" s="1"/>
      <c r="P2066" s="1"/>
      <c r="Q2066" s="1"/>
      <c r="R2066" s="1"/>
    </row>
    <row r="2067" spans="2:18">
      <c r="B2067" s="1" t="s">
        <v>661</v>
      </c>
      <c r="C2067" s="2" t="s">
        <v>4</v>
      </c>
      <c r="D2067" s="2" t="s">
        <v>660</v>
      </c>
      <c r="E2067" s="3">
        <v>8</v>
      </c>
      <c r="F2067" s="3">
        <v>3</v>
      </c>
      <c r="G2067" s="4">
        <v>44677</v>
      </c>
      <c r="M2067" s="1"/>
      <c r="N2067" s="1"/>
      <c r="O2067" s="1"/>
      <c r="P2067" s="1"/>
      <c r="Q2067" s="1"/>
      <c r="R2067" s="1"/>
    </row>
    <row r="2068" spans="2:18">
      <c r="C2068" s="2" t="s">
        <v>5</v>
      </c>
      <c r="D2068" s="2" t="s">
        <v>492</v>
      </c>
      <c r="E2068" s="3">
        <v>13</v>
      </c>
      <c r="F2068" s="3">
        <v>1.4</v>
      </c>
      <c r="G2068" s="4">
        <v>44516</v>
      </c>
      <c r="M2068" s="1"/>
      <c r="N2068" s="1"/>
      <c r="O2068" s="1"/>
      <c r="P2068" s="1"/>
      <c r="Q2068" s="1"/>
      <c r="R2068" s="1"/>
    </row>
    <row r="2069" spans="2:18">
      <c r="C2069" s="2" t="s">
        <v>4</v>
      </c>
      <c r="D2069" s="2" t="s">
        <v>354</v>
      </c>
      <c r="E2069" s="3">
        <v>3.5</v>
      </c>
      <c r="F2069" s="3">
        <f>E2069/10</f>
        <v>0.35</v>
      </c>
      <c r="G2069" s="4">
        <v>43046</v>
      </c>
      <c r="L2069" s="1">
        <v>0</v>
      </c>
      <c r="M2069" s="1"/>
      <c r="N2069" s="1"/>
      <c r="O2069" s="1"/>
      <c r="P2069" s="1"/>
      <c r="Q2069" s="1"/>
      <c r="R2069" s="1"/>
    </row>
    <row r="2070" spans="2:18">
      <c r="C2070" s="2" t="s">
        <v>7</v>
      </c>
      <c r="D2070" s="2" t="s">
        <v>54</v>
      </c>
      <c r="E2070" s="3">
        <v>18</v>
      </c>
      <c r="F2070" s="3">
        <v>6</v>
      </c>
      <c r="G2070" s="4">
        <v>43207</v>
      </c>
      <c r="M2070" s="1"/>
      <c r="N2070" s="1"/>
      <c r="O2070" s="1"/>
      <c r="P2070" s="1"/>
      <c r="Q2070" s="1"/>
      <c r="R2070" s="1"/>
    </row>
    <row r="2071" spans="2:18">
      <c r="G2071" s="4"/>
      <c r="M2071" s="1"/>
      <c r="N2071" s="1"/>
      <c r="O2071" s="1"/>
      <c r="P2071" s="1"/>
      <c r="Q2071" s="1"/>
      <c r="R2071" s="1"/>
    </row>
    <row r="2072" spans="2:18">
      <c r="B2072" s="1" t="s">
        <v>659</v>
      </c>
      <c r="C2072" s="2" t="s">
        <v>5</v>
      </c>
      <c r="D2072" s="2" t="s">
        <v>657</v>
      </c>
      <c r="E2072" s="3">
        <v>13</v>
      </c>
      <c r="F2072" s="3">
        <v>5</v>
      </c>
      <c r="G2072" s="4">
        <v>44642</v>
      </c>
      <c r="M2072" s="1"/>
      <c r="N2072" s="1"/>
      <c r="O2072" s="1"/>
      <c r="P2072" s="1"/>
      <c r="Q2072" s="1"/>
      <c r="R2072" s="1"/>
    </row>
    <row r="2073" spans="2:18">
      <c r="C2073" s="2" t="s">
        <v>4</v>
      </c>
      <c r="D2073" s="2" t="s">
        <v>657</v>
      </c>
      <c r="E2073" s="3">
        <v>3.5</v>
      </c>
      <c r="F2073" s="3">
        <v>1</v>
      </c>
      <c r="G2073" s="4">
        <v>44124</v>
      </c>
      <c r="M2073" s="1"/>
      <c r="N2073" s="1"/>
      <c r="O2073" s="1"/>
      <c r="P2073" s="1"/>
      <c r="Q2073" s="1"/>
      <c r="R2073" s="1"/>
    </row>
    <row r="2074" spans="2:18">
      <c r="G2074" s="4"/>
      <c r="M2074" s="1"/>
      <c r="N2074" s="1"/>
      <c r="O2074" s="1"/>
      <c r="P2074" s="1"/>
      <c r="Q2074" s="1"/>
      <c r="R2074" s="1"/>
    </row>
    <row r="2075" spans="2:18">
      <c r="B2075" s="1" t="s">
        <v>658</v>
      </c>
      <c r="C2075" s="2" t="s">
        <v>5</v>
      </c>
      <c r="D2075" s="2" t="s">
        <v>657</v>
      </c>
      <c r="E2075" s="3">
        <v>13</v>
      </c>
      <c r="F2075" s="3">
        <f>8/4</f>
        <v>2</v>
      </c>
      <c r="G2075" s="4">
        <v>44642</v>
      </c>
      <c r="M2075" s="1"/>
      <c r="N2075" s="1"/>
      <c r="O2075" s="1"/>
      <c r="P2075" s="1"/>
      <c r="Q2075" s="1"/>
      <c r="R2075" s="1"/>
    </row>
    <row r="2076" spans="2:18">
      <c r="C2076" s="2" t="s">
        <v>4</v>
      </c>
      <c r="D2076" s="2" t="s">
        <v>657</v>
      </c>
      <c r="E2076" s="3">
        <v>3.5</v>
      </c>
      <c r="F2076" s="3">
        <v>1.5</v>
      </c>
      <c r="G2076" s="4">
        <v>44124</v>
      </c>
      <c r="M2076" s="1"/>
      <c r="N2076" s="1"/>
      <c r="O2076" s="1"/>
      <c r="P2076" s="1"/>
      <c r="Q2076" s="1"/>
      <c r="R2076" s="1"/>
    </row>
    <row r="2077" spans="2:18">
      <c r="G2077" s="4"/>
      <c r="M2077" s="1"/>
      <c r="N2077" s="1"/>
      <c r="O2077" s="1"/>
      <c r="P2077" s="1"/>
      <c r="Q2077" s="1"/>
      <c r="R2077" s="1"/>
    </row>
    <row r="2078" spans="2:18">
      <c r="G2078" s="4"/>
      <c r="M2078" s="1"/>
      <c r="N2078" s="1"/>
      <c r="O2078" s="1"/>
      <c r="P2078" s="1"/>
      <c r="Q2078" s="1"/>
      <c r="R2078" s="1"/>
    </row>
    <row r="2079" spans="2:18">
      <c r="B2079" s="1" t="s">
        <v>656</v>
      </c>
      <c r="C2079" s="2" t="s">
        <v>5</v>
      </c>
      <c r="D2079" s="2" t="s">
        <v>655</v>
      </c>
      <c r="E2079" s="3">
        <v>12.5</v>
      </c>
      <c r="F2079" s="3">
        <f>E2079/3</f>
        <v>4.166666666666667</v>
      </c>
      <c r="G2079" s="4">
        <v>44825</v>
      </c>
      <c r="M2079" s="1"/>
      <c r="N2079" s="1"/>
      <c r="O2079" s="1"/>
      <c r="P2079" s="1"/>
      <c r="Q2079" s="1"/>
      <c r="R2079" s="1"/>
    </row>
    <row r="2080" spans="2:18">
      <c r="C2080" s="2" t="s">
        <v>5</v>
      </c>
      <c r="D2080" s="2" t="s">
        <v>530</v>
      </c>
      <c r="E2080" s="3">
        <v>7</v>
      </c>
      <c r="F2080" s="3">
        <v>1</v>
      </c>
      <c r="G2080" s="4">
        <v>42885</v>
      </c>
      <c r="M2080" s="1"/>
      <c r="N2080" s="1"/>
      <c r="O2080" s="1"/>
      <c r="P2080" s="1"/>
      <c r="Q2080" s="1"/>
      <c r="R2080" s="1"/>
    </row>
    <row r="2081" spans="2:18">
      <c r="G2081" s="4"/>
      <c r="M2081" s="1"/>
      <c r="N2081" s="1"/>
      <c r="O2081" s="1"/>
      <c r="P2081" s="1"/>
      <c r="Q2081" s="1"/>
      <c r="R2081" s="1"/>
    </row>
    <row r="2082" spans="2:18">
      <c r="G2082" s="4"/>
      <c r="M2082" s="1"/>
      <c r="N2082" s="1"/>
      <c r="O2082" s="1"/>
      <c r="P2082" s="1"/>
      <c r="Q2082" s="1"/>
      <c r="R2082" s="1"/>
    </row>
    <row r="2083" spans="2:18">
      <c r="B2083" s="1" t="s">
        <v>654</v>
      </c>
      <c r="C2083" s="2" t="s">
        <v>5</v>
      </c>
      <c r="D2083" s="2" t="s">
        <v>653</v>
      </c>
      <c r="E2083" s="3">
        <v>12</v>
      </c>
      <c r="F2083" s="3">
        <f>6/3</f>
        <v>2</v>
      </c>
      <c r="G2083" s="4">
        <v>44860</v>
      </c>
      <c r="M2083" s="1"/>
      <c r="N2083" s="1"/>
      <c r="O2083" s="1"/>
      <c r="P2083" s="1"/>
      <c r="Q2083" s="1"/>
      <c r="R2083" s="1"/>
    </row>
    <row r="2084" spans="2:18">
      <c r="C2084" s="2" t="s">
        <v>4</v>
      </c>
      <c r="D2084" s="2" t="s">
        <v>653</v>
      </c>
      <c r="E2084" s="3">
        <v>2.8</v>
      </c>
      <c r="F2084" s="3">
        <v>1.4</v>
      </c>
      <c r="G2084" s="4">
        <v>44215</v>
      </c>
      <c r="M2084" s="1"/>
      <c r="N2084" s="1"/>
      <c r="O2084" s="1"/>
      <c r="P2084" s="1"/>
      <c r="Q2084" s="1"/>
      <c r="R2084" s="1"/>
    </row>
    <row r="2085" spans="2:18">
      <c r="B2085" s="1" t="s">
        <v>652</v>
      </c>
      <c r="C2085" s="2" t="s">
        <v>5</v>
      </c>
      <c r="D2085" s="2" t="s">
        <v>651</v>
      </c>
      <c r="E2085" s="3">
        <v>11</v>
      </c>
      <c r="F2085" s="3">
        <v>4</v>
      </c>
      <c r="G2085" s="4">
        <v>44959</v>
      </c>
      <c r="M2085" s="1"/>
      <c r="N2085" s="1"/>
      <c r="O2085" s="1"/>
      <c r="P2085" s="1"/>
      <c r="Q2085" s="1"/>
      <c r="R2085" s="1"/>
    </row>
    <row r="2086" spans="2:18">
      <c r="C2086" s="2" t="s">
        <v>4</v>
      </c>
      <c r="D2086" s="2" t="s">
        <v>651</v>
      </c>
      <c r="E2086" s="3">
        <v>2.2000000000000002</v>
      </c>
      <c r="F2086" s="3">
        <v>1</v>
      </c>
      <c r="G2086" s="4">
        <v>44959</v>
      </c>
      <c r="M2086" s="1"/>
      <c r="N2086" s="1"/>
      <c r="O2086" s="1"/>
      <c r="P2086" s="1"/>
      <c r="Q2086" s="1"/>
      <c r="R2086" s="1"/>
    </row>
    <row r="2087" spans="2:18">
      <c r="B2087" s="1" t="s">
        <v>650</v>
      </c>
      <c r="C2087" s="2" t="s">
        <v>285</v>
      </c>
      <c r="D2087" s="2" t="s">
        <v>649</v>
      </c>
      <c r="E2087" s="3">
        <v>0.1</v>
      </c>
      <c r="F2087" s="3">
        <v>0.1</v>
      </c>
      <c r="G2087" s="4">
        <v>43499</v>
      </c>
      <c r="M2087" s="1"/>
      <c r="N2087" s="1"/>
      <c r="O2087" s="1"/>
      <c r="P2087" s="1"/>
      <c r="Q2087" s="1"/>
      <c r="R2087" s="1"/>
    </row>
    <row r="2088" spans="2:18">
      <c r="C2088" s="2" t="s">
        <v>285</v>
      </c>
      <c r="D2088" s="2" t="s">
        <v>648</v>
      </c>
      <c r="E2088" s="3">
        <v>0.12</v>
      </c>
      <c r="F2088" s="3">
        <v>0.12</v>
      </c>
      <c r="G2088" s="4">
        <v>44082</v>
      </c>
      <c r="M2088" s="1"/>
      <c r="N2088" s="1"/>
      <c r="O2088" s="1"/>
      <c r="P2088" s="1"/>
      <c r="Q2088" s="1"/>
      <c r="R2088" s="1"/>
    </row>
    <row r="2089" spans="2:18">
      <c r="C2089" s="2" t="s">
        <v>285</v>
      </c>
      <c r="D2089" s="2" t="s">
        <v>348</v>
      </c>
      <c r="G2089" s="4"/>
      <c r="M2089" s="1"/>
      <c r="N2089" s="1"/>
      <c r="O2089" s="1"/>
      <c r="P2089" s="1"/>
      <c r="Q2089" s="1"/>
      <c r="R2089" s="1"/>
    </row>
    <row r="2090" spans="2:18">
      <c r="G2090" s="4"/>
      <c r="M2090" s="1"/>
      <c r="N2090" s="1"/>
      <c r="O2090" s="1"/>
      <c r="P2090" s="1"/>
      <c r="Q2090" s="1"/>
      <c r="R2090" s="1"/>
    </row>
    <row r="2091" spans="2:18">
      <c r="B2091" s="1" t="s">
        <v>647</v>
      </c>
      <c r="C2091" s="2" t="s">
        <v>4</v>
      </c>
      <c r="D2091" s="2" t="s">
        <v>646</v>
      </c>
      <c r="E2091" s="3">
        <v>10.6</v>
      </c>
      <c r="F2091" s="3">
        <v>5.6</v>
      </c>
      <c r="G2091" s="4">
        <v>45007</v>
      </c>
      <c r="M2091" s="1"/>
      <c r="N2091" s="1"/>
      <c r="O2091" s="1"/>
      <c r="P2091" s="1"/>
      <c r="Q2091" s="1"/>
      <c r="R2091" s="1"/>
    </row>
    <row r="2092" spans="2:18">
      <c r="B2092" s="1" t="s">
        <v>645</v>
      </c>
      <c r="C2092" s="2" t="s">
        <v>5</v>
      </c>
      <c r="D2092" s="2" t="s">
        <v>643</v>
      </c>
      <c r="E2092" s="3">
        <v>10.5</v>
      </c>
      <c r="F2092" s="3">
        <v>4</v>
      </c>
      <c r="G2092" s="4">
        <v>44984</v>
      </c>
      <c r="M2092" s="1"/>
      <c r="N2092" s="1"/>
      <c r="O2092" s="1"/>
      <c r="P2092" s="1"/>
      <c r="Q2092" s="1"/>
      <c r="R2092" s="1"/>
    </row>
    <row r="2093" spans="2:18">
      <c r="C2093" s="2" t="s">
        <v>4</v>
      </c>
      <c r="D2093" s="2" t="s">
        <v>643</v>
      </c>
      <c r="E2093" s="3">
        <v>3</v>
      </c>
      <c r="F2093" s="3">
        <v>1</v>
      </c>
      <c r="G2093" s="4">
        <v>44539</v>
      </c>
      <c r="M2093" s="1"/>
      <c r="N2093" s="1"/>
      <c r="O2093" s="1"/>
      <c r="P2093" s="1"/>
      <c r="Q2093" s="1"/>
      <c r="R2093" s="1"/>
    </row>
    <row r="2094" spans="2:18">
      <c r="C2094" s="2" t="s">
        <v>4</v>
      </c>
      <c r="D2094" s="2" t="s">
        <v>643</v>
      </c>
      <c r="E2094" s="3">
        <v>2</v>
      </c>
      <c r="F2094" s="3">
        <v>1</v>
      </c>
      <c r="G2094" s="4">
        <v>44389</v>
      </c>
      <c r="M2094" s="1"/>
      <c r="N2094" s="1"/>
      <c r="O2094" s="1"/>
      <c r="P2094" s="1"/>
      <c r="Q2094" s="1"/>
      <c r="R2094" s="1"/>
    </row>
    <row r="2095" spans="2:18">
      <c r="C2095" s="2" t="s">
        <v>5</v>
      </c>
      <c r="D2095" s="2" t="s">
        <v>551</v>
      </c>
      <c r="E2095" s="3">
        <v>5</v>
      </c>
      <c r="F2095" s="3">
        <v>1</v>
      </c>
      <c r="G2095" s="4">
        <v>44514</v>
      </c>
      <c r="M2095" s="1"/>
      <c r="N2095" s="1"/>
      <c r="O2095" s="1"/>
      <c r="P2095" s="1"/>
      <c r="Q2095" s="1"/>
      <c r="R2095" s="1"/>
    </row>
    <row r="2096" spans="2:18">
      <c r="G2096" s="4"/>
      <c r="M2096" s="1"/>
      <c r="N2096" s="1"/>
      <c r="O2096" s="1"/>
      <c r="P2096" s="1"/>
      <c r="Q2096" s="1"/>
      <c r="R2096" s="1"/>
    </row>
    <row r="2097" spans="2:18">
      <c r="B2097" s="1" t="s">
        <v>644</v>
      </c>
      <c r="C2097" s="2" t="s">
        <v>4</v>
      </c>
      <c r="D2097" s="2" t="s">
        <v>643</v>
      </c>
      <c r="E2097" s="3">
        <v>3</v>
      </c>
      <c r="F2097" s="3">
        <v>1</v>
      </c>
      <c r="G2097" s="4">
        <v>44539</v>
      </c>
      <c r="M2097" s="1"/>
      <c r="N2097" s="1"/>
      <c r="O2097" s="1"/>
      <c r="P2097" s="1"/>
      <c r="Q2097" s="1"/>
      <c r="R2097" s="1"/>
    </row>
    <row r="2098" spans="2:18">
      <c r="B2098" s="1" t="s">
        <v>642</v>
      </c>
      <c r="C2098" s="2" t="s">
        <v>5</v>
      </c>
      <c r="D2098" s="2" t="s">
        <v>641</v>
      </c>
      <c r="E2098" s="3">
        <v>10</v>
      </c>
      <c r="F2098" s="3">
        <v>10</v>
      </c>
      <c r="G2098" s="4">
        <v>44013</v>
      </c>
      <c r="M2098" s="1"/>
      <c r="N2098" s="1"/>
      <c r="O2098" s="1"/>
      <c r="P2098" s="1"/>
      <c r="Q2098" s="1"/>
      <c r="R2098" s="1"/>
    </row>
    <row r="2099" spans="2:18">
      <c r="M2099" s="1"/>
      <c r="N2099" s="1"/>
      <c r="O2099" s="1"/>
      <c r="P2099" s="1"/>
      <c r="Q2099" s="1"/>
      <c r="R2099" s="1"/>
    </row>
    <row r="2100" spans="2:18">
      <c r="G2100" s="4"/>
      <c r="M2100" s="1"/>
      <c r="N2100" s="1"/>
      <c r="O2100" s="1"/>
      <c r="P2100" s="1"/>
      <c r="Q2100" s="1"/>
      <c r="R2100" s="1"/>
    </row>
    <row r="2101" spans="2:18">
      <c r="B2101" s="1" t="s">
        <v>640</v>
      </c>
      <c r="C2101" s="2" t="s">
        <v>5</v>
      </c>
      <c r="D2101" s="2" t="s">
        <v>73</v>
      </c>
      <c r="E2101" s="3">
        <v>10</v>
      </c>
      <c r="F2101" s="3">
        <v>4</v>
      </c>
      <c r="G2101" s="4">
        <v>44825</v>
      </c>
      <c r="M2101" s="1"/>
      <c r="N2101" s="1"/>
      <c r="O2101" s="1"/>
      <c r="P2101" s="1"/>
      <c r="Q2101" s="1"/>
      <c r="R2101" s="1"/>
    </row>
    <row r="2102" spans="2:18">
      <c r="C2102" s="2" t="s">
        <v>4</v>
      </c>
      <c r="D2102" s="2" t="s">
        <v>73</v>
      </c>
      <c r="E2102" s="3">
        <v>1.5</v>
      </c>
      <c r="F2102" s="3">
        <v>1.5</v>
      </c>
      <c r="G2102" s="4">
        <v>44406</v>
      </c>
      <c r="M2102" s="1"/>
      <c r="N2102" s="1"/>
      <c r="O2102" s="1"/>
      <c r="P2102" s="1"/>
      <c r="Q2102" s="1"/>
      <c r="R2102" s="1"/>
    </row>
    <row r="2103" spans="2:18">
      <c r="C2103" s="2" t="s">
        <v>4</v>
      </c>
      <c r="D2103" s="2" t="s">
        <v>149</v>
      </c>
      <c r="E2103" s="3">
        <v>0.7</v>
      </c>
      <c r="F2103" s="3">
        <v>0.7</v>
      </c>
      <c r="G2103" s="4">
        <v>42553</v>
      </c>
      <c r="M2103" s="1"/>
      <c r="N2103" s="1"/>
      <c r="O2103" s="1"/>
      <c r="P2103" s="1"/>
      <c r="Q2103" s="1"/>
      <c r="R2103" s="1"/>
    </row>
    <row r="2104" spans="2:18">
      <c r="G2104" s="4"/>
      <c r="M2104" s="1"/>
      <c r="N2104" s="1"/>
      <c r="O2104" s="1"/>
      <c r="P2104" s="1"/>
      <c r="Q2104" s="1"/>
      <c r="R2104" s="1"/>
    </row>
    <row r="2105" spans="2:18">
      <c r="B2105" s="1" t="s">
        <v>638</v>
      </c>
      <c r="C2105" s="2" t="s">
        <v>5</v>
      </c>
      <c r="D2105" s="2" t="s">
        <v>635</v>
      </c>
      <c r="E2105" s="3">
        <v>10</v>
      </c>
      <c r="F2105" s="3">
        <v>2</v>
      </c>
      <c r="G2105" s="4">
        <v>44930</v>
      </c>
      <c r="M2105" s="1"/>
      <c r="N2105" s="1"/>
      <c r="O2105" s="1"/>
      <c r="P2105" s="1"/>
      <c r="Q2105" s="1"/>
      <c r="R2105" s="1"/>
    </row>
    <row r="2106" spans="2:18">
      <c r="B2106" s="1" t="s">
        <v>637</v>
      </c>
      <c r="C2106" s="2" t="s">
        <v>5</v>
      </c>
      <c r="D2106" s="2" t="s">
        <v>635</v>
      </c>
      <c r="E2106" s="3">
        <v>10</v>
      </c>
      <c r="F2106" s="3">
        <v>2</v>
      </c>
      <c r="G2106" s="4">
        <v>44930</v>
      </c>
      <c r="M2106" s="1"/>
      <c r="N2106" s="1"/>
      <c r="O2106" s="1"/>
      <c r="P2106" s="1"/>
      <c r="Q2106" s="1"/>
      <c r="R2106" s="1"/>
    </row>
    <row r="2107" spans="2:18">
      <c r="B2107" s="1" t="s">
        <v>636</v>
      </c>
      <c r="C2107" s="2" t="s">
        <v>5</v>
      </c>
      <c r="D2107" s="2" t="s">
        <v>635</v>
      </c>
      <c r="E2107" s="3">
        <v>10</v>
      </c>
      <c r="F2107" s="3">
        <v>2</v>
      </c>
      <c r="G2107" s="4">
        <v>44930</v>
      </c>
      <c r="M2107" s="1"/>
      <c r="N2107" s="1"/>
      <c r="O2107" s="1"/>
      <c r="P2107" s="1"/>
      <c r="Q2107" s="1"/>
      <c r="R2107" s="1"/>
    </row>
    <row r="2108" spans="2:18">
      <c r="G2108" s="4"/>
      <c r="M2108" s="1"/>
      <c r="N2108" s="1"/>
      <c r="O2108" s="1"/>
      <c r="P2108" s="1"/>
      <c r="Q2108" s="1"/>
      <c r="R2108" s="1"/>
    </row>
    <row r="2109" spans="2:18">
      <c r="B2109" s="1" t="s">
        <v>634</v>
      </c>
      <c r="C2109" s="2" t="s">
        <v>18</v>
      </c>
      <c r="D2109" s="2" t="s">
        <v>633</v>
      </c>
      <c r="E2109" s="3">
        <v>169</v>
      </c>
      <c r="F2109" s="3">
        <v>169</v>
      </c>
      <c r="G2109" s="4">
        <v>44727</v>
      </c>
      <c r="M2109" s="1"/>
      <c r="N2109" s="1"/>
      <c r="O2109" s="1"/>
      <c r="P2109" s="1"/>
      <c r="Q2109" s="1"/>
      <c r="R2109" s="1"/>
    </row>
    <row r="2110" spans="2:18">
      <c r="C2110" s="2" t="s">
        <v>18</v>
      </c>
      <c r="D2110" s="2" t="s">
        <v>422</v>
      </c>
      <c r="E2110" s="3">
        <v>65</v>
      </c>
      <c r="F2110" s="3">
        <v>32.5</v>
      </c>
      <c r="G2110" s="4">
        <v>43789</v>
      </c>
      <c r="M2110" s="1"/>
      <c r="N2110" s="1"/>
      <c r="O2110" s="1"/>
      <c r="P2110" s="1"/>
      <c r="Q2110" s="1"/>
      <c r="R2110" s="1"/>
    </row>
    <row r="2111" spans="2:18">
      <c r="G2111" s="4"/>
      <c r="M2111" s="1"/>
      <c r="N2111" s="1"/>
      <c r="O2111" s="1"/>
      <c r="P2111" s="1"/>
      <c r="Q2111" s="1"/>
      <c r="R2111" s="1"/>
    </row>
    <row r="2112" spans="2:18">
      <c r="B2112" s="1" t="s">
        <v>632</v>
      </c>
      <c r="C2112" s="2" t="s">
        <v>285</v>
      </c>
      <c r="D2112" s="2" t="s">
        <v>631</v>
      </c>
      <c r="E2112" s="3">
        <v>0.5</v>
      </c>
      <c r="F2112" s="3">
        <v>0.5</v>
      </c>
      <c r="G2112" s="4">
        <v>45021</v>
      </c>
      <c r="M2112" s="1"/>
      <c r="N2112" s="1"/>
      <c r="O2112" s="1"/>
      <c r="P2112" s="1"/>
      <c r="Q2112" s="1"/>
      <c r="R2112" s="1"/>
    </row>
    <row r="2113" spans="2:18">
      <c r="C2113" s="2" t="s">
        <v>285</v>
      </c>
      <c r="D2113" s="2" t="s">
        <v>348</v>
      </c>
      <c r="E2113" s="3">
        <v>0.75</v>
      </c>
      <c r="F2113" s="3">
        <f>E2113/3</f>
        <v>0.25</v>
      </c>
      <c r="G2113" s="4">
        <v>44043</v>
      </c>
      <c r="M2113" s="1"/>
      <c r="N2113" s="1"/>
      <c r="O2113" s="1"/>
      <c r="P2113" s="1"/>
      <c r="Q2113" s="1"/>
      <c r="R2113" s="1"/>
    </row>
    <row r="2114" spans="2:18">
      <c r="G2114" s="4"/>
      <c r="M2114" s="1"/>
      <c r="N2114" s="1"/>
      <c r="O2114" s="1"/>
      <c r="P2114" s="1"/>
      <c r="Q2114" s="1"/>
      <c r="R2114" s="1"/>
    </row>
    <row r="2115" spans="2:18">
      <c r="B2115" s="1" t="s">
        <v>630</v>
      </c>
      <c r="C2115" s="2" t="s">
        <v>9</v>
      </c>
      <c r="D2115" s="2" t="s">
        <v>617</v>
      </c>
      <c r="E2115" s="3">
        <v>132</v>
      </c>
      <c r="F2115" s="3">
        <v>20</v>
      </c>
      <c r="G2115" s="4">
        <v>44215</v>
      </c>
      <c r="M2115" s="1"/>
      <c r="N2115" s="1"/>
      <c r="O2115" s="1"/>
      <c r="P2115" s="1"/>
      <c r="Q2115" s="1"/>
      <c r="R2115" s="1"/>
    </row>
    <row r="2116" spans="2:18">
      <c r="C2116" s="2" t="s">
        <v>8</v>
      </c>
      <c r="D2116" s="2" t="s">
        <v>617</v>
      </c>
      <c r="E2116" s="3">
        <v>42</v>
      </c>
      <c r="F2116" s="3">
        <v>12</v>
      </c>
      <c r="G2116" s="4">
        <v>44153</v>
      </c>
      <c r="M2116" s="1"/>
      <c r="N2116" s="1"/>
      <c r="O2116" s="1"/>
      <c r="P2116" s="1"/>
      <c r="Q2116" s="1"/>
      <c r="R2116" s="1"/>
    </row>
    <row r="2117" spans="2:18">
      <c r="C2117" s="2" t="s">
        <v>7</v>
      </c>
      <c r="D2117" s="2" t="s">
        <v>325</v>
      </c>
      <c r="E2117" s="3">
        <v>55</v>
      </c>
      <c r="F2117" s="3">
        <f>30/6</f>
        <v>5</v>
      </c>
      <c r="G2117" s="4">
        <v>44200</v>
      </c>
      <c r="M2117" s="1"/>
      <c r="N2117" s="1"/>
      <c r="O2117" s="1"/>
      <c r="P2117" s="1"/>
      <c r="Q2117" s="1"/>
      <c r="R2117" s="1"/>
    </row>
    <row r="2118" spans="2:18">
      <c r="C2118" s="2" t="s">
        <v>18</v>
      </c>
      <c r="D2118" s="2" t="s">
        <v>325</v>
      </c>
      <c r="E2118" s="3">
        <v>91</v>
      </c>
      <c r="F2118" s="3">
        <v>8.75</v>
      </c>
      <c r="G2118" s="4">
        <v>44867</v>
      </c>
      <c r="M2118" s="1"/>
      <c r="N2118" s="1"/>
      <c r="O2118" s="1"/>
      <c r="P2118" s="1"/>
      <c r="Q2118" s="1"/>
      <c r="R2118" s="1"/>
    </row>
    <row r="2119" spans="2:18">
      <c r="C2119" s="2" t="s">
        <v>55</v>
      </c>
      <c r="D2119" s="2" t="s">
        <v>181</v>
      </c>
      <c r="E2119" s="3">
        <v>475</v>
      </c>
      <c r="F2119" s="3">
        <f>E2119/12</f>
        <v>39.583333333333336</v>
      </c>
      <c r="G2119" s="4">
        <v>44278</v>
      </c>
      <c r="M2119" s="1"/>
      <c r="N2119" s="1"/>
      <c r="O2119" s="1"/>
      <c r="P2119" s="1"/>
      <c r="Q2119" s="1"/>
      <c r="R2119" s="1"/>
    </row>
    <row r="2120" spans="2:18">
      <c r="G2120" s="4"/>
      <c r="M2120" s="1"/>
      <c r="N2120" s="1"/>
      <c r="O2120" s="1"/>
      <c r="P2120" s="1"/>
      <c r="Q2120" s="1"/>
      <c r="R2120" s="1"/>
    </row>
    <row r="2121" spans="2:18">
      <c r="B2121" s="1" t="s">
        <v>629</v>
      </c>
      <c r="C2121" s="2" t="s">
        <v>9</v>
      </c>
      <c r="D2121" s="2" t="s">
        <v>617</v>
      </c>
      <c r="E2121" s="3">
        <v>132</v>
      </c>
      <c r="F2121" s="3">
        <v>20</v>
      </c>
      <c r="G2121" s="4">
        <v>44215</v>
      </c>
      <c r="M2121" s="1"/>
      <c r="N2121" s="1"/>
      <c r="O2121" s="1"/>
      <c r="P2121" s="1"/>
      <c r="Q2121" s="1"/>
      <c r="R2121" s="1"/>
    </row>
    <row r="2122" spans="2:18">
      <c r="C2122" s="2" t="s">
        <v>8</v>
      </c>
      <c r="D2122" s="2" t="s">
        <v>617</v>
      </c>
      <c r="E2122" s="3">
        <v>42</v>
      </c>
      <c r="F2122" s="3">
        <f>30/5</f>
        <v>6</v>
      </c>
      <c r="G2122" s="4">
        <v>44153</v>
      </c>
      <c r="M2122" s="1"/>
      <c r="N2122" s="1"/>
      <c r="O2122" s="1"/>
      <c r="P2122" s="1"/>
      <c r="Q2122" s="1"/>
      <c r="R2122" s="1"/>
    </row>
    <row r="2123" spans="2:18">
      <c r="B2123" s="1" t="s">
        <v>628</v>
      </c>
      <c r="C2123" s="2" t="s">
        <v>9</v>
      </c>
      <c r="D2123" s="2" t="s">
        <v>617</v>
      </c>
      <c r="E2123" s="3">
        <v>132</v>
      </c>
      <c r="F2123" s="3">
        <f>72/10</f>
        <v>7.2</v>
      </c>
      <c r="G2123" s="4">
        <v>44215</v>
      </c>
      <c r="M2123" s="1"/>
      <c r="N2123" s="1"/>
      <c r="O2123" s="1"/>
      <c r="P2123" s="1"/>
      <c r="Q2123" s="1"/>
      <c r="R2123" s="1"/>
    </row>
    <row r="2124" spans="2:18">
      <c r="C2124" s="2" t="s">
        <v>18</v>
      </c>
      <c r="D2124" s="2" t="s">
        <v>617</v>
      </c>
      <c r="E2124" s="3">
        <v>48</v>
      </c>
      <c r="F2124" s="3">
        <f>28/7</f>
        <v>4</v>
      </c>
      <c r="G2124" s="4">
        <v>43888</v>
      </c>
      <c r="M2124" s="1"/>
      <c r="N2124" s="1"/>
      <c r="O2124" s="1"/>
      <c r="P2124" s="1"/>
      <c r="Q2124" s="1"/>
      <c r="R2124" s="1"/>
    </row>
    <row r="2125" spans="2:18">
      <c r="C2125" s="2" t="s">
        <v>7</v>
      </c>
      <c r="D2125" s="2" t="s">
        <v>617</v>
      </c>
      <c r="E2125" s="3">
        <v>25</v>
      </c>
      <c r="F2125" s="3">
        <f>10/5</f>
        <v>2</v>
      </c>
      <c r="G2125" s="4">
        <v>43440</v>
      </c>
      <c r="M2125" s="1"/>
      <c r="N2125" s="1"/>
      <c r="O2125" s="1"/>
      <c r="P2125" s="1"/>
      <c r="Q2125" s="1"/>
      <c r="R2125" s="1"/>
    </row>
    <row r="2126" spans="2:18">
      <c r="C2126" s="2" t="s">
        <v>5</v>
      </c>
      <c r="D2126" s="2" t="s">
        <v>617</v>
      </c>
      <c r="E2126" s="3">
        <v>5.8</v>
      </c>
      <c r="F2126" s="3">
        <f>E2126/4</f>
        <v>1.45</v>
      </c>
      <c r="G2126" s="4">
        <v>43117</v>
      </c>
      <c r="M2126" s="1"/>
      <c r="N2126" s="1"/>
      <c r="O2126" s="1"/>
      <c r="P2126" s="1"/>
      <c r="Q2126" s="1"/>
      <c r="R2126" s="1"/>
    </row>
    <row r="2127" spans="2:18">
      <c r="C2127" s="2" t="s">
        <v>4</v>
      </c>
      <c r="D2127" s="2" t="s">
        <v>617</v>
      </c>
      <c r="E2127" s="3">
        <v>3.3</v>
      </c>
      <c r="F2127" s="3">
        <v>0.5</v>
      </c>
      <c r="G2127" s="4">
        <v>42678</v>
      </c>
      <c r="M2127" s="1"/>
      <c r="N2127" s="1"/>
      <c r="O2127" s="1"/>
      <c r="P2127" s="1"/>
      <c r="Q2127" s="1"/>
      <c r="R2127" s="1"/>
    </row>
    <row r="2128" spans="2:18">
      <c r="B2128" s="1" t="s">
        <v>627</v>
      </c>
      <c r="C2128" s="2" t="s">
        <v>9</v>
      </c>
      <c r="D2128" s="2" t="s">
        <v>617</v>
      </c>
      <c r="E2128" s="3">
        <v>132</v>
      </c>
      <c r="F2128" s="3">
        <f>72/10</f>
        <v>7.2</v>
      </c>
      <c r="G2128" s="4">
        <v>44215</v>
      </c>
      <c r="M2128" s="1"/>
      <c r="N2128" s="1"/>
      <c r="O2128" s="1"/>
      <c r="P2128" s="1"/>
      <c r="Q2128" s="1"/>
      <c r="R2128" s="1"/>
    </row>
    <row r="2129" spans="2:18">
      <c r="C2129" s="2" t="s">
        <v>8</v>
      </c>
      <c r="D2129" s="2" t="s">
        <v>617</v>
      </c>
      <c r="E2129" s="3">
        <v>42</v>
      </c>
      <c r="F2129" s="3">
        <f>30/5</f>
        <v>6</v>
      </c>
      <c r="G2129" s="4">
        <v>44153</v>
      </c>
      <c r="M2129" s="1"/>
      <c r="N2129" s="1"/>
      <c r="O2129" s="1"/>
      <c r="P2129" s="1"/>
      <c r="Q2129" s="1"/>
      <c r="R2129" s="1"/>
    </row>
    <row r="2130" spans="2:18">
      <c r="C2130" s="2" t="s">
        <v>18</v>
      </c>
      <c r="D2130" s="2" t="s">
        <v>617</v>
      </c>
      <c r="E2130" s="3">
        <v>48</v>
      </c>
      <c r="F2130" s="3">
        <f>28/7</f>
        <v>4</v>
      </c>
      <c r="G2130" s="4">
        <v>43888</v>
      </c>
      <c r="M2130" s="1"/>
      <c r="N2130" s="1"/>
      <c r="O2130" s="1"/>
      <c r="P2130" s="1"/>
      <c r="Q2130" s="1"/>
      <c r="R2130" s="1"/>
    </row>
    <row r="2131" spans="2:18">
      <c r="C2131" s="2" t="s">
        <v>7</v>
      </c>
      <c r="D2131" s="2" t="s">
        <v>617</v>
      </c>
      <c r="E2131" s="3">
        <v>25</v>
      </c>
      <c r="F2131" s="3">
        <f>10/5</f>
        <v>2</v>
      </c>
      <c r="G2131" s="4">
        <v>43440</v>
      </c>
      <c r="M2131" s="1"/>
      <c r="N2131" s="1"/>
      <c r="O2131" s="1"/>
      <c r="P2131" s="1"/>
      <c r="Q2131" s="1"/>
      <c r="R2131" s="1"/>
    </row>
    <row r="2132" spans="2:18">
      <c r="B2132" s="1" t="s">
        <v>626</v>
      </c>
      <c r="C2132" s="2" t="s">
        <v>9</v>
      </c>
      <c r="D2132" s="2" t="s">
        <v>617</v>
      </c>
      <c r="E2132" s="3">
        <v>132</v>
      </c>
      <c r="F2132" s="3">
        <f>72/10</f>
        <v>7.2</v>
      </c>
      <c r="G2132" s="4">
        <v>44215</v>
      </c>
      <c r="M2132" s="1"/>
      <c r="N2132" s="1"/>
      <c r="O2132" s="1"/>
      <c r="P2132" s="1"/>
      <c r="Q2132" s="1"/>
      <c r="R2132" s="1"/>
    </row>
    <row r="2133" spans="2:18">
      <c r="C2133" s="2" t="s">
        <v>8</v>
      </c>
      <c r="D2133" s="2" t="s">
        <v>617</v>
      </c>
      <c r="E2133" s="3">
        <v>42</v>
      </c>
      <c r="F2133" s="3">
        <f>30/5</f>
        <v>6</v>
      </c>
      <c r="G2133" s="4">
        <v>44153</v>
      </c>
      <c r="M2133" s="1"/>
      <c r="N2133" s="1"/>
      <c r="O2133" s="1"/>
      <c r="P2133" s="1"/>
      <c r="Q2133" s="1"/>
      <c r="R2133" s="1"/>
    </row>
    <row r="2134" spans="2:18">
      <c r="B2134" s="1" t="s">
        <v>625</v>
      </c>
      <c r="C2134" s="2" t="s">
        <v>9</v>
      </c>
      <c r="D2134" s="2" t="s">
        <v>617</v>
      </c>
      <c r="E2134" s="3">
        <v>132</v>
      </c>
      <c r="F2134" s="3">
        <f>72/10</f>
        <v>7.2</v>
      </c>
      <c r="G2134" s="4">
        <v>44215</v>
      </c>
      <c r="M2134" s="1"/>
      <c r="N2134" s="1"/>
      <c r="O2134" s="1"/>
      <c r="P2134" s="1"/>
      <c r="Q2134" s="1"/>
      <c r="R2134" s="1"/>
    </row>
    <row r="2135" spans="2:18">
      <c r="B2135" s="1" t="s">
        <v>624</v>
      </c>
      <c r="C2135" s="2" t="s">
        <v>9</v>
      </c>
      <c r="D2135" s="2" t="s">
        <v>617</v>
      </c>
      <c r="E2135" s="3">
        <v>132</v>
      </c>
      <c r="F2135" s="3">
        <f>72/10</f>
        <v>7.2</v>
      </c>
      <c r="G2135" s="4">
        <v>44215</v>
      </c>
      <c r="M2135" s="1"/>
      <c r="N2135" s="1"/>
      <c r="O2135" s="1"/>
      <c r="P2135" s="1"/>
      <c r="Q2135" s="1"/>
      <c r="R2135" s="1"/>
    </row>
    <row r="2136" spans="2:18">
      <c r="B2136" s="1" t="s">
        <v>623</v>
      </c>
      <c r="C2136" s="2" t="s">
        <v>9</v>
      </c>
      <c r="D2136" s="2" t="s">
        <v>617</v>
      </c>
      <c r="E2136" s="3">
        <v>132</v>
      </c>
      <c r="F2136" s="3">
        <f>72/10</f>
        <v>7.2</v>
      </c>
      <c r="G2136" s="4">
        <v>44215</v>
      </c>
      <c r="M2136" s="1"/>
      <c r="N2136" s="1"/>
      <c r="O2136" s="1"/>
      <c r="P2136" s="1"/>
      <c r="Q2136" s="1"/>
      <c r="R2136" s="1"/>
    </row>
    <row r="2137" spans="2:18">
      <c r="G2137" s="4"/>
      <c r="M2137" s="1"/>
      <c r="N2137" s="1"/>
      <c r="O2137" s="1"/>
      <c r="P2137" s="1"/>
      <c r="Q2137" s="1"/>
      <c r="R2137" s="1"/>
    </row>
    <row r="2138" spans="2:18">
      <c r="B2138" s="1" t="s">
        <v>622</v>
      </c>
      <c r="C2138" s="2" t="s">
        <v>9</v>
      </c>
      <c r="D2138" s="2" t="s">
        <v>617</v>
      </c>
      <c r="E2138" s="3">
        <v>132</v>
      </c>
      <c r="F2138" s="3">
        <f>72/10</f>
        <v>7.2</v>
      </c>
      <c r="G2138" s="4">
        <v>44215</v>
      </c>
      <c r="M2138" s="1"/>
      <c r="N2138" s="1"/>
      <c r="O2138" s="1"/>
      <c r="P2138" s="1"/>
      <c r="Q2138" s="1"/>
      <c r="R2138" s="1"/>
    </row>
    <row r="2139" spans="2:18">
      <c r="C2139" s="2" t="s">
        <v>18</v>
      </c>
      <c r="D2139" s="2" t="s">
        <v>617</v>
      </c>
      <c r="E2139" s="3">
        <v>48</v>
      </c>
      <c r="F2139" s="3">
        <v>4</v>
      </c>
      <c r="G2139" s="4">
        <v>43888</v>
      </c>
      <c r="M2139" s="1"/>
      <c r="N2139" s="1"/>
      <c r="O2139" s="1"/>
      <c r="P2139" s="1"/>
      <c r="Q2139" s="1"/>
      <c r="R2139" s="1"/>
    </row>
    <row r="2140" spans="2:18">
      <c r="C2140" s="2" t="s">
        <v>7</v>
      </c>
      <c r="D2140" s="2" t="s">
        <v>617</v>
      </c>
      <c r="E2140" s="3">
        <v>25</v>
      </c>
      <c r="F2140" s="3">
        <v>5</v>
      </c>
      <c r="G2140" s="4">
        <v>43440</v>
      </c>
      <c r="M2140" s="1"/>
      <c r="N2140" s="1"/>
      <c r="O2140" s="1"/>
      <c r="P2140" s="1"/>
      <c r="Q2140" s="1"/>
      <c r="R2140" s="1"/>
    </row>
    <row r="2141" spans="2:18">
      <c r="C2141" s="2" t="s">
        <v>5</v>
      </c>
      <c r="D2141" s="2" t="s">
        <v>265</v>
      </c>
      <c r="E2141" s="3">
        <v>3.5</v>
      </c>
      <c r="F2141" s="3">
        <f>+E2141/9</f>
        <v>0.3888888888888889</v>
      </c>
      <c r="G2141" s="4">
        <v>42979</v>
      </c>
      <c r="M2141" s="1"/>
      <c r="N2141" s="1"/>
      <c r="O2141" s="1"/>
      <c r="P2141" s="1"/>
      <c r="Q2141" s="1"/>
      <c r="R2141" s="1"/>
    </row>
    <row r="2142" spans="2:18">
      <c r="C2142" s="2" t="s">
        <v>8</v>
      </c>
      <c r="D2142" s="2" t="s">
        <v>181</v>
      </c>
      <c r="E2142" s="3">
        <v>130</v>
      </c>
      <c r="F2142" s="3">
        <v>12</v>
      </c>
      <c r="G2142" s="4">
        <v>42080</v>
      </c>
      <c r="M2142" s="1"/>
      <c r="N2142" s="1"/>
      <c r="O2142" s="1"/>
      <c r="P2142" s="1"/>
      <c r="Q2142" s="1"/>
      <c r="R2142" s="1"/>
    </row>
    <row r="2143" spans="2:18">
      <c r="C2143" s="2" t="s">
        <v>5</v>
      </c>
      <c r="D2143" s="2" t="s">
        <v>181</v>
      </c>
      <c r="E2143" s="3">
        <v>1.1000000000000001</v>
      </c>
      <c r="F2143" s="3">
        <v>1.1000000000000001</v>
      </c>
      <c r="G2143" s="4">
        <v>40750</v>
      </c>
      <c r="M2143" s="1"/>
      <c r="N2143" s="1"/>
      <c r="O2143" s="1"/>
      <c r="P2143" s="1"/>
      <c r="Q2143" s="1"/>
      <c r="R2143" s="1"/>
    </row>
    <row r="2144" spans="2:18">
      <c r="G2144" s="4"/>
      <c r="M2144" s="1"/>
      <c r="N2144" s="1"/>
      <c r="O2144" s="1"/>
      <c r="P2144" s="1"/>
      <c r="Q2144" s="1"/>
      <c r="R2144" s="1"/>
    </row>
    <row r="2145" spans="2:18">
      <c r="B2145" s="1" t="s">
        <v>621</v>
      </c>
      <c r="C2145" s="2" t="s">
        <v>9</v>
      </c>
      <c r="D2145" s="2" t="s">
        <v>617</v>
      </c>
      <c r="E2145" s="3">
        <v>132</v>
      </c>
      <c r="F2145" s="3">
        <f>72/10</f>
        <v>7.2</v>
      </c>
      <c r="G2145" s="4">
        <v>44215</v>
      </c>
      <c r="M2145" s="1"/>
      <c r="N2145" s="1"/>
      <c r="O2145" s="1"/>
      <c r="P2145" s="1"/>
      <c r="Q2145" s="1"/>
      <c r="R2145" s="1"/>
    </row>
    <row r="2146" spans="2:18">
      <c r="G2146" s="4"/>
      <c r="M2146" s="1"/>
      <c r="N2146" s="1"/>
      <c r="O2146" s="1"/>
      <c r="P2146" s="1"/>
      <c r="Q2146" s="1"/>
      <c r="R2146" s="1"/>
    </row>
    <row r="2147" spans="2:18">
      <c r="B2147" s="1" t="s">
        <v>620</v>
      </c>
      <c r="C2147" s="2" t="s">
        <v>9</v>
      </c>
      <c r="D2147" s="2" t="s">
        <v>617</v>
      </c>
      <c r="E2147" s="3">
        <v>132</v>
      </c>
      <c r="F2147" s="3">
        <f>72/10</f>
        <v>7.2</v>
      </c>
      <c r="G2147" s="4">
        <v>44215</v>
      </c>
      <c r="M2147" s="1"/>
      <c r="N2147" s="1"/>
      <c r="O2147" s="1"/>
      <c r="P2147" s="1"/>
      <c r="Q2147" s="1"/>
      <c r="R2147" s="1"/>
    </row>
    <row r="2148" spans="2:18">
      <c r="C2148" s="2" t="s">
        <v>8</v>
      </c>
      <c r="D2148" s="2" t="s">
        <v>617</v>
      </c>
      <c r="E2148" s="3">
        <v>42</v>
      </c>
      <c r="F2148" s="3">
        <f>30/5</f>
        <v>6</v>
      </c>
      <c r="G2148" s="4">
        <v>44153</v>
      </c>
      <c r="M2148" s="1"/>
      <c r="N2148" s="1"/>
      <c r="O2148" s="1"/>
      <c r="P2148" s="1"/>
      <c r="Q2148" s="1"/>
      <c r="R2148" s="1"/>
    </row>
    <row r="2149" spans="2:18">
      <c r="C2149" s="2" t="s">
        <v>18</v>
      </c>
      <c r="D2149" s="2" t="s">
        <v>617</v>
      </c>
      <c r="E2149" s="3">
        <v>48</v>
      </c>
      <c r="F2149" s="3">
        <v>10</v>
      </c>
      <c r="G2149" s="4">
        <v>43888</v>
      </c>
      <c r="M2149" s="1"/>
      <c r="N2149" s="1"/>
      <c r="O2149" s="1"/>
      <c r="P2149" s="1"/>
      <c r="Q2149" s="1"/>
      <c r="R2149" s="1"/>
    </row>
    <row r="2150" spans="2:18">
      <c r="C2150" s="2" t="s">
        <v>7</v>
      </c>
      <c r="D2150" s="2" t="s">
        <v>617</v>
      </c>
      <c r="E2150" s="3">
        <v>25</v>
      </c>
      <c r="F2150" s="3">
        <v>5</v>
      </c>
      <c r="G2150" s="4">
        <v>43440</v>
      </c>
      <c r="M2150" s="1"/>
      <c r="N2150" s="1"/>
      <c r="O2150" s="1"/>
      <c r="P2150" s="1"/>
      <c r="Q2150" s="1"/>
      <c r="R2150" s="1"/>
    </row>
    <row r="2151" spans="2:18">
      <c r="G2151" s="4"/>
      <c r="M2151" s="1"/>
      <c r="N2151" s="1"/>
      <c r="O2151" s="1"/>
      <c r="P2151" s="1"/>
      <c r="Q2151" s="1"/>
      <c r="R2151" s="1"/>
    </row>
    <row r="2152" spans="2:18">
      <c r="B2152" s="1" t="s">
        <v>619</v>
      </c>
      <c r="C2152" s="2" t="s">
        <v>18</v>
      </c>
      <c r="D2152" s="2" t="s">
        <v>617</v>
      </c>
      <c r="E2152" s="3">
        <v>48</v>
      </c>
      <c r="F2152" s="3">
        <v>4</v>
      </c>
      <c r="G2152" s="4">
        <v>43888</v>
      </c>
      <c r="M2152" s="1"/>
      <c r="N2152" s="1"/>
      <c r="O2152" s="1"/>
      <c r="P2152" s="1"/>
      <c r="Q2152" s="1"/>
      <c r="R2152" s="1"/>
    </row>
    <row r="2153" spans="2:18">
      <c r="C2153" s="2" t="s">
        <v>18</v>
      </c>
      <c r="D2153" s="2" t="s">
        <v>617</v>
      </c>
      <c r="E2153" s="3">
        <v>12</v>
      </c>
      <c r="F2153" s="3">
        <v>12</v>
      </c>
      <c r="G2153" s="4">
        <v>43648</v>
      </c>
      <c r="M2153" s="1"/>
      <c r="N2153" s="1"/>
      <c r="O2153" s="1"/>
      <c r="P2153" s="1"/>
      <c r="Q2153" s="1"/>
      <c r="R2153" s="1"/>
    </row>
    <row r="2154" spans="2:18">
      <c r="B2154" s="1" t="s">
        <v>618</v>
      </c>
      <c r="C2154" s="2" t="s">
        <v>18</v>
      </c>
      <c r="D2154" s="2" t="s">
        <v>617</v>
      </c>
      <c r="E2154" s="3">
        <v>48</v>
      </c>
      <c r="F2154" s="3">
        <v>4</v>
      </c>
      <c r="G2154" s="4">
        <v>43888</v>
      </c>
      <c r="M2154" s="1"/>
      <c r="N2154" s="1"/>
      <c r="O2154" s="1"/>
      <c r="P2154" s="1"/>
      <c r="Q2154" s="1"/>
      <c r="R2154" s="1"/>
    </row>
    <row r="2155" spans="2:18">
      <c r="G2155" s="4"/>
      <c r="M2155" s="1"/>
      <c r="N2155" s="1"/>
      <c r="O2155" s="1"/>
      <c r="P2155" s="1"/>
      <c r="Q2155" s="1"/>
      <c r="R2155" s="1"/>
    </row>
    <row r="2156" spans="2:18">
      <c r="B2156" s="1" t="s">
        <v>616</v>
      </c>
      <c r="C2156" s="2" t="s">
        <v>18</v>
      </c>
      <c r="D2156" s="2" t="s">
        <v>610</v>
      </c>
      <c r="E2156" s="3">
        <v>125</v>
      </c>
      <c r="F2156" s="3">
        <f>75/8</f>
        <v>9.375</v>
      </c>
      <c r="G2156" s="4">
        <v>44663</v>
      </c>
      <c r="M2156" s="1"/>
      <c r="N2156" s="1"/>
      <c r="O2156" s="1"/>
      <c r="P2156" s="1"/>
      <c r="Q2156" s="1"/>
      <c r="R2156" s="1"/>
    </row>
    <row r="2157" spans="2:18">
      <c r="C2157" s="2" t="s">
        <v>5</v>
      </c>
      <c r="D2157" s="2" t="s">
        <v>610</v>
      </c>
      <c r="E2157" s="3">
        <v>26</v>
      </c>
      <c r="F2157" s="3">
        <f>16/4</f>
        <v>4</v>
      </c>
      <c r="G2157" s="4">
        <v>43809</v>
      </c>
      <c r="M2157" s="1"/>
      <c r="N2157" s="1"/>
      <c r="O2157" s="1"/>
      <c r="P2157" s="1"/>
      <c r="Q2157" s="1"/>
      <c r="R2157" s="1"/>
    </row>
    <row r="2158" spans="2:18">
      <c r="G2158" s="4"/>
      <c r="M2158" s="1"/>
      <c r="N2158" s="1"/>
      <c r="O2158" s="1"/>
      <c r="P2158" s="1"/>
      <c r="Q2158" s="1"/>
      <c r="R2158" s="1"/>
    </row>
    <row r="2159" spans="2:18">
      <c r="B2159" s="1" t="s">
        <v>615</v>
      </c>
      <c r="C2159" s="2" t="s">
        <v>18</v>
      </c>
      <c r="D2159" s="2" t="s">
        <v>610</v>
      </c>
      <c r="E2159" s="3">
        <v>125</v>
      </c>
      <c r="F2159" s="3">
        <f>75/8</f>
        <v>9.375</v>
      </c>
      <c r="G2159" s="4">
        <v>44663</v>
      </c>
      <c r="M2159" s="1"/>
      <c r="N2159" s="1"/>
      <c r="O2159" s="1"/>
      <c r="P2159" s="1"/>
      <c r="Q2159" s="1"/>
      <c r="R2159" s="1"/>
    </row>
    <row r="2160" spans="2:18">
      <c r="C2160" s="2" t="s">
        <v>7</v>
      </c>
      <c r="D2160" s="2" t="s">
        <v>610</v>
      </c>
      <c r="E2160" s="3">
        <v>54</v>
      </c>
      <c r="F2160" s="3">
        <f>40/5</f>
        <v>8</v>
      </c>
      <c r="G2160" s="4">
        <v>44089</v>
      </c>
      <c r="M2160" s="1"/>
      <c r="N2160" s="1"/>
      <c r="O2160" s="1"/>
      <c r="P2160" s="1"/>
      <c r="Q2160" s="1"/>
      <c r="R2160" s="1"/>
    </row>
    <row r="2161" spans="2:18">
      <c r="G2161" s="4"/>
      <c r="M2161" s="1"/>
      <c r="N2161" s="1"/>
      <c r="O2161" s="1"/>
      <c r="P2161" s="1"/>
      <c r="Q2161" s="1"/>
      <c r="R2161" s="1"/>
    </row>
    <row r="2162" spans="2:18">
      <c r="B2162" s="1" t="s">
        <v>614</v>
      </c>
      <c r="C2162" s="2" t="s">
        <v>18</v>
      </c>
      <c r="D2162" s="2" t="s">
        <v>610</v>
      </c>
      <c r="E2162" s="3">
        <v>125</v>
      </c>
      <c r="F2162" s="3">
        <f>75/8</f>
        <v>9.375</v>
      </c>
      <c r="G2162" s="4">
        <v>44663</v>
      </c>
      <c r="M2162" s="1"/>
      <c r="N2162" s="1"/>
      <c r="O2162" s="1"/>
      <c r="P2162" s="1"/>
      <c r="Q2162" s="1"/>
      <c r="R2162" s="1"/>
    </row>
    <row r="2163" spans="2:18">
      <c r="C2163" s="2" t="s">
        <v>7</v>
      </c>
      <c r="D2163" s="2" t="s">
        <v>610</v>
      </c>
      <c r="E2163" s="3">
        <v>54</v>
      </c>
      <c r="F2163" s="3">
        <f>40/5</f>
        <v>8</v>
      </c>
      <c r="G2163" s="4">
        <v>44089</v>
      </c>
      <c r="M2163" s="1"/>
      <c r="N2163" s="1"/>
      <c r="O2163" s="1"/>
      <c r="P2163" s="1"/>
      <c r="Q2163" s="1"/>
      <c r="R2163" s="1"/>
    </row>
    <row r="2164" spans="2:18">
      <c r="C2164" s="2" t="s">
        <v>8</v>
      </c>
      <c r="D2164" s="2" t="s">
        <v>41</v>
      </c>
      <c r="E2164" s="3">
        <v>170</v>
      </c>
      <c r="F2164" s="3">
        <v>22</v>
      </c>
      <c r="G2164" s="4">
        <v>44255</v>
      </c>
      <c r="I2164" s="1">
        <v>830</v>
      </c>
      <c r="J2164" s="1">
        <v>2000</v>
      </c>
      <c r="M2164" s="1"/>
      <c r="N2164" s="1"/>
      <c r="O2164" s="1"/>
      <c r="P2164" s="1"/>
      <c r="Q2164" s="1"/>
      <c r="R2164" s="1"/>
    </row>
    <row r="2165" spans="2:18">
      <c r="C2165" s="2" t="s">
        <v>18</v>
      </c>
      <c r="D2165" s="2" t="s">
        <v>41</v>
      </c>
      <c r="E2165" s="3">
        <v>100</v>
      </c>
      <c r="F2165" s="3">
        <v>40</v>
      </c>
      <c r="G2165" s="4">
        <v>44025</v>
      </c>
      <c r="J2165" s="1">
        <v>2000</v>
      </c>
      <c r="M2165" s="1"/>
      <c r="N2165" s="1"/>
      <c r="O2165" s="1"/>
      <c r="P2165" s="1"/>
      <c r="Q2165" s="1"/>
      <c r="R2165" s="1"/>
    </row>
    <row r="2166" spans="2:18">
      <c r="G2166" s="4"/>
      <c r="M2166" s="1"/>
      <c r="N2166" s="1"/>
      <c r="O2166" s="1"/>
      <c r="P2166" s="1"/>
      <c r="Q2166" s="1"/>
      <c r="R2166" s="1"/>
    </row>
    <row r="2167" spans="2:18">
      <c r="B2167" s="1" t="s">
        <v>613</v>
      </c>
      <c r="C2167" s="2" t="s">
        <v>5</v>
      </c>
      <c r="D2167" s="2" t="s">
        <v>610</v>
      </c>
      <c r="E2167" s="3">
        <v>26</v>
      </c>
      <c r="F2167" s="3">
        <v>4</v>
      </c>
      <c r="G2167" s="4">
        <v>43809</v>
      </c>
      <c r="M2167" s="1"/>
      <c r="N2167" s="1"/>
      <c r="O2167" s="1"/>
      <c r="P2167" s="1"/>
      <c r="Q2167" s="1"/>
      <c r="R2167" s="1"/>
    </row>
    <row r="2168" spans="2:18">
      <c r="B2168" s="1" t="s">
        <v>612</v>
      </c>
      <c r="C2168" s="2" t="s">
        <v>5</v>
      </c>
      <c r="D2168" s="2" t="s">
        <v>610</v>
      </c>
      <c r="E2168" s="3">
        <v>8</v>
      </c>
      <c r="F2168" s="3">
        <v>1</v>
      </c>
      <c r="G2168" s="4">
        <v>43249</v>
      </c>
      <c r="M2168" s="1"/>
      <c r="N2168" s="1"/>
      <c r="O2168" s="1"/>
      <c r="P2168" s="1"/>
      <c r="Q2168" s="1"/>
      <c r="R2168" s="1"/>
    </row>
    <row r="2169" spans="2:18">
      <c r="B2169" s="1" t="s">
        <v>611</v>
      </c>
      <c r="C2169" s="2" t="s">
        <v>5</v>
      </c>
      <c r="D2169" s="2" t="s">
        <v>610</v>
      </c>
      <c r="E2169" s="3">
        <v>8</v>
      </c>
      <c r="F2169" s="3">
        <v>1</v>
      </c>
      <c r="G2169" s="4">
        <v>43249</v>
      </c>
      <c r="M2169" s="1"/>
      <c r="N2169" s="1"/>
      <c r="O2169" s="1"/>
      <c r="P2169" s="1"/>
      <c r="Q2169" s="1"/>
      <c r="R2169" s="1"/>
    </row>
    <row r="2170" spans="2:18">
      <c r="B2170" s="1" t="s">
        <v>609</v>
      </c>
      <c r="C2170" s="2" t="s">
        <v>4</v>
      </c>
      <c r="D2170" s="2" t="s">
        <v>607</v>
      </c>
      <c r="E2170" s="3">
        <v>6</v>
      </c>
      <c r="F2170" s="3">
        <v>1</v>
      </c>
      <c r="G2170" s="4">
        <v>44781</v>
      </c>
      <c r="M2170" s="1"/>
      <c r="N2170" s="1"/>
      <c r="O2170" s="1"/>
      <c r="P2170" s="1"/>
      <c r="Q2170" s="1"/>
      <c r="R2170" s="1"/>
    </row>
    <row r="2171" spans="2:18">
      <c r="B2171" s="1" t="s">
        <v>608</v>
      </c>
      <c r="C2171" s="2" t="s">
        <v>285</v>
      </c>
      <c r="D2171" s="2" t="s">
        <v>607</v>
      </c>
      <c r="E2171" s="3">
        <v>1</v>
      </c>
      <c r="F2171" s="3">
        <v>0.5</v>
      </c>
      <c r="G2171" s="4">
        <v>44415</v>
      </c>
      <c r="M2171" s="1"/>
      <c r="N2171" s="1"/>
      <c r="O2171" s="1"/>
      <c r="P2171" s="1"/>
      <c r="Q2171" s="1"/>
      <c r="R2171" s="1"/>
    </row>
    <row r="2172" spans="2:18">
      <c r="B2172" s="1" t="s">
        <v>606</v>
      </c>
      <c r="C2172" s="2" t="s">
        <v>4</v>
      </c>
      <c r="D2172" s="2" t="s">
        <v>604</v>
      </c>
      <c r="E2172" s="3">
        <v>6.8</v>
      </c>
      <c r="F2172" s="3">
        <v>3.8</v>
      </c>
      <c r="G2172" s="4">
        <v>44964</v>
      </c>
      <c r="M2172" s="1"/>
      <c r="N2172" s="1"/>
      <c r="O2172" s="1"/>
      <c r="P2172" s="1"/>
      <c r="Q2172" s="1"/>
      <c r="R2172" s="1"/>
    </row>
    <row r="2173" spans="2:18">
      <c r="C2173" s="2" t="s">
        <v>4</v>
      </c>
      <c r="D2173" s="2" t="s">
        <v>604</v>
      </c>
      <c r="E2173" s="3">
        <v>1.6</v>
      </c>
      <c r="F2173" s="3">
        <v>0.6</v>
      </c>
      <c r="G2173" s="4">
        <v>44197</v>
      </c>
      <c r="M2173" s="1"/>
      <c r="N2173" s="1"/>
      <c r="O2173" s="1"/>
      <c r="P2173" s="1"/>
      <c r="Q2173" s="1"/>
      <c r="R2173" s="1"/>
    </row>
    <row r="2174" spans="2:18">
      <c r="B2174" s="1" t="s">
        <v>605</v>
      </c>
      <c r="C2174" s="2" t="s">
        <v>4</v>
      </c>
      <c r="D2174" s="2" t="s">
        <v>604</v>
      </c>
      <c r="E2174" s="3">
        <v>6.8</v>
      </c>
      <c r="F2174" s="3">
        <v>1.5</v>
      </c>
      <c r="G2174" s="4">
        <v>44964</v>
      </c>
      <c r="M2174" s="1"/>
      <c r="N2174" s="1"/>
      <c r="O2174" s="1"/>
      <c r="P2174" s="1"/>
      <c r="Q2174" s="1"/>
      <c r="R2174" s="1"/>
    </row>
    <row r="2175" spans="2:18">
      <c r="B2175" s="1" t="s">
        <v>603</v>
      </c>
      <c r="C2175" s="2" t="s">
        <v>4</v>
      </c>
      <c r="D2175" s="2" t="s">
        <v>602</v>
      </c>
      <c r="E2175" s="3">
        <v>6</v>
      </c>
      <c r="F2175" s="3">
        <v>6</v>
      </c>
      <c r="G2175" s="4">
        <v>44852</v>
      </c>
      <c r="M2175" s="1"/>
      <c r="N2175" s="1"/>
      <c r="O2175" s="1"/>
      <c r="P2175" s="1"/>
      <c r="Q2175" s="1"/>
      <c r="R2175" s="1"/>
    </row>
    <row r="2176" spans="2:18">
      <c r="B2176" s="1" t="s">
        <v>601</v>
      </c>
      <c r="C2176" s="2" t="s">
        <v>5</v>
      </c>
      <c r="D2176" s="2" t="s">
        <v>595</v>
      </c>
      <c r="E2176" s="3">
        <v>20</v>
      </c>
      <c r="F2176" s="3">
        <v>5</v>
      </c>
      <c r="G2176" s="4">
        <v>44801</v>
      </c>
      <c r="M2176" s="1"/>
      <c r="N2176" s="1"/>
      <c r="O2176" s="1"/>
      <c r="P2176" s="1"/>
      <c r="Q2176" s="1"/>
      <c r="R2176" s="1"/>
    </row>
    <row r="2177" spans="2:18">
      <c r="B2177" s="1" t="s">
        <v>600</v>
      </c>
      <c r="C2177" s="2" t="s">
        <v>5</v>
      </c>
      <c r="D2177" s="2" t="s">
        <v>595</v>
      </c>
      <c r="E2177" s="3">
        <v>20</v>
      </c>
      <c r="F2177" s="3">
        <f>15/6</f>
        <v>2.5</v>
      </c>
      <c r="G2177" s="4">
        <v>44801</v>
      </c>
      <c r="M2177" s="1"/>
      <c r="N2177" s="1"/>
      <c r="O2177" s="1"/>
      <c r="P2177" s="1"/>
      <c r="Q2177" s="1"/>
      <c r="R2177" s="1"/>
    </row>
    <row r="2178" spans="2:18">
      <c r="B2178" s="1" t="s">
        <v>599</v>
      </c>
      <c r="C2178" s="2" t="s">
        <v>5</v>
      </c>
      <c r="D2178" s="2" t="s">
        <v>595</v>
      </c>
      <c r="E2178" s="3">
        <v>20</v>
      </c>
      <c r="F2178" s="3">
        <f>15/6</f>
        <v>2.5</v>
      </c>
      <c r="G2178" s="4">
        <v>44801</v>
      </c>
      <c r="M2178" s="1"/>
      <c r="N2178" s="1"/>
      <c r="O2178" s="1"/>
      <c r="P2178" s="1"/>
      <c r="Q2178" s="1"/>
      <c r="R2178" s="1"/>
    </row>
    <row r="2179" spans="2:18">
      <c r="B2179" s="1" t="s">
        <v>598</v>
      </c>
      <c r="C2179" s="2" t="s">
        <v>5</v>
      </c>
      <c r="D2179" s="2" t="s">
        <v>595</v>
      </c>
      <c r="E2179" s="3">
        <v>20</v>
      </c>
      <c r="F2179" s="3">
        <f>15/6</f>
        <v>2.5</v>
      </c>
      <c r="G2179" s="4">
        <v>44801</v>
      </c>
      <c r="M2179" s="1"/>
      <c r="N2179" s="1"/>
      <c r="O2179" s="1"/>
      <c r="P2179" s="1"/>
      <c r="Q2179" s="1"/>
      <c r="R2179" s="1"/>
    </row>
    <row r="2180" spans="2:18">
      <c r="B2180" s="1" t="s">
        <v>597</v>
      </c>
      <c r="C2180" s="2" t="s">
        <v>5</v>
      </c>
      <c r="D2180" s="2" t="s">
        <v>595</v>
      </c>
      <c r="E2180" s="3">
        <v>20</v>
      </c>
      <c r="F2180" s="3">
        <f>15/6</f>
        <v>2.5</v>
      </c>
      <c r="G2180" s="4">
        <v>44801</v>
      </c>
      <c r="M2180" s="1"/>
      <c r="N2180" s="1"/>
      <c r="O2180" s="1"/>
      <c r="P2180" s="1"/>
      <c r="Q2180" s="1"/>
      <c r="R2180" s="1"/>
    </row>
    <row r="2181" spans="2:18">
      <c r="B2181" s="1" t="s">
        <v>596</v>
      </c>
      <c r="C2181" s="2" t="s">
        <v>5</v>
      </c>
      <c r="D2181" s="2" t="s">
        <v>595</v>
      </c>
      <c r="E2181" s="3">
        <v>20</v>
      </c>
      <c r="F2181" s="3">
        <f>15/6</f>
        <v>2.5</v>
      </c>
      <c r="G2181" s="4">
        <v>44801</v>
      </c>
      <c r="M2181" s="1"/>
      <c r="N2181" s="1"/>
      <c r="O2181" s="1"/>
      <c r="P2181" s="1"/>
      <c r="Q2181" s="1"/>
      <c r="R2181" s="1"/>
    </row>
    <row r="2182" spans="2:18">
      <c r="B2182" s="1" t="s">
        <v>594</v>
      </c>
      <c r="C2182" s="2" t="s">
        <v>285</v>
      </c>
      <c r="D2182" s="2" t="s">
        <v>593</v>
      </c>
      <c r="E2182" s="3">
        <v>2</v>
      </c>
      <c r="F2182" s="3">
        <v>1</v>
      </c>
      <c r="G2182" s="4">
        <v>44223</v>
      </c>
      <c r="M2182" s="1"/>
      <c r="N2182" s="1"/>
      <c r="O2182" s="1"/>
      <c r="P2182" s="1"/>
      <c r="Q2182" s="1"/>
      <c r="R2182" s="1"/>
    </row>
    <row r="2183" spans="2:18">
      <c r="B2183" s="1" t="s">
        <v>592</v>
      </c>
      <c r="C2183" s="2" t="s">
        <v>4</v>
      </c>
      <c r="D2183" s="2" t="s">
        <v>591</v>
      </c>
      <c r="E2183" s="3">
        <v>8</v>
      </c>
      <c r="F2183" s="3">
        <v>8</v>
      </c>
      <c r="G2183" s="4">
        <v>44711</v>
      </c>
      <c r="M2183" s="1"/>
      <c r="N2183" s="1"/>
      <c r="O2183" s="1"/>
      <c r="P2183" s="1"/>
      <c r="Q2183" s="1"/>
      <c r="R2183" s="1"/>
    </row>
    <row r="2184" spans="2:18">
      <c r="B2184" s="1" t="s">
        <v>590</v>
      </c>
      <c r="C2184" s="2" t="s">
        <v>4</v>
      </c>
      <c r="D2184" s="2" t="s">
        <v>584</v>
      </c>
      <c r="E2184" s="3">
        <v>10</v>
      </c>
      <c r="F2184" s="3">
        <v>1</v>
      </c>
      <c r="G2184" s="4">
        <v>44887</v>
      </c>
      <c r="M2184" s="1"/>
      <c r="N2184" s="1"/>
      <c r="O2184" s="1"/>
      <c r="P2184" s="1"/>
      <c r="Q2184" s="1"/>
      <c r="R2184" s="1"/>
    </row>
    <row r="2185" spans="2:18">
      <c r="B2185" s="1" t="s">
        <v>589</v>
      </c>
      <c r="C2185" s="2" t="s">
        <v>4</v>
      </c>
      <c r="D2185" s="2" t="s">
        <v>584</v>
      </c>
      <c r="E2185" s="3">
        <v>10</v>
      </c>
      <c r="F2185" s="3">
        <v>1</v>
      </c>
      <c r="G2185" s="4">
        <v>44887</v>
      </c>
      <c r="M2185" s="1"/>
      <c r="N2185" s="1"/>
      <c r="O2185" s="1"/>
      <c r="P2185" s="1"/>
      <c r="Q2185" s="1"/>
      <c r="R2185" s="1"/>
    </row>
    <row r="2186" spans="2:18">
      <c r="G2186" s="4"/>
      <c r="M2186" s="1"/>
      <c r="N2186" s="1"/>
      <c r="O2186" s="1"/>
      <c r="P2186" s="1"/>
      <c r="Q2186" s="1"/>
      <c r="R2186" s="1"/>
    </row>
    <row r="2187" spans="2:18">
      <c r="B2187" s="1" t="s">
        <v>588</v>
      </c>
      <c r="C2187" s="2" t="s">
        <v>4</v>
      </c>
      <c r="D2187" s="2" t="s">
        <v>584</v>
      </c>
      <c r="E2187" s="3">
        <v>10</v>
      </c>
      <c r="F2187" s="3">
        <v>1</v>
      </c>
      <c r="G2187" s="4">
        <v>44887</v>
      </c>
      <c r="M2187" s="1"/>
      <c r="N2187" s="1"/>
      <c r="O2187" s="1"/>
      <c r="P2187" s="1"/>
      <c r="Q2187" s="1"/>
      <c r="R2187" s="1"/>
    </row>
    <row r="2188" spans="2:18">
      <c r="C2188" s="2" t="s">
        <v>4</v>
      </c>
      <c r="D2188" s="2" t="s">
        <v>518</v>
      </c>
      <c r="E2188" s="3">
        <v>3</v>
      </c>
      <c r="F2188" s="3">
        <v>0.5</v>
      </c>
      <c r="G2188" s="4">
        <v>45037</v>
      </c>
      <c r="M2188" s="1"/>
      <c r="N2188" s="1"/>
      <c r="O2188" s="1"/>
      <c r="P2188" s="1"/>
      <c r="Q2188" s="1"/>
      <c r="R2188" s="1"/>
    </row>
    <row r="2189" spans="2:18">
      <c r="G2189" s="4"/>
      <c r="M2189" s="1"/>
      <c r="N2189" s="1"/>
      <c r="O2189" s="1"/>
      <c r="P2189" s="1"/>
      <c r="Q2189" s="1"/>
      <c r="R2189" s="1"/>
    </row>
    <row r="2190" spans="2:18">
      <c r="B2190" s="1" t="s">
        <v>587</v>
      </c>
      <c r="C2190" s="2" t="s">
        <v>4</v>
      </c>
      <c r="D2190" s="2" t="s">
        <v>584</v>
      </c>
      <c r="E2190" s="3">
        <v>10</v>
      </c>
      <c r="F2190" s="3">
        <v>1</v>
      </c>
      <c r="G2190" s="4">
        <v>44887</v>
      </c>
      <c r="M2190" s="1"/>
      <c r="N2190" s="1"/>
      <c r="O2190" s="1"/>
      <c r="P2190" s="1"/>
      <c r="Q2190" s="1"/>
      <c r="R2190" s="1"/>
    </row>
    <row r="2191" spans="2:18">
      <c r="B2191" s="1" t="s">
        <v>586</v>
      </c>
      <c r="C2191" s="2" t="s">
        <v>4</v>
      </c>
      <c r="D2191" s="2" t="s">
        <v>584</v>
      </c>
      <c r="E2191" s="3">
        <v>10</v>
      </c>
      <c r="F2191" s="3">
        <v>1</v>
      </c>
      <c r="G2191" s="4">
        <v>44887</v>
      </c>
      <c r="M2191" s="1"/>
      <c r="N2191" s="1"/>
      <c r="O2191" s="1"/>
      <c r="P2191" s="1"/>
      <c r="Q2191" s="1"/>
      <c r="R2191" s="1"/>
    </row>
    <row r="2192" spans="2:18">
      <c r="B2192" s="1" t="s">
        <v>585</v>
      </c>
      <c r="C2192" s="2" t="s">
        <v>4</v>
      </c>
      <c r="D2192" s="2" t="s">
        <v>584</v>
      </c>
      <c r="E2192" s="3">
        <v>10</v>
      </c>
      <c r="F2192" s="3">
        <v>1</v>
      </c>
      <c r="G2192" s="4">
        <v>44887</v>
      </c>
      <c r="M2192" s="1"/>
      <c r="N2192" s="1"/>
      <c r="O2192" s="1"/>
      <c r="P2192" s="1"/>
      <c r="Q2192" s="1"/>
      <c r="R2192" s="1"/>
    </row>
    <row r="2193" spans="2:18">
      <c r="B2193" s="1" t="s">
        <v>583</v>
      </c>
      <c r="C2193" s="2" t="s">
        <v>4</v>
      </c>
      <c r="D2193" s="2" t="s">
        <v>576</v>
      </c>
      <c r="E2193" s="3">
        <v>9</v>
      </c>
      <c r="F2193" s="3">
        <v>2</v>
      </c>
      <c r="G2193" s="4">
        <v>44859</v>
      </c>
      <c r="M2193" s="1"/>
      <c r="N2193" s="1"/>
      <c r="O2193" s="1"/>
      <c r="P2193" s="1"/>
      <c r="Q2193" s="1"/>
      <c r="R2193" s="1"/>
    </row>
    <row r="2194" spans="2:18">
      <c r="B2194" s="1" t="s">
        <v>582</v>
      </c>
      <c r="C2194" s="2" t="s">
        <v>4</v>
      </c>
      <c r="D2194" s="2" t="s">
        <v>576</v>
      </c>
      <c r="E2194" s="3">
        <v>9</v>
      </c>
      <c r="F2194" s="3">
        <f t="shared" ref="F2194:F2199" si="1">5/6</f>
        <v>0.83333333333333337</v>
      </c>
      <c r="G2194" s="4">
        <v>44859</v>
      </c>
      <c r="M2194" s="1"/>
      <c r="N2194" s="1"/>
      <c r="O2194" s="1"/>
      <c r="P2194" s="1"/>
      <c r="Q2194" s="1"/>
      <c r="R2194" s="1"/>
    </row>
    <row r="2195" spans="2:18">
      <c r="B2195" s="1" t="s">
        <v>581</v>
      </c>
      <c r="C2195" s="2" t="s">
        <v>4</v>
      </c>
      <c r="D2195" s="2" t="s">
        <v>576</v>
      </c>
      <c r="E2195" s="3">
        <v>9</v>
      </c>
      <c r="F2195" s="3">
        <f t="shared" si="1"/>
        <v>0.83333333333333337</v>
      </c>
      <c r="G2195" s="4">
        <v>44859</v>
      </c>
      <c r="M2195" s="1"/>
      <c r="N2195" s="1"/>
      <c r="O2195" s="1"/>
      <c r="P2195" s="1"/>
      <c r="Q2195" s="1"/>
      <c r="R2195" s="1"/>
    </row>
    <row r="2196" spans="2:18">
      <c r="B2196" s="1" t="s">
        <v>580</v>
      </c>
      <c r="C2196" s="2" t="s">
        <v>4</v>
      </c>
      <c r="D2196" s="2" t="s">
        <v>576</v>
      </c>
      <c r="E2196" s="3">
        <v>9</v>
      </c>
      <c r="F2196" s="3">
        <f t="shared" si="1"/>
        <v>0.83333333333333337</v>
      </c>
      <c r="G2196" s="4">
        <v>44859</v>
      </c>
      <c r="M2196" s="1"/>
      <c r="N2196" s="1"/>
      <c r="O2196" s="1"/>
      <c r="P2196" s="1"/>
      <c r="Q2196" s="1"/>
      <c r="R2196" s="1"/>
    </row>
    <row r="2197" spans="2:18">
      <c r="B2197" s="1" t="s">
        <v>579</v>
      </c>
      <c r="C2197" s="2" t="s">
        <v>4</v>
      </c>
      <c r="D2197" s="2" t="s">
        <v>576</v>
      </c>
      <c r="E2197" s="3">
        <v>9</v>
      </c>
      <c r="F2197" s="3">
        <f t="shared" si="1"/>
        <v>0.83333333333333337</v>
      </c>
      <c r="G2197" s="4">
        <v>44859</v>
      </c>
      <c r="M2197" s="1"/>
      <c r="N2197" s="1"/>
      <c r="O2197" s="1"/>
      <c r="P2197" s="1"/>
      <c r="Q2197" s="1"/>
      <c r="R2197" s="1"/>
    </row>
    <row r="2198" spans="2:18">
      <c r="B2198" s="1" t="s">
        <v>578</v>
      </c>
      <c r="C2198" s="2" t="s">
        <v>4</v>
      </c>
      <c r="D2198" s="2" t="s">
        <v>576</v>
      </c>
      <c r="E2198" s="3">
        <v>9</v>
      </c>
      <c r="F2198" s="3">
        <f t="shared" si="1"/>
        <v>0.83333333333333337</v>
      </c>
      <c r="G2198" s="4">
        <v>44859</v>
      </c>
      <c r="M2198" s="1"/>
      <c r="N2198" s="1"/>
      <c r="O2198" s="1"/>
      <c r="P2198" s="1"/>
      <c r="Q2198" s="1"/>
      <c r="R2198" s="1"/>
    </row>
    <row r="2199" spans="2:18">
      <c r="B2199" s="1" t="s">
        <v>577</v>
      </c>
      <c r="C2199" s="2" t="s">
        <v>4</v>
      </c>
      <c r="D2199" s="2" t="s">
        <v>576</v>
      </c>
      <c r="E2199" s="3">
        <v>9</v>
      </c>
      <c r="F2199" s="3">
        <f t="shared" si="1"/>
        <v>0.83333333333333337</v>
      </c>
      <c r="G2199" s="4">
        <v>44859</v>
      </c>
      <c r="M2199" s="1"/>
      <c r="N2199" s="1"/>
      <c r="O2199" s="1"/>
      <c r="P2199" s="1"/>
      <c r="Q2199" s="1"/>
      <c r="R2199" s="1"/>
    </row>
    <row r="2200" spans="2:18">
      <c r="B2200" s="1" t="s">
        <v>575</v>
      </c>
      <c r="C2200" s="2" t="s">
        <v>4</v>
      </c>
      <c r="D2200" s="2" t="s">
        <v>573</v>
      </c>
      <c r="E2200" s="3">
        <v>5.6</v>
      </c>
      <c r="F2200" s="3">
        <f>E2200/3</f>
        <v>1.8666666666666665</v>
      </c>
      <c r="G2200" s="4">
        <v>45048</v>
      </c>
      <c r="M2200" s="1"/>
      <c r="N2200" s="1"/>
      <c r="O2200" s="1"/>
      <c r="P2200" s="1"/>
      <c r="Q2200" s="1"/>
      <c r="R2200" s="1"/>
    </row>
    <row r="2201" spans="2:18">
      <c r="G2201" s="4"/>
      <c r="M2201" s="1"/>
      <c r="N2201" s="1"/>
      <c r="O2201" s="1"/>
      <c r="P2201" s="1"/>
      <c r="Q2201" s="1"/>
      <c r="R2201" s="1"/>
    </row>
    <row r="2202" spans="2:18">
      <c r="B2202" s="1" t="s">
        <v>574</v>
      </c>
      <c r="C2202" s="2" t="s">
        <v>4</v>
      </c>
      <c r="D2202" s="2" t="s">
        <v>573</v>
      </c>
      <c r="E2202" s="3">
        <v>5.6</v>
      </c>
      <c r="F2202" s="3">
        <f>E2202/3</f>
        <v>1.8666666666666665</v>
      </c>
      <c r="G2202" s="4">
        <v>45048</v>
      </c>
      <c r="M2202" s="1"/>
      <c r="N2202" s="1"/>
      <c r="O2202" s="1"/>
      <c r="P2202" s="1"/>
      <c r="Q2202" s="1"/>
      <c r="R2202" s="1"/>
    </row>
    <row r="2203" spans="2:18">
      <c r="B2203" s="1" t="s">
        <v>572</v>
      </c>
      <c r="C2203" s="2" t="s">
        <v>5</v>
      </c>
      <c r="D2203" s="2" t="s">
        <v>570</v>
      </c>
      <c r="E2203" s="3">
        <v>20</v>
      </c>
      <c r="F2203" s="3">
        <v>10</v>
      </c>
      <c r="G2203" s="4">
        <v>44671</v>
      </c>
      <c r="M2203" s="1"/>
      <c r="N2203" s="1"/>
      <c r="O2203" s="1"/>
      <c r="P2203" s="1"/>
      <c r="Q2203" s="1"/>
      <c r="R2203" s="1"/>
    </row>
    <row r="2204" spans="2:18">
      <c r="B2204" s="1" t="s">
        <v>571</v>
      </c>
      <c r="C2204" s="2" t="s">
        <v>5</v>
      </c>
      <c r="D2204" s="2" t="s">
        <v>570</v>
      </c>
      <c r="E2204" s="3">
        <v>20</v>
      </c>
      <c r="F2204" s="3">
        <v>5</v>
      </c>
      <c r="G2204" s="4">
        <v>44671</v>
      </c>
      <c r="M2204" s="1"/>
      <c r="N2204" s="1"/>
      <c r="O2204" s="1"/>
      <c r="P2204" s="1"/>
      <c r="Q2204" s="1"/>
      <c r="R2204" s="1"/>
    </row>
    <row r="2205" spans="2:18">
      <c r="G2205" s="4"/>
      <c r="M2205" s="1"/>
      <c r="N2205" s="1"/>
      <c r="O2205" s="1"/>
      <c r="P2205" s="1"/>
      <c r="Q2205" s="1"/>
      <c r="R2205" s="1"/>
    </row>
    <row r="2206" spans="2:18">
      <c r="B2206" s="1" t="s">
        <v>569</v>
      </c>
      <c r="C2206" s="2" t="s">
        <v>7</v>
      </c>
      <c r="D2206" s="2" t="s">
        <v>558</v>
      </c>
      <c r="E2206" s="3">
        <v>20</v>
      </c>
      <c r="F2206" s="3">
        <v>8</v>
      </c>
      <c r="G2206" s="4">
        <v>45077</v>
      </c>
      <c r="M2206" s="1"/>
      <c r="N2206" s="1"/>
      <c r="O2206" s="1"/>
      <c r="P2206" s="1"/>
      <c r="Q2206" s="1"/>
      <c r="R2206" s="1"/>
    </row>
    <row r="2207" spans="2:18">
      <c r="C2207" s="2" t="s">
        <v>8</v>
      </c>
      <c r="D2207" s="2" t="s">
        <v>239</v>
      </c>
      <c r="E2207" s="3">
        <v>750</v>
      </c>
      <c r="F2207" s="3">
        <f>450/4</f>
        <v>112.5</v>
      </c>
      <c r="G2207" s="4">
        <v>43593</v>
      </c>
      <c r="M2207" s="1"/>
      <c r="N2207" s="1"/>
      <c r="O2207" s="1"/>
      <c r="P2207" s="1"/>
      <c r="Q2207" s="1"/>
      <c r="R2207" s="1"/>
    </row>
    <row r="2208" spans="2:18">
      <c r="C2208" s="2" t="s">
        <v>7</v>
      </c>
      <c r="D2208" s="2" t="s">
        <v>89</v>
      </c>
      <c r="E2208" s="3">
        <v>25</v>
      </c>
      <c r="F2208" s="3">
        <v>10</v>
      </c>
      <c r="G2208" s="4">
        <v>44642</v>
      </c>
      <c r="M2208" s="1"/>
      <c r="N2208" s="1"/>
      <c r="O2208" s="1"/>
      <c r="P2208" s="1"/>
      <c r="Q2208" s="1"/>
      <c r="R2208" s="1"/>
    </row>
    <row r="2209" spans="2:18">
      <c r="G2209" s="4"/>
      <c r="M2209" s="1"/>
      <c r="N2209" s="1"/>
      <c r="O2209" s="1"/>
      <c r="P2209" s="1"/>
      <c r="Q2209" s="1"/>
      <c r="R2209" s="1"/>
    </row>
    <row r="2210" spans="2:18">
      <c r="G2210" s="4"/>
      <c r="M2210" s="1"/>
      <c r="N2210" s="1"/>
      <c r="O2210" s="1"/>
      <c r="P2210" s="1"/>
      <c r="Q2210" s="1"/>
      <c r="R2210" s="1"/>
    </row>
    <row r="2211" spans="2:18">
      <c r="B2211" s="1" t="s">
        <v>568</v>
      </c>
      <c r="C2211" s="2" t="s">
        <v>7</v>
      </c>
      <c r="D2211" s="2" t="s">
        <v>558</v>
      </c>
      <c r="E2211" s="3">
        <v>20</v>
      </c>
      <c r="F2211" s="3">
        <f>12/6</f>
        <v>2</v>
      </c>
      <c r="G2211" s="4">
        <v>45077</v>
      </c>
      <c r="M2211" s="1"/>
      <c r="N2211" s="1"/>
      <c r="O2211" s="1"/>
      <c r="P2211" s="1"/>
      <c r="Q2211" s="1"/>
      <c r="R2211" s="1"/>
    </row>
    <row r="2212" spans="2:18">
      <c r="C2212" s="2" t="s">
        <v>5</v>
      </c>
      <c r="D2212" s="2" t="s">
        <v>558</v>
      </c>
      <c r="E2212" s="3">
        <v>10.5</v>
      </c>
      <c r="F2212" s="3">
        <v>5.5</v>
      </c>
      <c r="G2212" s="4">
        <v>44341</v>
      </c>
      <c r="M2212" s="1"/>
      <c r="N2212" s="1"/>
      <c r="O2212" s="1"/>
      <c r="P2212" s="1"/>
      <c r="Q2212" s="1"/>
      <c r="R2212" s="1"/>
    </row>
    <row r="2213" spans="2:18">
      <c r="G2213" s="4"/>
      <c r="M2213" s="1"/>
      <c r="N2213" s="1"/>
      <c r="O2213" s="1"/>
      <c r="P2213" s="1"/>
      <c r="Q2213" s="1"/>
      <c r="R2213" s="1"/>
    </row>
    <row r="2214" spans="2:18">
      <c r="B2214" s="1" t="s">
        <v>567</v>
      </c>
      <c r="C2214" s="2" t="s">
        <v>7</v>
      </c>
      <c r="D2214" s="2" t="s">
        <v>558</v>
      </c>
      <c r="E2214" s="3">
        <v>20</v>
      </c>
      <c r="F2214" s="3">
        <f>12/6</f>
        <v>2</v>
      </c>
      <c r="G2214" s="4">
        <v>45077</v>
      </c>
      <c r="M2214" s="1"/>
      <c r="N2214" s="1"/>
      <c r="O2214" s="1"/>
      <c r="P2214" s="1"/>
      <c r="Q2214" s="1"/>
      <c r="R2214" s="1"/>
    </row>
    <row r="2215" spans="2:18">
      <c r="C2215" s="2" t="s">
        <v>5</v>
      </c>
      <c r="D2215" s="2" t="s">
        <v>558</v>
      </c>
      <c r="E2215" s="3">
        <v>10.5</v>
      </c>
      <c r="F2215" s="3">
        <f>5/5</f>
        <v>1</v>
      </c>
      <c r="G2215" s="4">
        <v>44341</v>
      </c>
      <c r="M2215" s="1"/>
      <c r="N2215" s="1"/>
      <c r="O2215" s="1"/>
      <c r="P2215" s="1"/>
      <c r="Q2215" s="1"/>
      <c r="R2215" s="1"/>
    </row>
    <row r="2216" spans="2:18">
      <c r="C2216" s="2" t="s">
        <v>5</v>
      </c>
      <c r="D2216" s="2" t="s">
        <v>89</v>
      </c>
      <c r="E2216" s="3">
        <v>14</v>
      </c>
      <c r="F2216" s="3">
        <v>2</v>
      </c>
      <c r="G2216" s="4">
        <v>43978</v>
      </c>
      <c r="M2216" s="1"/>
      <c r="N2216" s="1"/>
      <c r="O2216" s="1"/>
      <c r="P2216" s="1"/>
      <c r="Q2216" s="1"/>
      <c r="R2216" s="1"/>
    </row>
    <row r="2217" spans="2:18">
      <c r="C2217" s="2" t="s">
        <v>4</v>
      </c>
      <c r="D2217" s="2" t="s">
        <v>89</v>
      </c>
      <c r="E2217" s="3">
        <v>5.3</v>
      </c>
      <c r="F2217" s="3">
        <f>4/7</f>
        <v>0.5714285714285714</v>
      </c>
      <c r="G2217" s="4">
        <v>43398</v>
      </c>
      <c r="M2217" s="1"/>
      <c r="N2217" s="1"/>
      <c r="O2217" s="1"/>
      <c r="P2217" s="1"/>
      <c r="Q2217" s="1"/>
      <c r="R2217" s="1"/>
    </row>
    <row r="2218" spans="2:18">
      <c r="G2218" s="4"/>
      <c r="M2218" s="1"/>
      <c r="N2218" s="1"/>
      <c r="O2218" s="1"/>
      <c r="P2218" s="1"/>
      <c r="Q2218" s="1"/>
      <c r="R2218" s="1"/>
    </row>
    <row r="2219" spans="2:18">
      <c r="B2219" s="1" t="s">
        <v>566</v>
      </c>
      <c r="C2219" s="2" t="s">
        <v>7</v>
      </c>
      <c r="D2219" s="2" t="s">
        <v>558</v>
      </c>
      <c r="E2219" s="3">
        <v>20</v>
      </c>
      <c r="F2219" s="3">
        <f>12/6</f>
        <v>2</v>
      </c>
      <c r="G2219" s="4">
        <v>45077</v>
      </c>
      <c r="M2219" s="1"/>
      <c r="N2219" s="1"/>
      <c r="O2219" s="1"/>
      <c r="P2219" s="1"/>
      <c r="Q2219" s="1"/>
      <c r="R2219" s="1"/>
    </row>
    <row r="2220" spans="2:18">
      <c r="G2220" s="4"/>
      <c r="M2220" s="1"/>
      <c r="N2220" s="1"/>
      <c r="O2220" s="1"/>
      <c r="P2220" s="1"/>
      <c r="Q2220" s="1"/>
      <c r="R2220" s="1"/>
    </row>
    <row r="2221" spans="2:18">
      <c r="B2221" s="1" t="s">
        <v>565</v>
      </c>
      <c r="C2221" s="2" t="s">
        <v>7</v>
      </c>
      <c r="D2221" s="2" t="s">
        <v>558</v>
      </c>
      <c r="E2221" s="3">
        <v>20</v>
      </c>
      <c r="F2221" s="3">
        <f>12/6</f>
        <v>2</v>
      </c>
      <c r="G2221" s="4">
        <v>45077</v>
      </c>
      <c r="M2221" s="1"/>
      <c r="N2221" s="1"/>
      <c r="O2221" s="1"/>
      <c r="P2221" s="1"/>
      <c r="Q2221" s="1"/>
      <c r="R2221" s="1"/>
    </row>
    <row r="2222" spans="2:18">
      <c r="C2222" s="2" t="s">
        <v>5</v>
      </c>
      <c r="D2222" s="2" t="s">
        <v>416</v>
      </c>
      <c r="E2222" s="3">
        <v>10</v>
      </c>
      <c r="F2222" s="3">
        <f>7/4</f>
        <v>1.75</v>
      </c>
      <c r="G2222" s="4">
        <v>44740</v>
      </c>
      <c r="M2222" s="1"/>
      <c r="N2222" s="1"/>
      <c r="O2222" s="1"/>
      <c r="P2222" s="1"/>
      <c r="Q2222" s="1"/>
      <c r="R2222" s="1"/>
    </row>
    <row r="2223" spans="2:18">
      <c r="G2223" s="4"/>
      <c r="M2223" s="1"/>
      <c r="N2223" s="1"/>
      <c r="O2223" s="1"/>
      <c r="P2223" s="1"/>
      <c r="Q2223" s="1"/>
      <c r="R2223" s="1"/>
    </row>
    <row r="2224" spans="2:18">
      <c r="B2224" s="1" t="s">
        <v>564</v>
      </c>
      <c r="C2224" s="2" t="s">
        <v>7</v>
      </c>
      <c r="D2224" s="2" t="s">
        <v>558</v>
      </c>
      <c r="E2224" s="3">
        <v>20</v>
      </c>
      <c r="F2224" s="3">
        <f>12/6</f>
        <v>2</v>
      </c>
      <c r="G2224" s="4">
        <v>45077</v>
      </c>
      <c r="M2224" s="1"/>
      <c r="N2224" s="1"/>
      <c r="O2224" s="1"/>
      <c r="P2224" s="1"/>
      <c r="Q2224" s="1"/>
      <c r="R2224" s="1"/>
    </row>
    <row r="2225" spans="2:18">
      <c r="C2225" s="2" t="s">
        <v>5</v>
      </c>
      <c r="D2225" s="2" t="s">
        <v>558</v>
      </c>
      <c r="E2225" s="3">
        <v>10.5</v>
      </c>
      <c r="F2225" s="3">
        <f>5/5</f>
        <v>1</v>
      </c>
      <c r="G2225" s="4">
        <v>44341</v>
      </c>
      <c r="M2225" s="1"/>
      <c r="N2225" s="1"/>
      <c r="O2225" s="1"/>
      <c r="P2225" s="1"/>
      <c r="Q2225" s="1"/>
      <c r="R2225" s="1"/>
    </row>
    <row r="2226" spans="2:18">
      <c r="C2226" s="2" t="s">
        <v>4</v>
      </c>
      <c r="D2226" s="2" t="s">
        <v>558</v>
      </c>
      <c r="E2226" s="3">
        <v>4</v>
      </c>
      <c r="F2226" s="3">
        <v>2</v>
      </c>
      <c r="G2226" s="4">
        <v>43671</v>
      </c>
      <c r="M2226" s="1"/>
      <c r="N2226" s="1"/>
      <c r="O2226" s="1"/>
      <c r="P2226" s="1"/>
      <c r="Q2226" s="1"/>
      <c r="R2226" s="1"/>
    </row>
    <row r="2227" spans="2:18">
      <c r="B2227" s="1" t="s">
        <v>563</v>
      </c>
      <c r="C2227" s="2" t="s">
        <v>7</v>
      </c>
      <c r="D2227" s="2" t="s">
        <v>558</v>
      </c>
      <c r="E2227" s="3">
        <v>20</v>
      </c>
      <c r="F2227" s="3">
        <f>12/6</f>
        <v>2</v>
      </c>
      <c r="G2227" s="4">
        <v>45077</v>
      </c>
      <c r="M2227" s="1"/>
      <c r="N2227" s="1"/>
      <c r="O2227" s="1"/>
      <c r="P2227" s="1"/>
      <c r="Q2227" s="1"/>
      <c r="R2227" s="1"/>
    </row>
    <row r="2228" spans="2:18">
      <c r="G2228" s="4"/>
      <c r="M2228" s="1"/>
      <c r="N2228" s="1"/>
      <c r="O2228" s="1"/>
      <c r="P2228" s="1"/>
      <c r="Q2228" s="1"/>
      <c r="R2228" s="1"/>
    </row>
    <row r="2229" spans="2:18">
      <c r="B2229" s="1" t="s">
        <v>562</v>
      </c>
      <c r="C2229" s="2" t="s">
        <v>5</v>
      </c>
      <c r="D2229" s="2" t="s">
        <v>558</v>
      </c>
      <c r="E2229" s="3">
        <v>10.5</v>
      </c>
      <c r="F2229" s="3">
        <f>5/5</f>
        <v>1</v>
      </c>
      <c r="G2229" s="4">
        <v>44341</v>
      </c>
      <c r="M2229" s="1"/>
      <c r="N2229" s="1"/>
      <c r="O2229" s="1"/>
      <c r="P2229" s="1"/>
      <c r="Q2229" s="1"/>
      <c r="R2229" s="1"/>
    </row>
    <row r="2230" spans="2:18">
      <c r="C2230" s="2" t="s">
        <v>7</v>
      </c>
      <c r="D2230" s="2" t="s">
        <v>552</v>
      </c>
      <c r="E2230" s="3">
        <v>40</v>
      </c>
      <c r="F2230" s="3">
        <f>25/4</f>
        <v>6.25</v>
      </c>
      <c r="G2230" s="4">
        <v>44811</v>
      </c>
      <c r="M2230" s="1"/>
      <c r="N2230" s="1"/>
      <c r="O2230" s="1"/>
      <c r="P2230" s="1"/>
      <c r="Q2230" s="1"/>
      <c r="R2230" s="1"/>
    </row>
    <row r="2231" spans="2:18">
      <c r="C2231" s="2" t="s">
        <v>18</v>
      </c>
      <c r="D2231" s="2" t="s">
        <v>2178</v>
      </c>
      <c r="E2231" s="3">
        <v>200</v>
      </c>
      <c r="F2231" s="3">
        <v>12</v>
      </c>
      <c r="G2231" s="4">
        <v>44557</v>
      </c>
      <c r="I2231" s="1">
        <v>1300</v>
      </c>
      <c r="J2231" s="1">
        <v>1300</v>
      </c>
      <c r="M2231" s="1"/>
      <c r="N2231" s="1"/>
      <c r="O2231" s="1"/>
      <c r="P2231" s="1"/>
      <c r="Q2231" s="1"/>
      <c r="R2231" s="1"/>
    </row>
    <row r="2232" spans="2:18">
      <c r="G2232" s="4"/>
      <c r="M2232" s="1"/>
      <c r="N2232" s="1"/>
      <c r="O2232" s="1"/>
      <c r="P2232" s="1"/>
      <c r="Q2232" s="1"/>
      <c r="R2232" s="1"/>
    </row>
    <row r="2233" spans="2:18">
      <c r="B2233" s="1" t="s">
        <v>561</v>
      </c>
      <c r="C2233" s="2" t="s">
        <v>285</v>
      </c>
      <c r="D2233" s="2" t="s">
        <v>558</v>
      </c>
      <c r="E2233" s="3">
        <v>0.5</v>
      </c>
      <c r="F2233" s="3">
        <v>0.1</v>
      </c>
      <c r="G2233" s="4">
        <v>43262</v>
      </c>
      <c r="M2233" s="1"/>
      <c r="N2233" s="1"/>
      <c r="O2233" s="1"/>
      <c r="P2233" s="1"/>
      <c r="Q2233" s="1"/>
      <c r="R2233" s="1"/>
    </row>
    <row r="2234" spans="2:18">
      <c r="C2234" s="2" t="s">
        <v>560</v>
      </c>
      <c r="D2234" s="2" t="s">
        <v>3</v>
      </c>
      <c r="E2234" s="3">
        <v>0.59499999999999997</v>
      </c>
      <c r="F2234" s="3">
        <v>0.59499999999999997</v>
      </c>
      <c r="G2234" s="4">
        <v>42278</v>
      </c>
      <c r="M2234" s="1"/>
      <c r="N2234" s="1"/>
      <c r="O2234" s="1"/>
      <c r="P2234" s="1"/>
      <c r="Q2234" s="1"/>
      <c r="R2234" s="1"/>
    </row>
    <row r="2235" spans="2:18">
      <c r="G2235" s="4"/>
      <c r="M2235" s="1"/>
      <c r="N2235" s="1"/>
      <c r="O2235" s="1"/>
      <c r="P2235" s="1"/>
      <c r="Q2235" s="1"/>
      <c r="R2235" s="1"/>
    </row>
    <row r="2236" spans="2:18">
      <c r="B2236" s="1" t="s">
        <v>559</v>
      </c>
      <c r="C2236" s="2" t="s">
        <v>285</v>
      </c>
      <c r="D2236" s="2" t="s">
        <v>558</v>
      </c>
      <c r="E2236" s="3">
        <v>0.5</v>
      </c>
      <c r="F2236" s="3">
        <v>0.3</v>
      </c>
      <c r="G2236" s="4">
        <v>43262</v>
      </c>
      <c r="M2236" s="1"/>
      <c r="N2236" s="1"/>
      <c r="O2236" s="1"/>
      <c r="P2236" s="1"/>
      <c r="Q2236" s="1"/>
      <c r="R2236" s="1"/>
    </row>
    <row r="2237" spans="2:18">
      <c r="B2237" s="1" t="s">
        <v>557</v>
      </c>
      <c r="C2237" s="2" t="s">
        <v>5</v>
      </c>
      <c r="D2237" s="2" t="s">
        <v>556</v>
      </c>
      <c r="E2237" s="3">
        <v>58</v>
      </c>
      <c r="F2237" s="3">
        <v>25</v>
      </c>
      <c r="G2237" s="4">
        <v>45104</v>
      </c>
      <c r="M2237" s="1"/>
      <c r="N2237" s="1"/>
      <c r="O2237" s="1"/>
      <c r="P2237" s="1"/>
      <c r="Q2237" s="1"/>
      <c r="R2237" s="1"/>
    </row>
    <row r="2238" spans="2:18">
      <c r="B2238" s="1" t="s">
        <v>555</v>
      </c>
      <c r="C2238" s="2" t="s">
        <v>7</v>
      </c>
      <c r="D2238" s="2" t="s">
        <v>552</v>
      </c>
      <c r="E2238" s="3">
        <v>40</v>
      </c>
      <c r="F2238" s="3">
        <v>15</v>
      </c>
      <c r="G2238" s="4">
        <v>44811</v>
      </c>
      <c r="M2238" s="1"/>
      <c r="N2238" s="1"/>
      <c r="O2238" s="1"/>
      <c r="P2238" s="1"/>
      <c r="Q2238" s="1"/>
      <c r="R2238" s="1"/>
    </row>
    <row r="2239" spans="2:18">
      <c r="B2239" s="1" t="s">
        <v>554</v>
      </c>
      <c r="C2239" s="2" t="s">
        <v>5</v>
      </c>
      <c r="D2239" s="2" t="s">
        <v>552</v>
      </c>
      <c r="E2239" s="3">
        <v>14</v>
      </c>
      <c r="F2239" s="3">
        <f>8/5</f>
        <v>1.6</v>
      </c>
      <c r="G2239" s="4">
        <v>44447</v>
      </c>
      <c r="M2239" s="1"/>
      <c r="N2239" s="1"/>
      <c r="O2239" s="1"/>
      <c r="P2239" s="1"/>
      <c r="Q2239" s="1"/>
      <c r="R2239" s="1"/>
    </row>
    <row r="2240" spans="2:18">
      <c r="C2240" s="2" t="s">
        <v>5</v>
      </c>
      <c r="D2240" s="2" t="s">
        <v>552</v>
      </c>
      <c r="E2240" s="3">
        <v>12</v>
      </c>
      <c r="F2240" s="3">
        <f>8/5</f>
        <v>1.6</v>
      </c>
      <c r="G2240" s="4">
        <v>43532</v>
      </c>
      <c r="M2240" s="1"/>
      <c r="N2240" s="1"/>
      <c r="O2240" s="1"/>
      <c r="P2240" s="1"/>
      <c r="Q2240" s="1"/>
      <c r="R2240" s="1"/>
    </row>
    <row r="2241" spans="2:18">
      <c r="G2241" s="4"/>
      <c r="M2241" s="1"/>
      <c r="N2241" s="1"/>
      <c r="O2241" s="1"/>
      <c r="P2241" s="1"/>
      <c r="Q2241" s="1"/>
      <c r="R2241" s="1"/>
    </row>
    <row r="2242" spans="2:18">
      <c r="B2242" s="1" t="s">
        <v>553</v>
      </c>
      <c r="C2242" s="2" t="s">
        <v>5</v>
      </c>
      <c r="D2242" s="2" t="s">
        <v>552</v>
      </c>
      <c r="E2242" s="3">
        <v>14</v>
      </c>
      <c r="F2242" s="3">
        <f>8/5</f>
        <v>1.6</v>
      </c>
      <c r="G2242" s="4">
        <v>44447</v>
      </c>
      <c r="M2242" s="1"/>
      <c r="N2242" s="1"/>
      <c r="O2242" s="1"/>
      <c r="P2242" s="1"/>
      <c r="Q2242" s="1"/>
      <c r="R2242" s="1"/>
    </row>
    <row r="2243" spans="2:18">
      <c r="C2243" s="2" t="s">
        <v>5</v>
      </c>
      <c r="D2243" s="2" t="s">
        <v>552</v>
      </c>
      <c r="E2243" s="3">
        <v>12</v>
      </c>
      <c r="F2243" s="3">
        <f>8/5</f>
        <v>1.6</v>
      </c>
      <c r="G2243" s="4">
        <v>43532</v>
      </c>
      <c r="M2243" s="1"/>
      <c r="N2243" s="1"/>
      <c r="O2243" s="1"/>
      <c r="P2243" s="1"/>
      <c r="Q2243" s="1"/>
      <c r="R2243" s="1"/>
    </row>
    <row r="2244" spans="2:18">
      <c r="C2244" s="2" t="s">
        <v>5</v>
      </c>
      <c r="D2244" s="2" t="s">
        <v>551</v>
      </c>
      <c r="E2244" s="3">
        <v>5</v>
      </c>
      <c r="F2244" s="3">
        <v>1</v>
      </c>
      <c r="G2244" s="4">
        <v>44514</v>
      </c>
      <c r="M2244" s="1"/>
      <c r="N2244" s="1"/>
      <c r="O2244" s="1"/>
      <c r="P2244" s="1"/>
      <c r="Q2244" s="1"/>
      <c r="R2244" s="1"/>
    </row>
    <row r="2245" spans="2:18">
      <c r="G2245" s="4"/>
      <c r="M2245" s="1"/>
      <c r="N2245" s="1"/>
      <c r="O2245" s="1"/>
      <c r="P2245" s="1"/>
      <c r="Q2245" s="1"/>
      <c r="R2245" s="1"/>
    </row>
    <row r="2246" spans="2:18">
      <c r="B2246" s="1" t="s">
        <v>550</v>
      </c>
      <c r="C2246" s="2" t="s">
        <v>18</v>
      </c>
      <c r="D2246" s="2" t="s">
        <v>543</v>
      </c>
      <c r="E2246" s="3">
        <v>45</v>
      </c>
      <c r="F2246" s="3">
        <v>15</v>
      </c>
      <c r="G2246" s="4">
        <v>44159</v>
      </c>
      <c r="M2246" s="1"/>
      <c r="N2246" s="1"/>
      <c r="O2246" s="1"/>
      <c r="P2246" s="1"/>
      <c r="Q2246" s="1"/>
      <c r="R2246" s="1"/>
    </row>
    <row r="2247" spans="2:18">
      <c r="B2247" s="1" t="s">
        <v>549</v>
      </c>
      <c r="C2247" s="2" t="s">
        <v>18</v>
      </c>
      <c r="D2247" s="2" t="s">
        <v>543</v>
      </c>
      <c r="E2247" s="3">
        <v>45</v>
      </c>
      <c r="F2247" s="3">
        <v>5</v>
      </c>
      <c r="G2247" s="4">
        <v>44159</v>
      </c>
      <c r="M2247" s="1"/>
      <c r="N2247" s="1"/>
      <c r="O2247" s="1"/>
      <c r="P2247" s="1"/>
      <c r="Q2247" s="1"/>
      <c r="R2247" s="1"/>
    </row>
    <row r="2248" spans="2:18">
      <c r="B2248" s="1" t="s">
        <v>548</v>
      </c>
      <c r="C2248" s="2" t="s">
        <v>18</v>
      </c>
      <c r="D2248" s="2" t="s">
        <v>543</v>
      </c>
      <c r="E2248" s="3">
        <v>45</v>
      </c>
      <c r="F2248" s="3">
        <v>5</v>
      </c>
      <c r="G2248" s="4">
        <v>44159</v>
      </c>
      <c r="M2248" s="1"/>
      <c r="N2248" s="1"/>
      <c r="O2248" s="1"/>
      <c r="P2248" s="1"/>
      <c r="Q2248" s="1"/>
      <c r="R2248" s="1"/>
    </row>
    <row r="2249" spans="2:18">
      <c r="B2249" s="1" t="s">
        <v>547</v>
      </c>
      <c r="C2249" s="2" t="s">
        <v>18</v>
      </c>
      <c r="D2249" s="2" t="s">
        <v>543</v>
      </c>
      <c r="E2249" s="3">
        <v>45</v>
      </c>
      <c r="F2249" s="3">
        <v>5</v>
      </c>
      <c r="G2249" s="4">
        <v>44159</v>
      </c>
      <c r="M2249" s="1"/>
      <c r="N2249" s="1"/>
      <c r="O2249" s="1"/>
      <c r="P2249" s="1"/>
      <c r="Q2249" s="1"/>
      <c r="R2249" s="1"/>
    </row>
    <row r="2250" spans="2:18">
      <c r="B2250" s="1" t="s">
        <v>546</v>
      </c>
      <c r="C2250" s="2" t="s">
        <v>18</v>
      </c>
      <c r="D2250" s="2" t="s">
        <v>543</v>
      </c>
      <c r="E2250" s="3">
        <v>45</v>
      </c>
      <c r="F2250" s="3">
        <v>5</v>
      </c>
      <c r="G2250" s="4">
        <v>44159</v>
      </c>
      <c r="M2250" s="1"/>
      <c r="N2250" s="1"/>
      <c r="O2250" s="1"/>
      <c r="P2250" s="1"/>
      <c r="Q2250" s="1"/>
      <c r="R2250" s="1"/>
    </row>
    <row r="2251" spans="2:18">
      <c r="B2251" s="1" t="s">
        <v>545</v>
      </c>
      <c r="C2251" s="2" t="s">
        <v>18</v>
      </c>
      <c r="D2251" s="2" t="s">
        <v>543</v>
      </c>
      <c r="E2251" s="3">
        <v>45</v>
      </c>
      <c r="F2251" s="3">
        <v>5</v>
      </c>
      <c r="G2251" s="4">
        <v>44159</v>
      </c>
      <c r="M2251" s="1"/>
      <c r="N2251" s="1"/>
      <c r="O2251" s="1"/>
      <c r="P2251" s="1"/>
      <c r="Q2251" s="1"/>
      <c r="R2251" s="1"/>
    </row>
    <row r="2252" spans="2:18">
      <c r="B2252" s="1" t="s">
        <v>544</v>
      </c>
      <c r="C2252" s="2" t="s">
        <v>18</v>
      </c>
      <c r="D2252" s="2" t="s">
        <v>543</v>
      </c>
      <c r="E2252" s="3">
        <v>45</v>
      </c>
      <c r="F2252" s="3">
        <v>5</v>
      </c>
      <c r="G2252" s="4">
        <v>44159</v>
      </c>
      <c r="M2252" s="1"/>
      <c r="N2252" s="1"/>
      <c r="O2252" s="1"/>
      <c r="P2252" s="1"/>
      <c r="Q2252" s="1"/>
      <c r="R2252" s="1"/>
    </row>
    <row r="2253" spans="2:18">
      <c r="B2253" s="1" t="s">
        <v>542</v>
      </c>
      <c r="C2253" s="2" t="s">
        <v>8</v>
      </c>
      <c r="D2253" s="2" t="s">
        <v>530</v>
      </c>
      <c r="E2253" s="3">
        <v>100</v>
      </c>
      <c r="F2253" s="3">
        <v>25</v>
      </c>
      <c r="G2253" s="4">
        <v>44419</v>
      </c>
      <c r="M2253" s="1"/>
      <c r="N2253" s="1"/>
      <c r="O2253" s="1"/>
      <c r="P2253" s="1"/>
      <c r="Q2253" s="1"/>
      <c r="R2253" s="1"/>
    </row>
    <row r="2254" spans="2:18">
      <c r="B2254" s="1" t="s">
        <v>541</v>
      </c>
      <c r="C2254" s="2" t="s">
        <v>8</v>
      </c>
      <c r="D2254" s="2" t="s">
        <v>530</v>
      </c>
      <c r="E2254" s="3">
        <v>100</v>
      </c>
      <c r="F2254" s="3">
        <f>50/4</f>
        <v>12.5</v>
      </c>
      <c r="G2254" s="4">
        <v>44419</v>
      </c>
      <c r="M2254" s="1"/>
      <c r="N2254" s="1"/>
      <c r="O2254" s="1"/>
      <c r="P2254" s="1"/>
      <c r="Q2254" s="1"/>
      <c r="R2254" s="1"/>
    </row>
    <row r="2255" spans="2:18">
      <c r="B2255" s="1" t="s">
        <v>540</v>
      </c>
      <c r="C2255" s="2" t="s">
        <v>18</v>
      </c>
      <c r="D2255" s="2" t="s">
        <v>530</v>
      </c>
      <c r="E2255" s="3">
        <v>60</v>
      </c>
      <c r="F2255" s="3">
        <v>5</v>
      </c>
      <c r="G2255" s="4">
        <v>43606</v>
      </c>
      <c r="M2255" s="1"/>
      <c r="N2255" s="1"/>
      <c r="O2255" s="1"/>
      <c r="P2255" s="1"/>
      <c r="Q2255" s="1"/>
      <c r="R2255" s="1"/>
    </row>
    <row r="2256" spans="2:18">
      <c r="B2256" s="1" t="s">
        <v>539</v>
      </c>
      <c r="C2256" s="2" t="s">
        <v>18</v>
      </c>
      <c r="D2256" s="2" t="s">
        <v>530</v>
      </c>
      <c r="E2256" s="3">
        <v>60</v>
      </c>
      <c r="F2256" s="3">
        <v>5</v>
      </c>
      <c r="G2256" s="4">
        <v>43606</v>
      </c>
      <c r="M2256" s="1"/>
      <c r="N2256" s="1"/>
      <c r="O2256" s="1"/>
      <c r="P2256" s="1"/>
      <c r="Q2256" s="1"/>
      <c r="R2256" s="1"/>
    </row>
    <row r="2257" spans="2:18">
      <c r="B2257" s="1" t="s">
        <v>538</v>
      </c>
      <c r="C2257" s="2" t="s">
        <v>5</v>
      </c>
      <c r="D2257" s="2" t="s">
        <v>530</v>
      </c>
      <c r="E2257" s="3">
        <v>7</v>
      </c>
      <c r="F2257" s="3">
        <v>0.5</v>
      </c>
      <c r="G2257" s="4">
        <v>42885</v>
      </c>
      <c r="M2257" s="1"/>
      <c r="N2257" s="1"/>
      <c r="O2257" s="1"/>
      <c r="P2257" s="1"/>
      <c r="Q2257" s="1"/>
      <c r="R2257" s="1"/>
    </row>
    <row r="2258" spans="2:18">
      <c r="B2258" s="1" t="s">
        <v>537</v>
      </c>
      <c r="C2258" s="2" t="s">
        <v>4</v>
      </c>
      <c r="D2258" s="2" t="s">
        <v>530</v>
      </c>
      <c r="E2258" s="3">
        <v>3</v>
      </c>
      <c r="F2258" s="3">
        <v>0.5</v>
      </c>
      <c r="G2258" s="4">
        <v>42606</v>
      </c>
      <c r="M2258" s="1"/>
      <c r="N2258" s="1"/>
      <c r="O2258" s="1"/>
      <c r="P2258" s="1"/>
      <c r="Q2258" s="1"/>
      <c r="R2258" s="1"/>
    </row>
    <row r="2259" spans="2:18">
      <c r="G2259" s="4"/>
      <c r="M2259" s="1"/>
      <c r="N2259" s="1"/>
      <c r="O2259" s="1"/>
      <c r="P2259" s="1"/>
      <c r="Q2259" s="1"/>
      <c r="R2259" s="1"/>
    </row>
    <row r="2260" spans="2:18">
      <c r="B2260" s="1" t="s">
        <v>536</v>
      </c>
      <c r="C2260" s="2" t="s">
        <v>4</v>
      </c>
      <c r="D2260" s="2" t="s">
        <v>530</v>
      </c>
      <c r="E2260" s="3">
        <v>3</v>
      </c>
      <c r="F2260" s="3">
        <v>0.5</v>
      </c>
      <c r="G2260" s="4">
        <v>42606</v>
      </c>
      <c r="M2260" s="1"/>
      <c r="N2260" s="1"/>
      <c r="O2260" s="1"/>
      <c r="P2260" s="1"/>
      <c r="Q2260" s="1"/>
      <c r="R2260" s="1"/>
    </row>
    <row r="2261" spans="2:18">
      <c r="C2261" s="2" t="s">
        <v>7</v>
      </c>
      <c r="D2261" s="2" t="s">
        <v>535</v>
      </c>
      <c r="E2261" s="3">
        <v>32</v>
      </c>
      <c r="F2261" s="3">
        <v>3</v>
      </c>
      <c r="G2261" s="4">
        <v>44364</v>
      </c>
      <c r="M2261" s="1"/>
      <c r="N2261" s="1"/>
      <c r="O2261" s="1"/>
      <c r="P2261" s="1"/>
      <c r="Q2261" s="1"/>
      <c r="R2261" s="1"/>
    </row>
    <row r="2262" spans="2:18">
      <c r="C2262" s="2" t="s">
        <v>5</v>
      </c>
      <c r="D2262" s="2" t="s">
        <v>535</v>
      </c>
      <c r="E2262" s="3">
        <v>10.199999999999999</v>
      </c>
      <c r="F2262" s="3">
        <v>2</v>
      </c>
      <c r="G2262" s="4">
        <v>43732</v>
      </c>
      <c r="M2262" s="1"/>
      <c r="N2262" s="1"/>
      <c r="O2262" s="1"/>
      <c r="P2262" s="1"/>
      <c r="Q2262" s="1"/>
      <c r="R2262" s="1"/>
    </row>
    <row r="2263" spans="2:18">
      <c r="C2263" s="2" t="s">
        <v>4</v>
      </c>
      <c r="D2263" s="2" t="s">
        <v>535</v>
      </c>
      <c r="E2263" s="3">
        <v>3</v>
      </c>
      <c r="F2263" s="3">
        <v>1.5</v>
      </c>
      <c r="G2263" s="4">
        <v>43374</v>
      </c>
      <c r="M2263" s="1"/>
      <c r="N2263" s="1"/>
      <c r="O2263" s="1"/>
      <c r="P2263" s="1"/>
      <c r="Q2263" s="1"/>
      <c r="R2263" s="1"/>
    </row>
    <row r="2264" spans="2:18">
      <c r="G2264" s="4"/>
      <c r="M2264" s="1"/>
      <c r="N2264" s="1"/>
      <c r="O2264" s="1"/>
      <c r="P2264" s="1"/>
      <c r="Q2264" s="1"/>
      <c r="R2264" s="1"/>
    </row>
    <row r="2265" spans="2:18">
      <c r="B2265" s="1" t="s">
        <v>534</v>
      </c>
      <c r="C2265" s="2" t="s">
        <v>4</v>
      </c>
      <c r="D2265" s="2" t="s">
        <v>530</v>
      </c>
      <c r="E2265" s="3">
        <v>3</v>
      </c>
      <c r="F2265" s="3">
        <v>0.5</v>
      </c>
      <c r="G2265" s="4">
        <v>42606</v>
      </c>
      <c r="M2265" s="1"/>
      <c r="N2265" s="1"/>
      <c r="O2265" s="1"/>
      <c r="P2265" s="1"/>
      <c r="Q2265" s="1"/>
      <c r="R2265" s="1"/>
    </row>
    <row r="2266" spans="2:18">
      <c r="B2266" s="1" t="s">
        <v>533</v>
      </c>
      <c r="C2266" s="2" t="s">
        <v>4</v>
      </c>
      <c r="D2266" s="2" t="s">
        <v>530</v>
      </c>
      <c r="E2266" s="3">
        <v>3</v>
      </c>
      <c r="F2266" s="3">
        <v>0.5</v>
      </c>
      <c r="G2266" s="4">
        <v>42606</v>
      </c>
      <c r="M2266" s="1"/>
      <c r="N2266" s="1"/>
      <c r="O2266" s="1"/>
      <c r="P2266" s="1"/>
      <c r="Q2266" s="1"/>
      <c r="R2266" s="1"/>
    </row>
    <row r="2267" spans="2:18">
      <c r="B2267" s="1" t="s">
        <v>532</v>
      </c>
      <c r="C2267" s="2" t="s">
        <v>4</v>
      </c>
      <c r="D2267" s="2" t="s">
        <v>530</v>
      </c>
      <c r="E2267" s="3">
        <v>3</v>
      </c>
      <c r="F2267" s="3">
        <v>0.5</v>
      </c>
      <c r="G2267" s="4">
        <v>42606</v>
      </c>
      <c r="M2267" s="1"/>
      <c r="N2267" s="1"/>
      <c r="O2267" s="1"/>
      <c r="P2267" s="1"/>
      <c r="Q2267" s="1"/>
      <c r="R2267" s="1"/>
    </row>
    <row r="2268" spans="2:18">
      <c r="B2268" s="1" t="s">
        <v>531</v>
      </c>
      <c r="C2268" s="2" t="s">
        <v>4</v>
      </c>
      <c r="D2268" s="2" t="s">
        <v>530</v>
      </c>
      <c r="E2268" s="3">
        <v>3</v>
      </c>
      <c r="F2268" s="3">
        <v>0.5</v>
      </c>
      <c r="G2268" s="4">
        <v>42606</v>
      </c>
      <c r="M2268" s="1"/>
      <c r="N2268" s="1"/>
      <c r="O2268" s="1"/>
      <c r="P2268" s="1"/>
      <c r="Q2268" s="1"/>
      <c r="R2268" s="1"/>
    </row>
    <row r="2269" spans="2:18">
      <c r="B2269" s="1" t="s">
        <v>529</v>
      </c>
      <c r="C2269" s="2" t="s">
        <v>5</v>
      </c>
      <c r="D2269" s="2" t="s">
        <v>526</v>
      </c>
      <c r="E2269" s="3">
        <v>14.5</v>
      </c>
      <c r="F2269" s="3">
        <v>3</v>
      </c>
      <c r="G2269" s="4">
        <v>43389</v>
      </c>
      <c r="M2269" s="1"/>
      <c r="N2269" s="1"/>
      <c r="O2269" s="1"/>
      <c r="P2269" s="1"/>
      <c r="Q2269" s="1"/>
      <c r="R2269" s="1"/>
    </row>
    <row r="2270" spans="2:18">
      <c r="B2270" s="1" t="s">
        <v>528</v>
      </c>
      <c r="C2270" s="2" t="s">
        <v>5</v>
      </c>
      <c r="D2270" s="2" t="s">
        <v>526</v>
      </c>
      <c r="E2270" s="3">
        <v>14.5</v>
      </c>
      <c r="F2270" s="3">
        <v>1.5</v>
      </c>
      <c r="G2270" s="4">
        <v>43389</v>
      </c>
      <c r="M2270" s="1"/>
      <c r="N2270" s="1"/>
      <c r="O2270" s="1"/>
      <c r="P2270" s="1"/>
      <c r="Q2270" s="1"/>
      <c r="R2270" s="1"/>
    </row>
    <row r="2271" spans="2:18">
      <c r="G2271" s="4"/>
      <c r="M2271" s="1"/>
      <c r="N2271" s="1"/>
      <c r="O2271" s="1"/>
      <c r="P2271" s="1"/>
      <c r="Q2271" s="1"/>
      <c r="R2271" s="1"/>
    </row>
    <row r="2272" spans="2:18">
      <c r="B2272" s="1" t="s">
        <v>527</v>
      </c>
      <c r="C2272" s="2" t="s">
        <v>4</v>
      </c>
      <c r="D2272" s="2" t="s">
        <v>526</v>
      </c>
      <c r="E2272" s="3">
        <v>4</v>
      </c>
      <c r="F2272" s="3">
        <f>4/3</f>
        <v>1.3333333333333333</v>
      </c>
      <c r="G2272" s="4">
        <v>42647</v>
      </c>
      <c r="M2272" s="1"/>
      <c r="N2272" s="1"/>
      <c r="O2272" s="1"/>
      <c r="P2272" s="1"/>
      <c r="Q2272" s="1"/>
      <c r="R2272" s="1"/>
    </row>
    <row r="2273" spans="2:18">
      <c r="G2273" s="4"/>
      <c r="M2273" s="1"/>
      <c r="N2273" s="1"/>
      <c r="O2273" s="1"/>
      <c r="P2273" s="1"/>
      <c r="Q2273" s="1"/>
      <c r="R2273" s="1"/>
    </row>
    <row r="2274" spans="2:18">
      <c r="B2274" s="1" t="s">
        <v>525</v>
      </c>
      <c r="C2274" s="2" t="s">
        <v>4</v>
      </c>
      <c r="D2274" s="2" t="s">
        <v>518</v>
      </c>
      <c r="E2274" s="3">
        <v>3</v>
      </c>
      <c r="F2274" s="3">
        <v>1.5</v>
      </c>
      <c r="G2274" s="4">
        <v>45037</v>
      </c>
      <c r="M2274" s="1"/>
      <c r="N2274" s="1"/>
      <c r="O2274" s="1"/>
      <c r="P2274" s="1"/>
      <c r="Q2274" s="1"/>
      <c r="R2274" s="1"/>
    </row>
    <row r="2275" spans="2:18">
      <c r="C2275" s="2" t="s">
        <v>18</v>
      </c>
      <c r="D2275" s="2" t="s">
        <v>299</v>
      </c>
      <c r="E2275" s="3">
        <v>38</v>
      </c>
      <c r="F2275" s="3">
        <v>3</v>
      </c>
      <c r="G2275" s="4">
        <v>43104</v>
      </c>
      <c r="M2275" s="1"/>
      <c r="N2275" s="1"/>
      <c r="O2275" s="1"/>
      <c r="P2275" s="1"/>
      <c r="Q2275" s="1"/>
      <c r="R2275" s="1"/>
    </row>
    <row r="2276" spans="2:18">
      <c r="C2276" s="2" t="s">
        <v>7</v>
      </c>
      <c r="D2276" s="2" t="s">
        <v>299</v>
      </c>
      <c r="E2276" s="3">
        <v>6.9</v>
      </c>
      <c r="F2276" s="3">
        <f>E2276/5</f>
        <v>1.3800000000000001</v>
      </c>
      <c r="G2276" s="4">
        <v>42458</v>
      </c>
      <c r="M2276" s="1"/>
      <c r="N2276" s="1"/>
      <c r="O2276" s="1"/>
      <c r="P2276" s="1"/>
      <c r="Q2276" s="1"/>
      <c r="R2276" s="1"/>
    </row>
    <row r="2277" spans="2:18">
      <c r="C2277" s="2" t="s">
        <v>5</v>
      </c>
      <c r="D2277" s="2" t="s">
        <v>299</v>
      </c>
      <c r="E2277" s="3">
        <v>2.7</v>
      </c>
      <c r="F2277" s="3">
        <f>1.7/4</f>
        <v>0.42499999999999999</v>
      </c>
      <c r="G2277" s="4">
        <v>42139</v>
      </c>
      <c r="M2277" s="1"/>
      <c r="N2277" s="1"/>
      <c r="O2277" s="1"/>
      <c r="P2277" s="1"/>
      <c r="Q2277" s="1"/>
      <c r="R2277" s="1"/>
    </row>
    <row r="2278" spans="2:18">
      <c r="G2278" s="4"/>
      <c r="M2278" s="1"/>
      <c r="N2278" s="1"/>
      <c r="O2278" s="1"/>
      <c r="P2278" s="1"/>
      <c r="Q2278" s="1"/>
      <c r="R2278" s="1"/>
    </row>
    <row r="2279" spans="2:18">
      <c r="B2279" s="1" t="s">
        <v>524</v>
      </c>
      <c r="C2279" s="2" t="s">
        <v>4</v>
      </c>
      <c r="D2279" s="2" t="s">
        <v>518</v>
      </c>
      <c r="E2279" s="3">
        <v>3</v>
      </c>
      <c r="F2279" s="3">
        <v>0.5</v>
      </c>
      <c r="G2279" s="4">
        <v>45037</v>
      </c>
      <c r="M2279" s="1"/>
      <c r="N2279" s="1"/>
      <c r="O2279" s="1"/>
      <c r="P2279" s="1"/>
      <c r="Q2279" s="1"/>
      <c r="R2279" s="1"/>
    </row>
    <row r="2280" spans="2:18">
      <c r="C2280" s="2" t="s">
        <v>285</v>
      </c>
      <c r="D2280" s="2" t="s">
        <v>518</v>
      </c>
      <c r="E2280" s="3">
        <v>1.2</v>
      </c>
      <c r="F2280" s="3">
        <v>0.3</v>
      </c>
      <c r="G2280" s="4">
        <v>44545</v>
      </c>
      <c r="M2280" s="1"/>
      <c r="N2280" s="1"/>
      <c r="O2280" s="1"/>
      <c r="P2280" s="1"/>
      <c r="Q2280" s="1"/>
      <c r="R2280" s="1"/>
    </row>
    <row r="2281" spans="2:18">
      <c r="G2281" s="4"/>
      <c r="M2281" s="1"/>
      <c r="N2281" s="1"/>
      <c r="O2281" s="1"/>
      <c r="P2281" s="1"/>
      <c r="Q2281" s="1"/>
      <c r="R2281" s="1"/>
    </row>
    <row r="2282" spans="2:18">
      <c r="B2282" s="1" t="s">
        <v>523</v>
      </c>
      <c r="C2282" s="2" t="s">
        <v>4</v>
      </c>
      <c r="D2282" s="2" t="s">
        <v>518</v>
      </c>
      <c r="E2282" s="3">
        <v>3</v>
      </c>
      <c r="F2282" s="3">
        <v>0.5</v>
      </c>
      <c r="G2282" s="4">
        <v>45037</v>
      </c>
      <c r="M2282" s="1"/>
      <c r="N2282" s="1"/>
      <c r="O2282" s="1"/>
      <c r="P2282" s="1"/>
      <c r="Q2282" s="1"/>
      <c r="R2282" s="1"/>
    </row>
    <row r="2283" spans="2:18">
      <c r="C2283" s="2" t="s">
        <v>7</v>
      </c>
      <c r="D2283" s="2" t="s">
        <v>484</v>
      </c>
      <c r="E2283" s="3">
        <v>90</v>
      </c>
      <c r="F2283" s="3">
        <v>6</v>
      </c>
      <c r="G2283" s="4">
        <v>44398</v>
      </c>
      <c r="M2283" s="1"/>
      <c r="N2283" s="1"/>
      <c r="O2283" s="1"/>
      <c r="P2283" s="1"/>
      <c r="Q2283" s="1"/>
      <c r="R2283" s="1"/>
    </row>
    <row r="2284" spans="2:18">
      <c r="C2284" s="2" t="s">
        <v>9</v>
      </c>
      <c r="D2284" s="2" t="s">
        <v>181</v>
      </c>
      <c r="E2284" s="3">
        <v>392</v>
      </c>
      <c r="F2284" s="3">
        <f>E2284/5</f>
        <v>78.400000000000006</v>
      </c>
      <c r="G2284" s="4">
        <v>43280</v>
      </c>
      <c r="M2284" s="1"/>
      <c r="N2284" s="1"/>
      <c r="O2284" s="1"/>
      <c r="P2284" s="1"/>
      <c r="Q2284" s="1"/>
      <c r="R2284" s="1"/>
    </row>
    <row r="2285" spans="2:18">
      <c r="G2285" s="4"/>
      <c r="M2285" s="1"/>
      <c r="N2285" s="1"/>
      <c r="O2285" s="1"/>
      <c r="P2285" s="1"/>
      <c r="Q2285" s="1"/>
      <c r="R2285" s="1"/>
    </row>
    <row r="2286" spans="2:18">
      <c r="B2286" s="1" t="s">
        <v>522</v>
      </c>
      <c r="C2286" s="2" t="s">
        <v>285</v>
      </c>
      <c r="D2286" s="2" t="s">
        <v>518</v>
      </c>
      <c r="E2286" s="3">
        <v>1.2</v>
      </c>
      <c r="F2286" s="3">
        <v>0.3</v>
      </c>
      <c r="G2286" s="4">
        <v>44545</v>
      </c>
      <c r="M2286" s="1"/>
      <c r="N2286" s="1"/>
      <c r="O2286" s="1"/>
      <c r="P2286" s="1"/>
      <c r="Q2286" s="1"/>
      <c r="R2286" s="1"/>
    </row>
    <row r="2287" spans="2:18">
      <c r="B2287" s="1" t="s">
        <v>521</v>
      </c>
      <c r="C2287" s="2" t="s">
        <v>285</v>
      </c>
      <c r="D2287" s="2" t="s">
        <v>518</v>
      </c>
      <c r="E2287" s="3">
        <v>1.2</v>
      </c>
      <c r="F2287" s="3">
        <v>0.3</v>
      </c>
      <c r="G2287" s="4">
        <v>44545</v>
      </c>
      <c r="M2287" s="1"/>
      <c r="N2287" s="1"/>
      <c r="O2287" s="1"/>
      <c r="P2287" s="1"/>
      <c r="Q2287" s="1"/>
      <c r="R2287" s="1"/>
    </row>
    <row r="2288" spans="2:18">
      <c r="B2288" s="1" t="s">
        <v>520</v>
      </c>
      <c r="C2288" s="2" t="s">
        <v>285</v>
      </c>
      <c r="D2288" s="2" t="s">
        <v>518</v>
      </c>
      <c r="E2288" s="3">
        <v>1.2</v>
      </c>
      <c r="F2288" s="3">
        <v>0.3</v>
      </c>
      <c r="G2288" s="4">
        <v>44545</v>
      </c>
      <c r="M2288" s="1"/>
      <c r="N2288" s="1"/>
      <c r="O2288" s="1"/>
      <c r="P2288" s="1"/>
      <c r="Q2288" s="1"/>
      <c r="R2288" s="1"/>
    </row>
    <row r="2289" spans="2:18">
      <c r="B2289" s="1" t="s">
        <v>519</v>
      </c>
      <c r="C2289" s="2" t="s">
        <v>285</v>
      </c>
      <c r="D2289" s="2" t="s">
        <v>518</v>
      </c>
      <c r="E2289" s="3">
        <v>1.2</v>
      </c>
      <c r="F2289" s="3">
        <v>0.3</v>
      </c>
      <c r="G2289" s="4">
        <v>44545</v>
      </c>
      <c r="M2289" s="1"/>
      <c r="N2289" s="1"/>
      <c r="O2289" s="1"/>
      <c r="P2289" s="1"/>
      <c r="Q2289" s="1"/>
      <c r="R2289" s="1"/>
    </row>
    <row r="2290" spans="2:18">
      <c r="G2290" s="4"/>
      <c r="M2290" s="1"/>
      <c r="N2290" s="1"/>
      <c r="O2290" s="1"/>
      <c r="P2290" s="1"/>
      <c r="Q2290" s="1"/>
      <c r="R2290" s="1"/>
    </row>
    <row r="2291" spans="2:18">
      <c r="B2291" s="1" t="s">
        <v>517</v>
      </c>
      <c r="C2291" s="2" t="s">
        <v>513</v>
      </c>
      <c r="D2291" s="2" t="s">
        <v>498</v>
      </c>
      <c r="E2291" s="3">
        <v>250</v>
      </c>
      <c r="F2291" s="3">
        <v>50</v>
      </c>
      <c r="G2291" s="4">
        <v>44376</v>
      </c>
      <c r="M2291" s="1"/>
      <c r="N2291" s="1"/>
      <c r="O2291" s="1"/>
      <c r="P2291" s="1"/>
      <c r="Q2291" s="1"/>
      <c r="R2291" s="1"/>
    </row>
    <row r="2292" spans="2:18">
      <c r="C2292" s="2" t="s">
        <v>55</v>
      </c>
      <c r="D2292" s="2" t="s">
        <v>498</v>
      </c>
      <c r="E2292" s="3">
        <v>270</v>
      </c>
      <c r="F2292" s="3">
        <v>50</v>
      </c>
      <c r="G2292" s="4">
        <v>44152</v>
      </c>
      <c r="M2292" s="1"/>
      <c r="N2292" s="1"/>
      <c r="O2292" s="1"/>
      <c r="P2292" s="1"/>
      <c r="Q2292" s="1"/>
      <c r="R2292" s="1"/>
    </row>
    <row r="2293" spans="2:18">
      <c r="C2293" s="2" t="s">
        <v>8</v>
      </c>
      <c r="D2293" s="2" t="s">
        <v>247</v>
      </c>
      <c r="E2293" s="3">
        <v>81</v>
      </c>
      <c r="F2293" s="3">
        <f>+E2293/6</f>
        <v>13.5</v>
      </c>
      <c r="G2293" s="4">
        <v>43418</v>
      </c>
      <c r="I2293" s="1">
        <v>1700</v>
      </c>
      <c r="J2293" s="1">
        <v>3800</v>
      </c>
      <c r="M2293" s="1"/>
      <c r="N2293" s="1"/>
      <c r="O2293" s="1"/>
      <c r="P2293" s="1"/>
      <c r="Q2293" s="1"/>
      <c r="R2293" s="1"/>
    </row>
    <row r="2294" spans="2:18">
      <c r="C2294" s="2" t="s">
        <v>18</v>
      </c>
      <c r="D2294" s="2" t="s">
        <v>247</v>
      </c>
      <c r="E2294" s="3">
        <v>60</v>
      </c>
      <c r="F2294" s="3">
        <f>+E2294/5</f>
        <v>12</v>
      </c>
      <c r="G2294" s="4">
        <v>42736</v>
      </c>
      <c r="I2294" s="1">
        <v>800</v>
      </c>
      <c r="J2294" s="1">
        <v>3800</v>
      </c>
      <c r="M2294" s="1"/>
      <c r="N2294" s="1"/>
      <c r="O2294" s="1"/>
      <c r="P2294" s="1"/>
      <c r="Q2294" s="1"/>
      <c r="R2294" s="1"/>
    </row>
    <row r="2295" spans="2:18">
      <c r="G2295" s="4"/>
      <c r="M2295" s="1"/>
      <c r="N2295" s="1"/>
      <c r="O2295" s="1"/>
      <c r="P2295" s="1"/>
      <c r="Q2295" s="1"/>
      <c r="R2295" s="1"/>
    </row>
    <row r="2296" spans="2:18">
      <c r="B2296" s="1" t="s">
        <v>516</v>
      </c>
      <c r="C2296" s="2" t="s">
        <v>513</v>
      </c>
      <c r="D2296" s="2" t="s">
        <v>498</v>
      </c>
      <c r="E2296" s="3">
        <v>250</v>
      </c>
      <c r="F2296" s="3">
        <f>150/5</f>
        <v>30</v>
      </c>
      <c r="G2296" s="4">
        <v>44376</v>
      </c>
      <c r="M2296" s="1"/>
      <c r="N2296" s="1"/>
      <c r="O2296" s="1"/>
      <c r="P2296" s="1"/>
      <c r="Q2296" s="1"/>
      <c r="R2296" s="1"/>
    </row>
    <row r="2297" spans="2:18">
      <c r="B2297" s="1" t="s">
        <v>515</v>
      </c>
      <c r="C2297" s="2" t="s">
        <v>513</v>
      </c>
      <c r="D2297" s="2" t="s">
        <v>498</v>
      </c>
      <c r="E2297" s="3">
        <v>250</v>
      </c>
      <c r="F2297" s="3">
        <f>150/5</f>
        <v>30</v>
      </c>
      <c r="G2297" s="4">
        <v>44376</v>
      </c>
      <c r="M2297" s="1"/>
      <c r="N2297" s="1"/>
      <c r="O2297" s="1"/>
      <c r="P2297" s="1"/>
      <c r="Q2297" s="1"/>
      <c r="R2297" s="1"/>
    </row>
    <row r="2298" spans="2:18">
      <c r="G2298" s="4"/>
      <c r="M2298" s="1"/>
      <c r="N2298" s="1"/>
      <c r="O2298" s="1"/>
      <c r="P2298" s="1"/>
      <c r="Q2298" s="1"/>
      <c r="R2298" s="1"/>
    </row>
    <row r="2299" spans="2:18">
      <c r="G2299" s="4"/>
      <c r="M2299" s="1"/>
      <c r="N2299" s="1"/>
      <c r="O2299" s="1"/>
      <c r="P2299" s="1"/>
      <c r="Q2299" s="1"/>
      <c r="R2299" s="1"/>
    </row>
    <row r="2300" spans="2:18">
      <c r="B2300" s="1" t="s">
        <v>514</v>
      </c>
      <c r="C2300" s="2" t="s">
        <v>513</v>
      </c>
      <c r="D2300" s="2" t="s">
        <v>498</v>
      </c>
      <c r="E2300" s="3">
        <v>250</v>
      </c>
      <c r="F2300" s="3">
        <f>150/5</f>
        <v>30</v>
      </c>
      <c r="G2300" s="4">
        <v>44376</v>
      </c>
      <c r="M2300" s="1"/>
      <c r="N2300" s="1"/>
      <c r="O2300" s="1"/>
      <c r="P2300" s="1"/>
      <c r="Q2300" s="1"/>
      <c r="R2300" s="1"/>
    </row>
    <row r="2301" spans="2:18">
      <c r="G2301" s="4"/>
      <c r="M2301" s="1"/>
      <c r="N2301" s="1"/>
      <c r="O2301" s="1"/>
      <c r="P2301" s="1"/>
      <c r="Q2301" s="1"/>
      <c r="R2301" s="1"/>
    </row>
    <row r="2302" spans="2:18">
      <c r="B2302" s="1" t="s">
        <v>512</v>
      </c>
      <c r="C2302" s="2" t="s">
        <v>55</v>
      </c>
      <c r="D2302" s="2" t="s">
        <v>498</v>
      </c>
      <c r="E2302" s="3">
        <v>270</v>
      </c>
      <c r="F2302" s="3">
        <v>22</v>
      </c>
      <c r="G2302" s="4">
        <v>44152</v>
      </c>
      <c r="M2302" s="1"/>
      <c r="N2302" s="1"/>
      <c r="O2302" s="1"/>
      <c r="P2302" s="1"/>
      <c r="Q2302" s="1"/>
      <c r="R2302" s="1"/>
    </row>
    <row r="2303" spans="2:18">
      <c r="C2303" s="2" t="s">
        <v>9</v>
      </c>
      <c r="D2303" s="2" t="s">
        <v>498</v>
      </c>
      <c r="E2303" s="3">
        <v>206</v>
      </c>
      <c r="F2303" s="3">
        <v>14</v>
      </c>
      <c r="G2303" s="4">
        <v>43725</v>
      </c>
      <c r="M2303" s="1"/>
      <c r="N2303" s="1"/>
      <c r="O2303" s="1"/>
      <c r="P2303" s="1"/>
      <c r="Q2303" s="1"/>
      <c r="R2303" s="1"/>
    </row>
    <row r="2304" spans="2:18">
      <c r="G2304" s="4"/>
      <c r="M2304" s="1"/>
      <c r="N2304" s="1"/>
      <c r="O2304" s="1"/>
      <c r="P2304" s="1"/>
      <c r="Q2304" s="1"/>
      <c r="R2304" s="1"/>
    </row>
    <row r="2305" spans="2:18">
      <c r="B2305" s="1" t="s">
        <v>511</v>
      </c>
      <c r="C2305" s="2" t="s">
        <v>55</v>
      </c>
      <c r="D2305" s="2" t="s">
        <v>498</v>
      </c>
      <c r="E2305" s="3">
        <v>270</v>
      </c>
      <c r="F2305" s="3">
        <v>22</v>
      </c>
      <c r="G2305" s="4">
        <v>44152</v>
      </c>
      <c r="M2305" s="1"/>
      <c r="N2305" s="1"/>
      <c r="O2305" s="1"/>
      <c r="P2305" s="1"/>
      <c r="Q2305" s="1"/>
      <c r="R2305" s="1"/>
    </row>
    <row r="2306" spans="2:18">
      <c r="C2306" s="2" t="s">
        <v>8</v>
      </c>
      <c r="D2306" s="2" t="s">
        <v>181</v>
      </c>
      <c r="E2306" s="3">
        <v>130</v>
      </c>
      <c r="F2306" s="3">
        <v>12</v>
      </c>
      <c r="G2306" s="4">
        <v>42080</v>
      </c>
      <c r="M2306" s="1"/>
      <c r="N2306" s="1"/>
      <c r="O2306" s="1"/>
      <c r="P2306" s="1"/>
      <c r="Q2306" s="1"/>
      <c r="R2306" s="1"/>
    </row>
    <row r="2307" spans="2:18">
      <c r="C2307" s="2" t="s">
        <v>8</v>
      </c>
      <c r="D2307" s="2" t="s">
        <v>4043</v>
      </c>
      <c r="E2307" s="3">
        <v>90</v>
      </c>
      <c r="F2307" s="3">
        <v>15</v>
      </c>
      <c r="G2307" s="4">
        <v>40354</v>
      </c>
      <c r="M2307" s="1"/>
      <c r="N2307" s="1"/>
      <c r="O2307" s="1"/>
      <c r="P2307" s="1"/>
      <c r="Q2307" s="1"/>
      <c r="R2307" s="1"/>
    </row>
    <row r="2308" spans="2:18">
      <c r="G2308" s="4"/>
      <c r="M2308" s="1"/>
      <c r="N2308" s="1"/>
      <c r="O2308" s="1"/>
      <c r="P2308" s="1"/>
      <c r="Q2308" s="1"/>
      <c r="R2308" s="1"/>
    </row>
    <row r="2309" spans="2:18">
      <c r="B2309" s="1" t="s">
        <v>510</v>
      </c>
      <c r="C2309" s="2" t="s">
        <v>55</v>
      </c>
      <c r="D2309" s="2" t="s">
        <v>498</v>
      </c>
      <c r="E2309" s="3">
        <v>270</v>
      </c>
      <c r="F2309" s="3">
        <v>22</v>
      </c>
      <c r="G2309" s="4">
        <v>44152</v>
      </c>
      <c r="M2309" s="1"/>
      <c r="N2309" s="1"/>
      <c r="O2309" s="1"/>
      <c r="P2309" s="1"/>
      <c r="Q2309" s="1"/>
      <c r="R2309" s="1"/>
    </row>
    <row r="2310" spans="2:18">
      <c r="B2310" s="1" t="s">
        <v>509</v>
      </c>
      <c r="C2310" s="2" t="s">
        <v>55</v>
      </c>
      <c r="D2310" s="2" t="s">
        <v>498</v>
      </c>
      <c r="E2310" s="3">
        <v>50</v>
      </c>
      <c r="F2310" s="3">
        <v>10</v>
      </c>
      <c r="G2310" s="4">
        <v>44174</v>
      </c>
      <c r="M2310" s="1"/>
      <c r="N2310" s="1"/>
      <c r="O2310" s="1"/>
      <c r="P2310" s="1"/>
      <c r="Q2310" s="1"/>
      <c r="R2310" s="1"/>
    </row>
    <row r="2311" spans="2:18">
      <c r="G2311" s="4"/>
      <c r="M2311" s="1"/>
      <c r="N2311" s="1"/>
      <c r="O2311" s="1"/>
      <c r="P2311" s="1"/>
      <c r="Q2311" s="1"/>
      <c r="R2311" s="1"/>
    </row>
    <row r="2312" spans="2:18">
      <c r="B2312" s="1" t="s">
        <v>508</v>
      </c>
      <c r="C2312" s="2" t="s">
        <v>55</v>
      </c>
      <c r="D2312" s="2" t="s">
        <v>498</v>
      </c>
      <c r="E2312" s="3">
        <v>50</v>
      </c>
      <c r="F2312" s="3">
        <v>10</v>
      </c>
      <c r="G2312" s="4">
        <v>44174</v>
      </c>
      <c r="M2312" s="1"/>
      <c r="N2312" s="1"/>
      <c r="O2312" s="1"/>
      <c r="P2312" s="1"/>
      <c r="Q2312" s="1"/>
      <c r="R2312" s="1"/>
    </row>
    <row r="2313" spans="2:18">
      <c r="C2313" s="2" t="s">
        <v>8</v>
      </c>
      <c r="D2313" s="2" t="s">
        <v>136</v>
      </c>
      <c r="E2313" s="3">
        <v>135</v>
      </c>
      <c r="F2313" s="3">
        <v>8</v>
      </c>
      <c r="G2313" s="4">
        <v>44880</v>
      </c>
      <c r="M2313" s="1"/>
      <c r="N2313" s="1"/>
      <c r="O2313" s="1"/>
      <c r="P2313" s="1"/>
      <c r="Q2313" s="1"/>
      <c r="R2313" s="1"/>
    </row>
    <row r="2314" spans="2:18">
      <c r="C2314" s="2" t="s">
        <v>18</v>
      </c>
      <c r="D2314" s="2" t="s">
        <v>136</v>
      </c>
      <c r="E2314" s="3">
        <v>73</v>
      </c>
      <c r="F2314" s="3">
        <f>53/7</f>
        <v>7.5714285714285712</v>
      </c>
      <c r="G2314" s="4">
        <v>44565</v>
      </c>
      <c r="M2314" s="1"/>
      <c r="N2314" s="1"/>
      <c r="O2314" s="1"/>
      <c r="P2314" s="1"/>
      <c r="Q2314" s="1"/>
      <c r="R2314" s="1"/>
    </row>
    <row r="2315" spans="2:18">
      <c r="C2315" s="2" t="s">
        <v>18</v>
      </c>
      <c r="D2315" s="2" t="s">
        <v>136</v>
      </c>
      <c r="E2315" s="3">
        <v>31.7</v>
      </c>
      <c r="F2315" s="3">
        <f>18/4</f>
        <v>4.5</v>
      </c>
      <c r="G2315" s="4">
        <v>43599</v>
      </c>
      <c r="M2315" s="1"/>
      <c r="N2315" s="1"/>
      <c r="O2315" s="1"/>
      <c r="P2315" s="1"/>
      <c r="Q2315" s="1"/>
      <c r="R2315" s="1"/>
    </row>
    <row r="2316" spans="2:18">
      <c r="G2316" s="4"/>
      <c r="M2316" s="1"/>
      <c r="N2316" s="1"/>
      <c r="O2316" s="1"/>
      <c r="P2316" s="1"/>
      <c r="Q2316" s="1"/>
      <c r="R2316" s="1"/>
    </row>
    <row r="2317" spans="2:18">
      <c r="B2317" s="1" t="s">
        <v>507</v>
      </c>
      <c r="C2317" s="2" t="s">
        <v>9</v>
      </c>
      <c r="D2317" s="2" t="s">
        <v>498</v>
      </c>
      <c r="E2317" s="3">
        <v>206</v>
      </c>
      <c r="F2317" s="3">
        <v>14</v>
      </c>
      <c r="G2317" s="4">
        <v>43725</v>
      </c>
      <c r="M2317" s="1"/>
      <c r="N2317" s="1"/>
      <c r="O2317" s="1"/>
      <c r="P2317" s="1"/>
      <c r="Q2317" s="1"/>
      <c r="R2317" s="1"/>
    </row>
    <row r="2318" spans="2:18">
      <c r="C2318" s="2" t="s">
        <v>8</v>
      </c>
      <c r="D2318" s="2" t="s">
        <v>456</v>
      </c>
      <c r="E2318" s="3">
        <v>90</v>
      </c>
      <c r="F2318" s="3">
        <f>50/11</f>
        <v>4.5454545454545459</v>
      </c>
      <c r="G2318" s="4">
        <v>44776</v>
      </c>
      <c r="M2318" s="1"/>
      <c r="N2318" s="1"/>
      <c r="O2318" s="1"/>
      <c r="P2318" s="1"/>
      <c r="Q2318" s="1"/>
      <c r="R2318" s="1"/>
    </row>
    <row r="2319" spans="2:18">
      <c r="C2319" s="2" t="s">
        <v>18</v>
      </c>
      <c r="D2319" s="2" t="s">
        <v>456</v>
      </c>
      <c r="E2319" s="3">
        <v>40</v>
      </c>
      <c r="F2319" s="3">
        <v>3.75</v>
      </c>
      <c r="G2319" s="4">
        <v>44176</v>
      </c>
      <c r="M2319" s="1"/>
      <c r="N2319" s="1"/>
      <c r="O2319" s="1"/>
      <c r="P2319" s="1"/>
      <c r="Q2319" s="1"/>
      <c r="R2319" s="1"/>
    </row>
    <row r="2320" spans="2:18">
      <c r="G2320" s="4"/>
      <c r="M2320" s="1"/>
      <c r="N2320" s="1"/>
      <c r="O2320" s="1"/>
      <c r="P2320" s="1"/>
      <c r="Q2320" s="1"/>
      <c r="R2320" s="1"/>
    </row>
    <row r="2321" spans="2:18">
      <c r="B2321" s="1" t="s">
        <v>506</v>
      </c>
      <c r="C2321" s="2" t="s">
        <v>9</v>
      </c>
      <c r="D2321" s="2" t="s">
        <v>498</v>
      </c>
      <c r="E2321" s="3">
        <v>206</v>
      </c>
      <c r="F2321" s="3">
        <v>14</v>
      </c>
      <c r="G2321" s="4">
        <v>43725</v>
      </c>
      <c r="M2321" s="1"/>
      <c r="N2321" s="1"/>
      <c r="O2321" s="1"/>
      <c r="P2321" s="1"/>
      <c r="Q2321" s="1"/>
      <c r="R2321" s="1"/>
    </row>
    <row r="2322" spans="2:18">
      <c r="C2322" s="2" t="s">
        <v>8</v>
      </c>
      <c r="D2322" s="2" t="s">
        <v>498</v>
      </c>
      <c r="E2322" s="3">
        <v>100</v>
      </c>
      <c r="F2322" s="3">
        <v>20</v>
      </c>
      <c r="G2322" s="4">
        <v>43397</v>
      </c>
      <c r="M2322" s="1"/>
      <c r="N2322" s="1"/>
      <c r="O2322" s="1"/>
      <c r="P2322" s="1"/>
      <c r="Q2322" s="1"/>
      <c r="R2322" s="1"/>
    </row>
    <row r="2323" spans="2:18">
      <c r="G2323" s="4"/>
      <c r="M2323" s="1"/>
      <c r="N2323" s="1"/>
      <c r="O2323" s="1"/>
      <c r="P2323" s="1"/>
      <c r="Q2323" s="1"/>
      <c r="R2323" s="1"/>
    </row>
    <row r="2324" spans="2:18">
      <c r="B2324" s="1" t="s">
        <v>505</v>
      </c>
      <c r="C2324" s="2" t="s">
        <v>9</v>
      </c>
      <c r="D2324" s="2" t="s">
        <v>498</v>
      </c>
      <c r="E2324" s="3">
        <v>206</v>
      </c>
      <c r="F2324" s="3">
        <v>14</v>
      </c>
      <c r="G2324" s="4">
        <v>43725</v>
      </c>
      <c r="M2324" s="1"/>
      <c r="N2324" s="1"/>
      <c r="O2324" s="1"/>
      <c r="P2324" s="1"/>
      <c r="Q2324" s="1"/>
      <c r="R2324" s="1"/>
    </row>
    <row r="2325" spans="2:18">
      <c r="C2325" s="2" t="s">
        <v>9</v>
      </c>
      <c r="D2325" s="2" t="s">
        <v>393</v>
      </c>
      <c r="E2325" s="3">
        <v>400</v>
      </c>
      <c r="F2325" s="3">
        <v>100</v>
      </c>
      <c r="G2325" s="4">
        <v>44608</v>
      </c>
      <c r="M2325" s="1"/>
      <c r="N2325" s="1"/>
      <c r="O2325" s="1"/>
      <c r="P2325" s="1"/>
      <c r="Q2325" s="1"/>
      <c r="R2325" s="1"/>
    </row>
    <row r="2326" spans="2:18">
      <c r="G2326" s="4"/>
      <c r="M2326" s="1"/>
      <c r="N2326" s="1"/>
      <c r="O2326" s="1"/>
      <c r="P2326" s="1"/>
      <c r="Q2326" s="1"/>
      <c r="R2326" s="1"/>
    </row>
    <row r="2327" spans="2:18">
      <c r="B2327" s="1" t="s">
        <v>503</v>
      </c>
      <c r="C2327" s="2" t="s">
        <v>9</v>
      </c>
      <c r="D2327" s="2" t="s">
        <v>498</v>
      </c>
      <c r="E2327" s="3">
        <v>206</v>
      </c>
      <c r="F2327" s="3">
        <v>14</v>
      </c>
      <c r="G2327" s="4">
        <v>43725</v>
      </c>
      <c r="M2327" s="1"/>
      <c r="N2327" s="1"/>
      <c r="O2327" s="1"/>
      <c r="P2327" s="1"/>
      <c r="Q2327" s="1"/>
      <c r="R2327" s="1"/>
    </row>
    <row r="2328" spans="2:18">
      <c r="G2328" s="4"/>
      <c r="M2328" s="1"/>
      <c r="N2328" s="1"/>
      <c r="O2328" s="1"/>
      <c r="P2328" s="1"/>
      <c r="Q2328" s="1"/>
      <c r="R2328" s="1"/>
    </row>
    <row r="2329" spans="2:18">
      <c r="B2329" s="1" t="s">
        <v>502</v>
      </c>
      <c r="C2329" s="2" t="s">
        <v>9</v>
      </c>
      <c r="D2329" s="2" t="s">
        <v>498</v>
      </c>
      <c r="E2329" s="3">
        <v>206</v>
      </c>
      <c r="F2329" s="3">
        <v>14</v>
      </c>
      <c r="G2329" s="4">
        <v>43725</v>
      </c>
      <c r="M2329" s="1"/>
      <c r="N2329" s="1"/>
      <c r="O2329" s="1"/>
      <c r="P2329" s="1"/>
      <c r="Q2329" s="1"/>
      <c r="R2329" s="1"/>
    </row>
    <row r="2330" spans="2:18">
      <c r="C2330" s="2" t="s">
        <v>8</v>
      </c>
      <c r="D2330" s="2" t="s">
        <v>498</v>
      </c>
      <c r="E2330" s="3">
        <v>100</v>
      </c>
      <c r="F2330" s="3">
        <v>15</v>
      </c>
      <c r="G2330" s="4">
        <v>43397</v>
      </c>
      <c r="M2330" s="1"/>
      <c r="N2330" s="1"/>
      <c r="O2330" s="1"/>
      <c r="P2330" s="1"/>
      <c r="Q2330" s="1"/>
      <c r="R2330" s="1"/>
    </row>
    <row r="2331" spans="2:18">
      <c r="C2331" s="2" t="s">
        <v>7</v>
      </c>
      <c r="D2331" s="2" t="s">
        <v>197</v>
      </c>
      <c r="E2331" s="3">
        <v>43</v>
      </c>
      <c r="F2331" s="3">
        <f>E2331/5</f>
        <v>8.6</v>
      </c>
      <c r="G2331" s="4">
        <v>44077</v>
      </c>
      <c r="M2331" s="1"/>
      <c r="N2331" s="1"/>
      <c r="O2331" s="1"/>
      <c r="P2331" s="1"/>
      <c r="Q2331" s="1"/>
      <c r="R2331" s="1"/>
    </row>
    <row r="2332" spans="2:18">
      <c r="C2332" s="2" t="s">
        <v>5</v>
      </c>
      <c r="D2332" s="2" t="s">
        <v>502</v>
      </c>
      <c r="E2332" s="3">
        <v>31</v>
      </c>
      <c r="F2332" s="3">
        <v>31</v>
      </c>
      <c r="G2332" s="4">
        <v>43634</v>
      </c>
      <c r="M2332" s="1"/>
      <c r="N2332" s="1"/>
      <c r="O2332" s="1"/>
      <c r="P2332" s="1"/>
      <c r="Q2332" s="1"/>
      <c r="R2332" s="1"/>
    </row>
    <row r="2333" spans="2:18">
      <c r="G2333" s="4"/>
      <c r="M2333" s="1"/>
      <c r="N2333" s="1"/>
      <c r="O2333" s="1"/>
      <c r="P2333" s="1"/>
      <c r="Q2333" s="1"/>
      <c r="R2333" s="1"/>
    </row>
    <row r="2334" spans="2:18">
      <c r="B2334" s="1" t="s">
        <v>501</v>
      </c>
      <c r="C2334" s="2" t="s">
        <v>9</v>
      </c>
      <c r="D2334" s="2" t="s">
        <v>498</v>
      </c>
      <c r="E2334" s="3">
        <v>206</v>
      </c>
      <c r="F2334" s="3">
        <v>14</v>
      </c>
      <c r="G2334" s="4">
        <v>43725</v>
      </c>
      <c r="M2334" s="1"/>
      <c r="N2334" s="1"/>
      <c r="O2334" s="1"/>
      <c r="P2334" s="1"/>
      <c r="Q2334" s="1"/>
      <c r="R2334" s="1"/>
    </row>
    <row r="2335" spans="2:18">
      <c r="B2335" s="1" t="s">
        <v>500</v>
      </c>
      <c r="C2335" s="2" t="s">
        <v>18</v>
      </c>
      <c r="D2335" s="2" t="s">
        <v>498</v>
      </c>
      <c r="E2335" s="3">
        <v>67.2</v>
      </c>
      <c r="F2335" s="3">
        <v>10</v>
      </c>
      <c r="G2335" s="4">
        <v>42943</v>
      </c>
      <c r="M2335" s="1"/>
      <c r="N2335" s="1"/>
      <c r="O2335" s="1"/>
      <c r="P2335" s="1"/>
      <c r="Q2335" s="1"/>
      <c r="R2335" s="1"/>
    </row>
    <row r="2336" spans="2:18">
      <c r="B2336" s="1" t="s">
        <v>499</v>
      </c>
      <c r="C2336" s="2" t="s">
        <v>18</v>
      </c>
      <c r="D2336" s="2" t="s">
        <v>498</v>
      </c>
      <c r="E2336" s="3">
        <v>67.2</v>
      </c>
      <c r="F2336" s="3">
        <v>10</v>
      </c>
      <c r="G2336" s="4">
        <v>42943</v>
      </c>
      <c r="M2336" s="1"/>
      <c r="N2336" s="1"/>
      <c r="O2336" s="1"/>
      <c r="P2336" s="1"/>
      <c r="Q2336" s="1"/>
      <c r="R2336" s="1"/>
    </row>
    <row r="2337" spans="2:18">
      <c r="B2337" s="1" t="s">
        <v>497</v>
      </c>
      <c r="C2337" s="2" t="s">
        <v>5</v>
      </c>
      <c r="D2337" s="2" t="s">
        <v>492</v>
      </c>
      <c r="E2337" s="3">
        <v>13</v>
      </c>
      <c r="F2337" s="3">
        <v>4</v>
      </c>
      <c r="G2337" s="4">
        <v>44516</v>
      </c>
      <c r="M2337" s="1"/>
      <c r="N2337" s="1"/>
      <c r="O2337" s="1"/>
      <c r="P2337" s="1"/>
      <c r="Q2337" s="1"/>
      <c r="R2337" s="1"/>
    </row>
    <row r="2338" spans="2:18">
      <c r="G2338" s="4"/>
      <c r="M2338" s="1"/>
      <c r="N2338" s="1"/>
      <c r="O2338" s="1"/>
      <c r="P2338" s="1"/>
      <c r="Q2338" s="1"/>
      <c r="R2338" s="1"/>
    </row>
    <row r="2339" spans="2:18">
      <c r="B2339" s="1" t="s">
        <v>496</v>
      </c>
      <c r="C2339" s="2" t="s">
        <v>5</v>
      </c>
      <c r="D2339" s="2" t="s">
        <v>492</v>
      </c>
      <c r="E2339" s="3">
        <v>13</v>
      </c>
      <c r="F2339" s="3">
        <v>1.4</v>
      </c>
      <c r="G2339" s="4">
        <v>44516</v>
      </c>
      <c r="M2339" s="1"/>
      <c r="N2339" s="1"/>
      <c r="O2339" s="1"/>
      <c r="P2339" s="1"/>
      <c r="Q2339" s="1"/>
      <c r="R2339" s="1"/>
    </row>
    <row r="2340" spans="2:18">
      <c r="C2340" s="2" t="s">
        <v>4</v>
      </c>
      <c r="D2340" s="2" t="s">
        <v>492</v>
      </c>
      <c r="E2340" s="3">
        <v>2.5</v>
      </c>
      <c r="F2340" s="3">
        <v>1.5</v>
      </c>
      <c r="G2340" s="4">
        <v>44305</v>
      </c>
      <c r="M2340" s="1"/>
      <c r="N2340" s="1"/>
      <c r="O2340" s="1"/>
      <c r="P2340" s="1"/>
      <c r="Q2340" s="1"/>
      <c r="R2340" s="1"/>
    </row>
    <row r="2341" spans="2:18">
      <c r="C2341" s="2" t="s">
        <v>4</v>
      </c>
      <c r="D2341" s="2" t="s">
        <v>490</v>
      </c>
      <c r="E2341" s="3">
        <v>2</v>
      </c>
      <c r="F2341" s="3">
        <v>2</v>
      </c>
      <c r="G2341" s="4">
        <v>44332</v>
      </c>
      <c r="M2341" s="1"/>
      <c r="N2341" s="1"/>
      <c r="O2341" s="1"/>
      <c r="P2341" s="1"/>
      <c r="Q2341" s="1"/>
      <c r="R2341" s="1"/>
    </row>
    <row r="2342" spans="2:18">
      <c r="G2342" s="4"/>
      <c r="M2342" s="1"/>
      <c r="N2342" s="1"/>
      <c r="O2342" s="1"/>
      <c r="P2342" s="1"/>
      <c r="Q2342" s="1"/>
      <c r="R2342" s="1"/>
    </row>
    <row r="2343" spans="2:18">
      <c r="B2343" s="1" t="s">
        <v>495</v>
      </c>
      <c r="C2343" s="2" t="s">
        <v>5</v>
      </c>
      <c r="D2343" s="2" t="s">
        <v>492</v>
      </c>
      <c r="E2343" s="3">
        <v>13</v>
      </c>
      <c r="F2343" s="3">
        <v>1.4</v>
      </c>
      <c r="G2343" s="4">
        <v>44516</v>
      </c>
      <c r="M2343" s="1"/>
      <c r="N2343" s="1"/>
      <c r="O2343" s="1"/>
      <c r="P2343" s="1"/>
      <c r="Q2343" s="1"/>
      <c r="R2343" s="1"/>
    </row>
    <row r="2344" spans="2:18">
      <c r="B2344" s="1" t="s">
        <v>494</v>
      </c>
      <c r="C2344" s="2" t="s">
        <v>5</v>
      </c>
      <c r="D2344" s="2" t="s">
        <v>492</v>
      </c>
      <c r="E2344" s="3">
        <v>13</v>
      </c>
      <c r="F2344" s="3">
        <v>1.4</v>
      </c>
      <c r="G2344" s="4">
        <v>44516</v>
      </c>
      <c r="M2344" s="1"/>
      <c r="N2344" s="1"/>
      <c r="O2344" s="1"/>
      <c r="P2344" s="1"/>
      <c r="Q2344" s="1"/>
      <c r="R2344" s="1"/>
    </row>
    <row r="2345" spans="2:18">
      <c r="C2345" s="2" t="s">
        <v>4</v>
      </c>
      <c r="D2345" s="2" t="s">
        <v>354</v>
      </c>
      <c r="E2345" s="3">
        <v>3.5</v>
      </c>
      <c r="F2345" s="3">
        <f>E2345/10</f>
        <v>0.35</v>
      </c>
      <c r="G2345" s="4">
        <v>43046</v>
      </c>
      <c r="M2345" s="1"/>
      <c r="N2345" s="1"/>
      <c r="O2345" s="1"/>
      <c r="P2345" s="1"/>
      <c r="Q2345" s="1"/>
      <c r="R2345" s="1"/>
    </row>
    <row r="2346" spans="2:18">
      <c r="G2346" s="4"/>
      <c r="M2346" s="1"/>
      <c r="N2346" s="1"/>
      <c r="O2346" s="1"/>
      <c r="P2346" s="1"/>
      <c r="Q2346" s="1"/>
      <c r="R2346" s="1"/>
    </row>
    <row r="2347" spans="2:18">
      <c r="B2347" s="1" t="s">
        <v>493</v>
      </c>
      <c r="C2347" s="2" t="s">
        <v>4</v>
      </c>
      <c r="D2347" s="2" t="s">
        <v>492</v>
      </c>
      <c r="E2347" s="3">
        <v>2.5</v>
      </c>
      <c r="F2347" s="3">
        <v>1</v>
      </c>
      <c r="G2347" s="4">
        <v>44305</v>
      </c>
      <c r="M2347" s="1"/>
      <c r="N2347" s="1"/>
      <c r="O2347" s="1"/>
      <c r="P2347" s="1"/>
      <c r="Q2347" s="1"/>
      <c r="R2347" s="1"/>
    </row>
    <row r="2348" spans="2:18">
      <c r="B2348" s="1" t="s">
        <v>491</v>
      </c>
      <c r="C2348" s="2" t="s">
        <v>4</v>
      </c>
      <c r="D2348" s="2" t="s">
        <v>490</v>
      </c>
      <c r="E2348" s="3">
        <v>2</v>
      </c>
      <c r="F2348" s="3">
        <v>0.5</v>
      </c>
      <c r="G2348" s="4">
        <v>43876</v>
      </c>
      <c r="M2348" s="1"/>
      <c r="N2348" s="1"/>
      <c r="O2348" s="1"/>
      <c r="P2348" s="1"/>
      <c r="Q2348" s="1"/>
      <c r="R2348" s="1"/>
    </row>
    <row r="2349" spans="2:18">
      <c r="G2349" s="4"/>
      <c r="M2349" s="1"/>
      <c r="N2349" s="1"/>
      <c r="O2349" s="1"/>
      <c r="P2349" s="1"/>
      <c r="Q2349" s="1"/>
      <c r="R2349" s="1"/>
    </row>
    <row r="2350" spans="2:18">
      <c r="B2350" s="1" t="s">
        <v>489</v>
      </c>
      <c r="C2350" s="2" t="s">
        <v>7</v>
      </c>
      <c r="D2350" s="2" t="s">
        <v>484</v>
      </c>
      <c r="E2350" s="3">
        <v>90</v>
      </c>
      <c r="F2350" s="3">
        <v>15</v>
      </c>
      <c r="G2350" s="4">
        <v>44398</v>
      </c>
      <c r="M2350" s="1"/>
      <c r="N2350" s="1"/>
      <c r="O2350" s="1"/>
      <c r="P2350" s="1"/>
      <c r="Q2350" s="1"/>
      <c r="R2350" s="1"/>
    </row>
    <row r="2351" spans="2:18">
      <c r="C2351" s="2" t="s">
        <v>5</v>
      </c>
      <c r="D2351" s="2" t="s">
        <v>484</v>
      </c>
      <c r="E2351" s="3">
        <v>22.8</v>
      </c>
      <c r="F2351" s="3">
        <v>3.3</v>
      </c>
      <c r="G2351" s="4">
        <v>43160</v>
      </c>
      <c r="M2351" s="1"/>
      <c r="N2351" s="1"/>
      <c r="O2351" s="1"/>
      <c r="P2351" s="1"/>
      <c r="Q2351" s="1"/>
      <c r="R2351" s="1"/>
    </row>
    <row r="2352" spans="2:18">
      <c r="G2352" s="4"/>
      <c r="M2352" s="1"/>
      <c r="N2352" s="1"/>
      <c r="O2352" s="1"/>
      <c r="P2352" s="1"/>
      <c r="Q2352" s="1"/>
      <c r="R2352" s="1"/>
    </row>
    <row r="2353" spans="2:18">
      <c r="B2353" s="1" t="s">
        <v>488</v>
      </c>
      <c r="C2353" s="2" t="s">
        <v>7</v>
      </c>
      <c r="D2353" s="2" t="s">
        <v>484</v>
      </c>
      <c r="E2353" s="3">
        <v>90</v>
      </c>
      <c r="F2353" s="3">
        <v>6</v>
      </c>
      <c r="G2353" s="4">
        <v>44398</v>
      </c>
      <c r="M2353" s="1"/>
      <c r="N2353" s="1"/>
      <c r="O2353" s="1"/>
      <c r="P2353" s="1"/>
      <c r="Q2353" s="1"/>
      <c r="R2353" s="1"/>
    </row>
    <row r="2354" spans="2:18">
      <c r="C2354" s="2" t="s">
        <v>7</v>
      </c>
      <c r="D2354" s="2" t="s">
        <v>133</v>
      </c>
      <c r="E2354" s="3">
        <v>23.5</v>
      </c>
      <c r="F2354" s="3">
        <f>13.5/4</f>
        <v>3.375</v>
      </c>
      <c r="G2354" s="4">
        <v>45008</v>
      </c>
      <c r="M2354" s="1"/>
      <c r="N2354" s="1"/>
      <c r="O2354" s="1"/>
      <c r="P2354" s="1"/>
      <c r="Q2354" s="1"/>
      <c r="R2354" s="1"/>
    </row>
    <row r="2355" spans="2:18">
      <c r="C2355" s="2" t="s">
        <v>5</v>
      </c>
      <c r="D2355" s="2" t="s">
        <v>133</v>
      </c>
      <c r="E2355" s="3">
        <v>16</v>
      </c>
      <c r="F2355" s="3">
        <v>5</v>
      </c>
      <c r="G2355" s="4">
        <v>44434</v>
      </c>
      <c r="M2355" s="1"/>
      <c r="N2355" s="1"/>
      <c r="O2355" s="1"/>
      <c r="P2355" s="1"/>
      <c r="Q2355" s="1"/>
      <c r="R2355" s="1"/>
    </row>
    <row r="2356" spans="2:18">
      <c r="C2356" s="2" t="s">
        <v>4</v>
      </c>
      <c r="D2356" s="2" t="s">
        <v>133</v>
      </c>
      <c r="E2356" s="3">
        <v>5</v>
      </c>
      <c r="F2356" s="3">
        <v>2</v>
      </c>
      <c r="G2356" s="4">
        <v>44176</v>
      </c>
      <c r="M2356" s="1"/>
      <c r="N2356" s="1"/>
      <c r="O2356" s="1"/>
      <c r="P2356" s="1"/>
      <c r="Q2356" s="1"/>
      <c r="R2356" s="1"/>
    </row>
    <row r="2357" spans="2:18">
      <c r="G2357" s="4"/>
      <c r="M2357" s="1"/>
      <c r="N2357" s="1"/>
      <c r="O2357" s="1"/>
      <c r="P2357" s="1"/>
      <c r="Q2357" s="1"/>
      <c r="R2357" s="1"/>
    </row>
    <row r="2358" spans="2:18">
      <c r="B2358" s="1" t="s">
        <v>487</v>
      </c>
      <c r="C2358" s="2" t="s">
        <v>7</v>
      </c>
      <c r="D2358" s="2" t="s">
        <v>484</v>
      </c>
      <c r="E2358" s="3">
        <v>90</v>
      </c>
      <c r="F2358" s="3">
        <v>6</v>
      </c>
      <c r="G2358" s="4">
        <v>44398</v>
      </c>
      <c r="M2358" s="1"/>
      <c r="N2358" s="1"/>
      <c r="O2358" s="1"/>
      <c r="P2358" s="1"/>
      <c r="Q2358" s="1"/>
      <c r="R2358" s="1"/>
    </row>
    <row r="2359" spans="2:18">
      <c r="B2359" s="1" t="s">
        <v>486</v>
      </c>
      <c r="C2359" s="2" t="s">
        <v>7</v>
      </c>
      <c r="D2359" s="2" t="s">
        <v>484</v>
      </c>
      <c r="E2359" s="3">
        <v>90</v>
      </c>
      <c r="F2359" s="3">
        <v>6</v>
      </c>
      <c r="G2359" s="4">
        <v>44398</v>
      </c>
      <c r="M2359" s="1"/>
      <c r="N2359" s="1"/>
      <c r="O2359" s="1"/>
      <c r="P2359" s="1"/>
      <c r="Q2359" s="1"/>
      <c r="R2359" s="1"/>
    </row>
    <row r="2360" spans="2:18">
      <c r="B2360" s="1" t="s">
        <v>485</v>
      </c>
      <c r="C2360" s="2" t="s">
        <v>5</v>
      </c>
      <c r="D2360" s="2" t="s">
        <v>484</v>
      </c>
      <c r="E2360" s="3">
        <v>22.8</v>
      </c>
      <c r="F2360" s="3">
        <v>3.3</v>
      </c>
      <c r="G2360" s="4">
        <v>43160</v>
      </c>
      <c r="H2360" s="8"/>
      <c r="M2360" s="1"/>
      <c r="N2360" s="1"/>
      <c r="O2360" s="1"/>
      <c r="P2360" s="1"/>
      <c r="Q2360" s="1"/>
      <c r="R2360" s="1"/>
    </row>
    <row r="2361" spans="2:18">
      <c r="B2361" s="1" t="s">
        <v>483</v>
      </c>
      <c r="C2361" s="2" t="s">
        <v>4</v>
      </c>
      <c r="D2361" s="2" t="s">
        <v>478</v>
      </c>
      <c r="E2361" s="3">
        <v>6</v>
      </c>
      <c r="F2361" s="3">
        <v>1</v>
      </c>
      <c r="G2361" s="4">
        <v>45104</v>
      </c>
      <c r="M2361" s="1"/>
      <c r="N2361" s="1"/>
      <c r="O2361" s="1"/>
      <c r="P2361" s="1"/>
      <c r="Q2361" s="1"/>
      <c r="R2361" s="1"/>
    </row>
    <row r="2362" spans="2:18">
      <c r="B2362" s="1" t="s">
        <v>482</v>
      </c>
      <c r="C2362" s="2" t="s">
        <v>4</v>
      </c>
      <c r="D2362" s="2" t="s">
        <v>478</v>
      </c>
      <c r="E2362" s="3">
        <v>6</v>
      </c>
      <c r="F2362" s="3">
        <v>1</v>
      </c>
      <c r="G2362" s="4">
        <v>45104</v>
      </c>
      <c r="M2362" s="1"/>
      <c r="N2362" s="1"/>
      <c r="O2362" s="1"/>
      <c r="P2362" s="1"/>
      <c r="Q2362" s="1"/>
      <c r="R2362" s="1"/>
    </row>
    <row r="2363" spans="2:18">
      <c r="G2363" s="4"/>
      <c r="M2363" s="1"/>
      <c r="N2363" s="1"/>
      <c r="O2363" s="1"/>
      <c r="P2363" s="1"/>
      <c r="Q2363" s="1"/>
      <c r="R2363" s="1"/>
    </row>
    <row r="2364" spans="2:18">
      <c r="B2364" s="1" t="s">
        <v>481</v>
      </c>
      <c r="C2364" s="2" t="s">
        <v>4</v>
      </c>
      <c r="D2364" s="2" t="s">
        <v>478</v>
      </c>
      <c r="E2364" s="3">
        <v>6</v>
      </c>
      <c r="F2364" s="3">
        <v>1</v>
      </c>
      <c r="G2364" s="4">
        <v>45104</v>
      </c>
      <c r="M2364" s="1"/>
      <c r="N2364" s="1"/>
      <c r="O2364" s="1"/>
      <c r="P2364" s="1"/>
      <c r="Q2364" s="1"/>
      <c r="R2364" s="1"/>
    </row>
    <row r="2365" spans="2:18">
      <c r="C2365" s="2" t="s">
        <v>7</v>
      </c>
      <c r="D2365" s="2" t="s">
        <v>411</v>
      </c>
      <c r="E2365" s="3">
        <v>50</v>
      </c>
      <c r="F2365" s="3">
        <v>5</v>
      </c>
      <c r="G2365" s="4">
        <v>44538</v>
      </c>
      <c r="M2365" s="1"/>
      <c r="N2365" s="1"/>
      <c r="O2365" s="1"/>
      <c r="P2365" s="1"/>
      <c r="Q2365" s="1"/>
      <c r="R2365" s="1"/>
    </row>
    <row r="2366" spans="2:18">
      <c r="C2366" s="2" t="s">
        <v>4</v>
      </c>
      <c r="D2366" s="2" t="s">
        <v>411</v>
      </c>
      <c r="E2366" s="3">
        <v>3.1</v>
      </c>
      <c r="F2366" s="3">
        <v>0.5</v>
      </c>
      <c r="G2366" s="4">
        <v>43580</v>
      </c>
      <c r="M2366" s="1"/>
      <c r="N2366" s="1"/>
      <c r="O2366" s="1"/>
      <c r="P2366" s="1"/>
      <c r="Q2366" s="1"/>
      <c r="R2366" s="1"/>
    </row>
    <row r="2367" spans="2:18">
      <c r="C2367" s="2" t="s">
        <v>5</v>
      </c>
      <c r="D2367" s="2" t="s">
        <v>388</v>
      </c>
      <c r="E2367" s="3">
        <v>86</v>
      </c>
      <c r="F2367" s="3">
        <v>10</v>
      </c>
      <c r="G2367" s="4">
        <v>44488</v>
      </c>
      <c r="M2367" s="1"/>
      <c r="N2367" s="1"/>
      <c r="O2367" s="1"/>
      <c r="P2367" s="1"/>
      <c r="Q2367" s="1"/>
      <c r="R2367" s="1"/>
    </row>
    <row r="2368" spans="2:18">
      <c r="C2368" s="2" t="s">
        <v>4</v>
      </c>
      <c r="D2368" s="2" t="s">
        <v>388</v>
      </c>
      <c r="E2368" s="3">
        <v>8.5</v>
      </c>
      <c r="F2368" s="3">
        <v>1</v>
      </c>
      <c r="G2368" s="4">
        <v>43796</v>
      </c>
      <c r="M2368" s="1"/>
      <c r="N2368" s="1"/>
      <c r="O2368" s="1"/>
      <c r="P2368" s="1"/>
      <c r="Q2368" s="1"/>
      <c r="R2368" s="1"/>
    </row>
    <row r="2369" spans="2:18">
      <c r="G2369" s="4"/>
      <c r="M2369" s="1"/>
      <c r="N2369" s="1"/>
      <c r="O2369" s="1"/>
      <c r="P2369" s="1"/>
      <c r="Q2369" s="1"/>
      <c r="R2369" s="1"/>
    </row>
    <row r="2370" spans="2:18">
      <c r="B2370" s="1" t="s">
        <v>480</v>
      </c>
      <c r="C2370" s="2" t="s">
        <v>4</v>
      </c>
      <c r="D2370" s="2" t="s">
        <v>478</v>
      </c>
      <c r="E2370" s="3">
        <v>6</v>
      </c>
      <c r="F2370" s="3">
        <v>1</v>
      </c>
      <c r="G2370" s="4">
        <v>45104</v>
      </c>
      <c r="M2370" s="1"/>
      <c r="N2370" s="1"/>
      <c r="O2370" s="1"/>
      <c r="P2370" s="1"/>
      <c r="Q2370" s="1"/>
      <c r="R2370" s="1"/>
    </row>
    <row r="2371" spans="2:18">
      <c r="B2371" s="1" t="s">
        <v>479</v>
      </c>
      <c r="C2371" s="2" t="s">
        <v>4</v>
      </c>
      <c r="D2371" s="2" t="s">
        <v>478</v>
      </c>
      <c r="E2371" s="3">
        <v>6</v>
      </c>
      <c r="F2371" s="3">
        <v>1</v>
      </c>
      <c r="G2371" s="4">
        <v>45104</v>
      </c>
      <c r="M2371" s="1"/>
      <c r="N2371" s="1"/>
      <c r="O2371" s="1"/>
      <c r="P2371" s="1"/>
      <c r="Q2371" s="1"/>
      <c r="R2371" s="1"/>
    </row>
    <row r="2372" spans="2:18">
      <c r="G2372" s="4"/>
      <c r="M2372" s="1"/>
      <c r="N2372" s="1"/>
      <c r="O2372" s="1"/>
      <c r="P2372" s="1"/>
      <c r="Q2372" s="1"/>
      <c r="R2372" s="1"/>
    </row>
    <row r="2373" spans="2:18">
      <c r="B2373" s="1" t="s">
        <v>477</v>
      </c>
      <c r="C2373" s="2" t="s">
        <v>5</v>
      </c>
      <c r="D2373" s="2" t="s">
        <v>474</v>
      </c>
      <c r="E2373" s="3">
        <v>15.5</v>
      </c>
      <c r="F2373" s="3">
        <v>1.625</v>
      </c>
      <c r="G2373" s="4">
        <v>44727</v>
      </c>
      <c r="M2373" s="1"/>
      <c r="N2373" s="1"/>
      <c r="O2373" s="1"/>
      <c r="P2373" s="1"/>
      <c r="Q2373" s="1"/>
      <c r="R2373" s="1"/>
    </row>
    <row r="2374" spans="2:18">
      <c r="C2374" s="2" t="s">
        <v>5</v>
      </c>
      <c r="D2374" s="2" t="s">
        <v>474</v>
      </c>
      <c r="E2374" s="3">
        <v>12</v>
      </c>
      <c r="F2374" s="3">
        <v>3</v>
      </c>
      <c r="G2374" s="4">
        <v>43948</v>
      </c>
      <c r="M2374" s="1"/>
      <c r="N2374" s="1"/>
      <c r="O2374" s="1"/>
      <c r="P2374" s="1"/>
      <c r="Q2374" s="1"/>
      <c r="R2374" s="1"/>
    </row>
    <row r="2375" spans="2:18">
      <c r="G2375" s="4"/>
      <c r="M2375" s="1"/>
      <c r="N2375" s="1"/>
      <c r="O2375" s="1"/>
      <c r="P2375" s="1"/>
      <c r="Q2375" s="1"/>
      <c r="R2375" s="1"/>
    </row>
    <row r="2376" spans="2:18">
      <c r="B2376" s="1" t="s">
        <v>476</v>
      </c>
      <c r="C2376" s="2" t="s">
        <v>5</v>
      </c>
      <c r="D2376" s="2" t="s">
        <v>474</v>
      </c>
      <c r="E2376" s="3">
        <v>15.5</v>
      </c>
      <c r="F2376" s="3">
        <v>3</v>
      </c>
      <c r="G2376" s="4">
        <v>44727</v>
      </c>
      <c r="M2376" s="1"/>
      <c r="N2376" s="1"/>
      <c r="O2376" s="1"/>
      <c r="P2376" s="1"/>
      <c r="Q2376" s="1"/>
      <c r="R2376" s="1"/>
    </row>
    <row r="2377" spans="2:18">
      <c r="C2377" s="2" t="s">
        <v>7</v>
      </c>
      <c r="D2377" s="2" t="s">
        <v>89</v>
      </c>
      <c r="E2377" s="3">
        <v>25</v>
      </c>
      <c r="F2377" s="3">
        <f>15/6</f>
        <v>2.5</v>
      </c>
      <c r="G2377" s="4">
        <v>44642</v>
      </c>
      <c r="M2377" s="1"/>
      <c r="N2377" s="1"/>
      <c r="O2377" s="1"/>
      <c r="P2377" s="1"/>
      <c r="Q2377" s="1"/>
      <c r="R2377" s="1"/>
    </row>
    <row r="2378" spans="2:18">
      <c r="G2378" s="4"/>
      <c r="M2378" s="1"/>
      <c r="N2378" s="1"/>
      <c r="O2378" s="1"/>
      <c r="P2378" s="1"/>
      <c r="Q2378" s="1"/>
      <c r="R2378" s="1"/>
    </row>
    <row r="2379" spans="2:18">
      <c r="B2379" s="1" t="s">
        <v>475</v>
      </c>
      <c r="C2379" s="2" t="s">
        <v>5</v>
      </c>
      <c r="D2379" s="2" t="s">
        <v>474</v>
      </c>
      <c r="E2379" s="3">
        <v>15.5</v>
      </c>
      <c r="F2379" s="3">
        <v>1.625</v>
      </c>
      <c r="G2379" s="4">
        <v>44727</v>
      </c>
      <c r="M2379" s="1"/>
      <c r="N2379" s="1"/>
      <c r="O2379" s="1"/>
      <c r="P2379" s="1"/>
      <c r="Q2379" s="1"/>
      <c r="R2379" s="1"/>
    </row>
    <row r="2380" spans="2:18">
      <c r="C2380" s="2" t="s">
        <v>5</v>
      </c>
      <c r="D2380" s="2" t="s">
        <v>474</v>
      </c>
      <c r="E2380" s="3">
        <v>12</v>
      </c>
      <c r="F2380" s="3">
        <v>3</v>
      </c>
      <c r="G2380" s="4">
        <v>43948</v>
      </c>
      <c r="M2380" s="1"/>
      <c r="N2380" s="1"/>
      <c r="O2380" s="1"/>
      <c r="P2380" s="1"/>
      <c r="Q2380" s="1"/>
      <c r="R2380" s="1"/>
    </row>
    <row r="2382" spans="2:18">
      <c r="B2382" s="1" t="s">
        <v>473</v>
      </c>
      <c r="C2382" s="2" t="s">
        <v>7</v>
      </c>
      <c r="D2382" s="2" t="s">
        <v>470</v>
      </c>
      <c r="E2382" s="3">
        <v>25.7</v>
      </c>
      <c r="F2382" s="3">
        <v>5</v>
      </c>
      <c r="G2382" s="4">
        <v>43837</v>
      </c>
      <c r="M2382" s="1"/>
      <c r="N2382" s="1"/>
      <c r="O2382" s="1"/>
      <c r="P2382" s="1"/>
      <c r="Q2382" s="1"/>
      <c r="R2382" s="1"/>
    </row>
    <row r="2383" spans="2:18">
      <c r="B2383" s="1" t="s">
        <v>472</v>
      </c>
      <c r="C2383" s="2" t="s">
        <v>7</v>
      </c>
      <c r="D2383" s="2" t="s">
        <v>470</v>
      </c>
      <c r="E2383" s="3">
        <v>25.7</v>
      </c>
      <c r="F2383" s="3">
        <v>15.7</v>
      </c>
      <c r="G2383" s="4">
        <v>43837</v>
      </c>
      <c r="M2383" s="1"/>
      <c r="N2383" s="1"/>
      <c r="O2383" s="1"/>
      <c r="P2383" s="1"/>
      <c r="Q2383" s="1"/>
      <c r="R2383" s="1"/>
    </row>
    <row r="2384" spans="2:18">
      <c r="B2384" s="1" t="s">
        <v>471</v>
      </c>
      <c r="C2384" s="2" t="s">
        <v>7</v>
      </c>
      <c r="D2384" s="2" t="s">
        <v>470</v>
      </c>
      <c r="E2384" s="3">
        <v>25.7</v>
      </c>
      <c r="F2384" s="3">
        <v>5</v>
      </c>
      <c r="G2384" s="4">
        <v>43837</v>
      </c>
      <c r="M2384" s="1"/>
      <c r="N2384" s="1"/>
      <c r="O2384" s="1"/>
      <c r="P2384" s="1"/>
      <c r="Q2384" s="1"/>
      <c r="R2384" s="1"/>
    </row>
    <row r="2385" spans="2:18">
      <c r="G2385" s="4"/>
      <c r="M2385" s="1"/>
      <c r="N2385" s="1"/>
      <c r="O2385" s="1"/>
      <c r="P2385" s="1"/>
      <c r="Q2385" s="1"/>
      <c r="R2385" s="1"/>
    </row>
    <row r="2386" spans="2:18">
      <c r="B2386" s="1" t="s">
        <v>468</v>
      </c>
      <c r="C2386" s="2" t="s">
        <v>7</v>
      </c>
      <c r="D2386" s="2" t="s">
        <v>464</v>
      </c>
      <c r="E2386" s="3">
        <v>26.8</v>
      </c>
      <c r="F2386" s="3">
        <v>4</v>
      </c>
      <c r="G2386" s="4">
        <v>44600</v>
      </c>
      <c r="M2386" s="1"/>
      <c r="N2386" s="1"/>
      <c r="O2386" s="1"/>
      <c r="P2386" s="1"/>
      <c r="Q2386" s="1"/>
      <c r="R2386" s="1"/>
    </row>
    <row r="2387" spans="2:18">
      <c r="B2387" s="1" t="s">
        <v>467</v>
      </c>
      <c r="C2387" s="2" t="s">
        <v>7</v>
      </c>
      <c r="D2387" s="2" t="s">
        <v>464</v>
      </c>
      <c r="E2387" s="3">
        <v>26.8</v>
      </c>
      <c r="F2387" s="3">
        <v>4</v>
      </c>
      <c r="G2387" s="4">
        <v>44600</v>
      </c>
      <c r="M2387" s="1"/>
      <c r="N2387" s="1"/>
      <c r="O2387" s="1"/>
      <c r="P2387" s="1"/>
      <c r="Q2387" s="1"/>
      <c r="R2387" s="1"/>
    </row>
    <row r="2388" spans="2:18">
      <c r="C2388" s="2" t="s">
        <v>5</v>
      </c>
      <c r="D2388" s="2" t="s">
        <v>464</v>
      </c>
      <c r="E2388" s="3">
        <v>8.3000000000000007</v>
      </c>
      <c r="F2388" s="3">
        <v>4.3</v>
      </c>
      <c r="G2388" s="4">
        <v>44053</v>
      </c>
      <c r="M2388" s="1"/>
      <c r="N2388" s="1"/>
      <c r="O2388" s="1"/>
      <c r="P2388" s="1"/>
      <c r="Q2388" s="1"/>
      <c r="R2388" s="1"/>
    </row>
    <row r="2389" spans="2:18">
      <c r="B2389" s="1" t="s">
        <v>466</v>
      </c>
      <c r="C2389" s="2" t="s">
        <v>7</v>
      </c>
      <c r="D2389" s="2" t="s">
        <v>464</v>
      </c>
      <c r="E2389" s="3">
        <v>26.8</v>
      </c>
      <c r="F2389" s="3">
        <v>4</v>
      </c>
      <c r="G2389" s="4">
        <v>44600</v>
      </c>
      <c r="M2389" s="1"/>
      <c r="N2389" s="1"/>
      <c r="O2389" s="1"/>
      <c r="P2389" s="1"/>
      <c r="Q2389" s="1"/>
      <c r="R2389" s="1"/>
    </row>
    <row r="2390" spans="2:18">
      <c r="C2390" s="2" t="s">
        <v>5</v>
      </c>
      <c r="D2390" s="2" t="s">
        <v>464</v>
      </c>
      <c r="E2390" s="3">
        <v>8.3000000000000007</v>
      </c>
      <c r="F2390" s="3">
        <v>2</v>
      </c>
      <c r="G2390" s="4">
        <v>44053</v>
      </c>
      <c r="M2390" s="1"/>
      <c r="N2390" s="1"/>
      <c r="O2390" s="1"/>
      <c r="P2390" s="1"/>
      <c r="Q2390" s="1"/>
      <c r="R2390" s="1"/>
    </row>
    <row r="2391" spans="2:18">
      <c r="B2391" s="1" t="s">
        <v>465</v>
      </c>
      <c r="C2391" s="2" t="s">
        <v>5</v>
      </c>
      <c r="D2391" s="2" t="s">
        <v>464</v>
      </c>
      <c r="E2391" s="3">
        <v>8.3000000000000007</v>
      </c>
      <c r="F2391" s="3">
        <v>2</v>
      </c>
      <c r="G2391" s="4">
        <v>44053</v>
      </c>
      <c r="M2391" s="1"/>
      <c r="N2391" s="1"/>
      <c r="O2391" s="1"/>
      <c r="P2391" s="1"/>
      <c r="Q2391" s="1"/>
      <c r="R2391" s="1"/>
    </row>
    <row r="2392" spans="2:18">
      <c r="B2392" s="1" t="s">
        <v>463</v>
      </c>
      <c r="C2392" s="2" t="s">
        <v>7</v>
      </c>
      <c r="D2392" s="2" t="s">
        <v>462</v>
      </c>
      <c r="E2392" s="3">
        <v>25</v>
      </c>
      <c r="F2392" s="3">
        <v>15</v>
      </c>
      <c r="G2392" s="4">
        <v>43972</v>
      </c>
      <c r="M2392" s="1"/>
      <c r="N2392" s="1"/>
      <c r="O2392" s="1"/>
      <c r="P2392" s="1"/>
      <c r="Q2392" s="1"/>
      <c r="R2392" s="1"/>
    </row>
    <row r="2393" spans="2:18">
      <c r="G2393" s="4"/>
      <c r="M2393" s="1"/>
      <c r="N2393" s="1"/>
      <c r="O2393" s="1"/>
      <c r="P2393" s="1"/>
      <c r="Q2393" s="1"/>
      <c r="R2393" s="1"/>
    </row>
    <row r="2394" spans="2:18">
      <c r="B2394" s="1" t="s">
        <v>460</v>
      </c>
      <c r="C2394" s="2" t="s">
        <v>8</v>
      </c>
      <c r="D2394" s="2" t="s">
        <v>456</v>
      </c>
      <c r="E2394" s="3">
        <v>90</v>
      </c>
      <c r="F2394" s="3">
        <f>50/11</f>
        <v>4.5454545454545459</v>
      </c>
      <c r="G2394" s="4">
        <v>44776</v>
      </c>
      <c r="M2394" s="1"/>
      <c r="N2394" s="1"/>
      <c r="O2394" s="1"/>
      <c r="P2394" s="1"/>
      <c r="Q2394" s="1"/>
      <c r="R2394" s="1"/>
    </row>
    <row r="2395" spans="2:18">
      <c r="C2395" s="2" t="s">
        <v>18</v>
      </c>
      <c r="D2395" s="2" t="s">
        <v>456</v>
      </c>
      <c r="E2395" s="3">
        <v>40</v>
      </c>
      <c r="F2395" s="3">
        <v>3.75</v>
      </c>
      <c r="G2395" s="4">
        <v>44176</v>
      </c>
      <c r="M2395" s="1"/>
      <c r="N2395" s="1"/>
      <c r="O2395" s="1"/>
      <c r="P2395" s="1"/>
      <c r="Q2395" s="1"/>
      <c r="R2395" s="1"/>
    </row>
    <row r="2396" spans="2:18">
      <c r="C2396" s="2" t="s">
        <v>7</v>
      </c>
      <c r="D2396" s="2" t="s">
        <v>456</v>
      </c>
      <c r="E2396" s="3">
        <v>20</v>
      </c>
      <c r="F2396" s="3">
        <v>3</v>
      </c>
      <c r="G2396" s="4">
        <v>43879</v>
      </c>
      <c r="M2396" s="1"/>
      <c r="N2396" s="1"/>
      <c r="O2396" s="1"/>
      <c r="P2396" s="1"/>
      <c r="Q2396" s="1"/>
      <c r="R2396" s="1"/>
    </row>
    <row r="2397" spans="2:18">
      <c r="B2397" s="1" t="s">
        <v>459</v>
      </c>
      <c r="C2397" s="2" t="s">
        <v>8</v>
      </c>
      <c r="D2397" s="2" t="s">
        <v>456</v>
      </c>
      <c r="E2397" s="3">
        <v>90</v>
      </c>
      <c r="F2397" s="3">
        <f>50/11</f>
        <v>4.5454545454545459</v>
      </c>
      <c r="G2397" s="4">
        <v>44776</v>
      </c>
      <c r="M2397" s="1"/>
      <c r="N2397" s="1"/>
      <c r="O2397" s="1"/>
      <c r="P2397" s="1"/>
      <c r="Q2397" s="1"/>
      <c r="R2397" s="1"/>
    </row>
    <row r="2398" spans="2:18">
      <c r="C2398" s="2" t="s">
        <v>18</v>
      </c>
      <c r="D2398" s="2" t="s">
        <v>456</v>
      </c>
      <c r="E2398" s="3">
        <v>40</v>
      </c>
      <c r="F2398" s="3">
        <v>3.75</v>
      </c>
      <c r="G2398" s="4">
        <v>44176</v>
      </c>
      <c r="M2398" s="1"/>
      <c r="N2398" s="1"/>
      <c r="O2398" s="1"/>
      <c r="P2398" s="1"/>
      <c r="Q2398" s="1"/>
      <c r="R2398" s="1"/>
    </row>
    <row r="2399" spans="2:18">
      <c r="C2399" s="2" t="s">
        <v>7</v>
      </c>
      <c r="D2399" s="2" t="s">
        <v>456</v>
      </c>
      <c r="E2399" s="3">
        <v>20</v>
      </c>
      <c r="F2399" s="3">
        <v>3</v>
      </c>
      <c r="G2399" s="4">
        <v>43879</v>
      </c>
      <c r="M2399" s="1"/>
      <c r="N2399" s="1"/>
      <c r="O2399" s="1"/>
      <c r="P2399" s="1"/>
      <c r="Q2399" s="1"/>
      <c r="R2399" s="1"/>
    </row>
    <row r="2400" spans="2:18">
      <c r="B2400" s="1" t="s">
        <v>458</v>
      </c>
      <c r="C2400" s="2" t="s">
        <v>8</v>
      </c>
      <c r="D2400" s="2" t="s">
        <v>456</v>
      </c>
      <c r="E2400" s="3">
        <v>90</v>
      </c>
      <c r="F2400" s="3">
        <f>50/11</f>
        <v>4.5454545454545459</v>
      </c>
      <c r="G2400" s="4">
        <v>44776</v>
      </c>
      <c r="M2400" s="1"/>
      <c r="N2400" s="1"/>
      <c r="O2400" s="1"/>
      <c r="P2400" s="1"/>
      <c r="Q2400" s="1"/>
      <c r="R2400" s="1"/>
    </row>
    <row r="2401" spans="2:18">
      <c r="C2401" s="2" t="s">
        <v>18</v>
      </c>
      <c r="D2401" s="2" t="s">
        <v>456</v>
      </c>
      <c r="E2401" s="3">
        <v>40</v>
      </c>
      <c r="F2401" s="3">
        <v>3.75</v>
      </c>
      <c r="G2401" s="4">
        <v>44176</v>
      </c>
      <c r="M2401" s="1"/>
      <c r="N2401" s="1"/>
      <c r="O2401" s="1"/>
      <c r="P2401" s="1"/>
      <c r="Q2401" s="1"/>
      <c r="R2401" s="1"/>
    </row>
    <row r="2402" spans="2:18">
      <c r="B2402" s="1" t="s">
        <v>457</v>
      </c>
      <c r="C2402" s="2" t="s">
        <v>8</v>
      </c>
      <c r="D2402" s="2" t="s">
        <v>456</v>
      </c>
      <c r="E2402" s="3">
        <v>90</v>
      </c>
      <c r="F2402" s="3">
        <f>50/11</f>
        <v>4.5454545454545459</v>
      </c>
      <c r="G2402" s="4">
        <v>44776</v>
      </c>
      <c r="M2402" s="1"/>
      <c r="N2402" s="1"/>
      <c r="O2402" s="1"/>
      <c r="P2402" s="1"/>
      <c r="Q2402" s="1"/>
      <c r="R2402" s="1"/>
    </row>
    <row r="2403" spans="2:18">
      <c r="C2403" s="2" t="s">
        <v>18</v>
      </c>
      <c r="D2403" s="2" t="s">
        <v>456</v>
      </c>
      <c r="E2403" s="3">
        <v>40</v>
      </c>
      <c r="F2403" s="3">
        <v>3.75</v>
      </c>
      <c r="G2403" s="4">
        <v>44176</v>
      </c>
      <c r="M2403" s="1"/>
      <c r="N2403" s="1"/>
      <c r="O2403" s="1"/>
      <c r="P2403" s="1"/>
      <c r="Q2403" s="1"/>
      <c r="R2403" s="1"/>
    </row>
    <row r="2404" spans="2:18">
      <c r="C2404" s="2" t="s">
        <v>7</v>
      </c>
      <c r="D2404" s="2" t="s">
        <v>456</v>
      </c>
      <c r="E2404" s="3">
        <v>20</v>
      </c>
      <c r="F2404" s="3">
        <v>3</v>
      </c>
      <c r="G2404" s="4">
        <v>43879</v>
      </c>
      <c r="M2404" s="1"/>
      <c r="N2404" s="1"/>
      <c r="O2404" s="1"/>
      <c r="P2404" s="1"/>
      <c r="Q2404" s="1"/>
      <c r="R2404" s="1"/>
    </row>
    <row r="2405" spans="2:18">
      <c r="B2405" s="1" t="s">
        <v>455</v>
      </c>
      <c r="C2405" s="2" t="s">
        <v>7</v>
      </c>
      <c r="D2405" s="2" t="s">
        <v>454</v>
      </c>
      <c r="E2405" s="3">
        <v>30</v>
      </c>
      <c r="F2405" s="3">
        <v>5</v>
      </c>
      <c r="G2405" s="4">
        <v>44756</v>
      </c>
      <c r="M2405" s="1"/>
      <c r="N2405" s="1"/>
      <c r="O2405" s="1"/>
      <c r="P2405" s="1"/>
      <c r="Q2405" s="1"/>
      <c r="R2405" s="1"/>
    </row>
    <row r="2406" spans="2:18">
      <c r="C2406" s="2" t="s">
        <v>5</v>
      </c>
      <c r="D2406" s="2" t="s">
        <v>454</v>
      </c>
      <c r="E2406" s="3">
        <v>28</v>
      </c>
      <c r="F2406" s="3">
        <v>5</v>
      </c>
      <c r="G2406" s="4">
        <v>44624</v>
      </c>
      <c r="M2406" s="1"/>
      <c r="N2406" s="1"/>
      <c r="O2406" s="1"/>
      <c r="P2406" s="1"/>
      <c r="Q2406" s="1"/>
      <c r="R2406" s="1"/>
    </row>
    <row r="2407" spans="2:18">
      <c r="C2407" s="2" t="s">
        <v>4</v>
      </c>
      <c r="D2407" s="2" t="s">
        <v>454</v>
      </c>
      <c r="E2407" s="3">
        <v>5</v>
      </c>
      <c r="F2407" s="3">
        <v>1</v>
      </c>
      <c r="G2407" s="4">
        <v>44136</v>
      </c>
      <c r="M2407" s="1"/>
      <c r="N2407" s="1"/>
      <c r="O2407" s="1"/>
      <c r="P2407" s="1"/>
      <c r="Q2407" s="1"/>
      <c r="R2407" s="1"/>
    </row>
    <row r="2408" spans="2:18">
      <c r="B2408" s="1" t="s">
        <v>453</v>
      </c>
      <c r="C2408" s="2" t="s">
        <v>4</v>
      </c>
      <c r="D2408" s="2" t="s">
        <v>447</v>
      </c>
      <c r="E2408" s="3">
        <v>7</v>
      </c>
      <c r="F2408" s="3">
        <v>1.5</v>
      </c>
      <c r="G2408" s="4">
        <v>44602</v>
      </c>
      <c r="M2408" s="1"/>
      <c r="N2408" s="1"/>
      <c r="O2408" s="1"/>
      <c r="P2408" s="1"/>
      <c r="Q2408" s="1"/>
      <c r="R2408" s="1"/>
    </row>
    <row r="2409" spans="2:18">
      <c r="B2409" s="1" t="s">
        <v>452</v>
      </c>
      <c r="C2409" s="2" t="s">
        <v>4</v>
      </c>
      <c r="D2409" s="2" t="s">
        <v>447</v>
      </c>
      <c r="E2409" s="3">
        <v>7</v>
      </c>
      <c r="F2409" s="3">
        <v>1.5</v>
      </c>
      <c r="G2409" s="4">
        <v>44602</v>
      </c>
      <c r="M2409" s="1"/>
      <c r="N2409" s="1"/>
      <c r="O2409" s="1"/>
      <c r="P2409" s="1"/>
      <c r="Q2409" s="1"/>
      <c r="R2409" s="1"/>
    </row>
    <row r="2410" spans="2:18">
      <c r="B2410" s="1" t="s">
        <v>451</v>
      </c>
      <c r="C2410" s="2" t="s">
        <v>4</v>
      </c>
      <c r="D2410" s="2" t="s">
        <v>447</v>
      </c>
      <c r="E2410" s="3">
        <v>7</v>
      </c>
      <c r="F2410" s="3">
        <v>0.5</v>
      </c>
      <c r="G2410" s="4">
        <v>44602</v>
      </c>
      <c r="M2410" s="1"/>
      <c r="N2410" s="1"/>
      <c r="O2410" s="1"/>
      <c r="P2410" s="1"/>
      <c r="Q2410" s="1"/>
      <c r="R2410" s="1"/>
    </row>
    <row r="2411" spans="2:18">
      <c r="B2411" s="1" t="s">
        <v>450</v>
      </c>
      <c r="C2411" s="2" t="s">
        <v>4</v>
      </c>
      <c r="D2411" s="2" t="s">
        <v>447</v>
      </c>
      <c r="E2411" s="3">
        <v>7</v>
      </c>
      <c r="F2411" s="3">
        <v>0.5</v>
      </c>
      <c r="G2411" s="4">
        <v>44602</v>
      </c>
      <c r="M2411" s="1"/>
      <c r="N2411" s="1"/>
      <c r="O2411" s="1"/>
      <c r="P2411" s="1"/>
      <c r="Q2411" s="1"/>
      <c r="R2411" s="1"/>
    </row>
    <row r="2412" spans="2:18">
      <c r="B2412" s="1" t="s">
        <v>449</v>
      </c>
      <c r="C2412" s="2" t="s">
        <v>4</v>
      </c>
      <c r="D2412" s="2" t="s">
        <v>447</v>
      </c>
      <c r="E2412" s="3">
        <v>7</v>
      </c>
      <c r="F2412" s="3">
        <v>0.5</v>
      </c>
      <c r="G2412" s="4">
        <v>44602</v>
      </c>
      <c r="M2412" s="1"/>
      <c r="N2412" s="1"/>
      <c r="O2412" s="1"/>
      <c r="P2412" s="1"/>
      <c r="Q2412" s="1"/>
      <c r="R2412" s="1"/>
    </row>
    <row r="2413" spans="2:18">
      <c r="B2413" s="1" t="s">
        <v>448</v>
      </c>
      <c r="C2413" s="2" t="s">
        <v>4</v>
      </c>
      <c r="D2413" s="2" t="s">
        <v>447</v>
      </c>
      <c r="E2413" s="3">
        <v>7</v>
      </c>
      <c r="F2413" s="3">
        <v>0.5</v>
      </c>
      <c r="G2413" s="4">
        <v>44602</v>
      </c>
      <c r="M2413" s="1"/>
      <c r="N2413" s="1"/>
      <c r="O2413" s="1"/>
      <c r="P2413" s="1"/>
      <c r="Q2413" s="1"/>
      <c r="R2413" s="1"/>
    </row>
    <row r="2414" spans="2:18">
      <c r="C2414" s="2" t="s">
        <v>285</v>
      </c>
      <c r="D2414" s="2" t="s">
        <v>447</v>
      </c>
      <c r="E2414" s="3">
        <v>1.1000000000000001</v>
      </c>
      <c r="F2414" s="3">
        <v>1.1000000000000001</v>
      </c>
      <c r="G2414" s="4">
        <v>44061</v>
      </c>
      <c r="M2414" s="1"/>
      <c r="N2414" s="1"/>
      <c r="O2414" s="1"/>
      <c r="P2414" s="1"/>
      <c r="Q2414" s="1"/>
      <c r="R2414" s="1"/>
    </row>
    <row r="2415" spans="2:18">
      <c r="B2415" s="1" t="s">
        <v>446</v>
      </c>
      <c r="C2415" s="2" t="s">
        <v>7</v>
      </c>
      <c r="D2415" s="2" t="s">
        <v>443</v>
      </c>
      <c r="E2415" s="3">
        <v>1.8</v>
      </c>
      <c r="F2415" s="3">
        <v>0.6</v>
      </c>
      <c r="G2415" s="4">
        <v>43661</v>
      </c>
      <c r="M2415" s="1"/>
      <c r="N2415" s="1"/>
      <c r="O2415" s="1"/>
      <c r="P2415" s="1"/>
      <c r="Q2415" s="1"/>
      <c r="R2415" s="1"/>
    </row>
    <row r="2416" spans="2:18">
      <c r="B2416" s="1" t="s">
        <v>445</v>
      </c>
      <c r="C2416" s="2" t="s">
        <v>7</v>
      </c>
      <c r="D2416" s="2" t="s">
        <v>443</v>
      </c>
      <c r="E2416" s="3">
        <v>1.8</v>
      </c>
      <c r="F2416" s="3">
        <v>0.6</v>
      </c>
      <c r="G2416" s="4">
        <v>43661</v>
      </c>
      <c r="M2416" s="1"/>
      <c r="N2416" s="1"/>
      <c r="O2416" s="1"/>
      <c r="P2416" s="1"/>
      <c r="Q2416" s="1"/>
      <c r="R2416" s="1"/>
    </row>
    <row r="2417" spans="2:18">
      <c r="B2417" s="1" t="s">
        <v>444</v>
      </c>
      <c r="C2417" s="2" t="s">
        <v>7</v>
      </c>
      <c r="D2417" s="2" t="s">
        <v>443</v>
      </c>
      <c r="E2417" s="3">
        <v>1.8</v>
      </c>
      <c r="F2417" s="3">
        <v>0.4</v>
      </c>
      <c r="G2417" s="4">
        <v>43661</v>
      </c>
      <c r="M2417" s="1"/>
      <c r="N2417" s="1"/>
      <c r="O2417" s="1"/>
      <c r="P2417" s="1"/>
      <c r="Q2417" s="1"/>
      <c r="R2417" s="1"/>
    </row>
    <row r="2418" spans="2:18">
      <c r="B2418" s="1" t="s">
        <v>442</v>
      </c>
      <c r="C2418" s="2" t="s">
        <v>7</v>
      </c>
      <c r="D2418" s="2" t="s">
        <v>439</v>
      </c>
      <c r="E2418" s="3">
        <v>93</v>
      </c>
      <c r="F2418" s="3">
        <v>10</v>
      </c>
      <c r="G2418" s="4">
        <v>43018</v>
      </c>
      <c r="M2418" s="1"/>
      <c r="N2418" s="1"/>
      <c r="O2418" s="1"/>
      <c r="P2418" s="1"/>
      <c r="Q2418" s="1"/>
      <c r="R2418" s="1"/>
    </row>
    <row r="2419" spans="2:18">
      <c r="C2419" s="2" t="s">
        <v>5</v>
      </c>
      <c r="D2419" s="2" t="s">
        <v>439</v>
      </c>
      <c r="E2419" s="3">
        <v>15</v>
      </c>
      <c r="F2419" s="3">
        <v>6</v>
      </c>
      <c r="G2419" s="4">
        <v>42690</v>
      </c>
      <c r="M2419" s="1"/>
      <c r="N2419" s="1"/>
      <c r="O2419" s="1"/>
      <c r="P2419" s="1"/>
      <c r="Q2419" s="1"/>
      <c r="R2419" s="1"/>
    </row>
    <row r="2420" spans="2:18">
      <c r="B2420" s="1" t="s">
        <v>441</v>
      </c>
      <c r="C2420" s="2" t="s">
        <v>5</v>
      </c>
      <c r="D2420" s="2" t="s">
        <v>439</v>
      </c>
      <c r="E2420" s="3">
        <v>15</v>
      </c>
      <c r="F2420" s="3">
        <v>3</v>
      </c>
      <c r="G2420" s="4">
        <v>42690</v>
      </c>
      <c r="M2420" s="1"/>
      <c r="N2420" s="1"/>
      <c r="O2420" s="1"/>
      <c r="P2420" s="1"/>
      <c r="Q2420" s="1"/>
      <c r="R2420" s="1"/>
    </row>
    <row r="2421" spans="2:18">
      <c r="G2421" s="4"/>
      <c r="M2421" s="1"/>
      <c r="N2421" s="1"/>
      <c r="O2421" s="1"/>
      <c r="P2421" s="1"/>
      <c r="Q2421" s="1"/>
      <c r="R2421" s="1"/>
    </row>
    <row r="2422" spans="2:18">
      <c r="B2422" s="1" t="s">
        <v>440</v>
      </c>
      <c r="C2422" s="2" t="s">
        <v>5</v>
      </c>
      <c r="D2422" s="2" t="s">
        <v>439</v>
      </c>
      <c r="E2422" s="3">
        <v>15</v>
      </c>
      <c r="F2422" s="3">
        <v>3</v>
      </c>
      <c r="G2422" s="4">
        <v>42690</v>
      </c>
      <c r="M2422" s="1"/>
      <c r="N2422" s="1"/>
      <c r="O2422" s="1"/>
      <c r="P2422" s="1"/>
      <c r="Q2422" s="1"/>
      <c r="R2422" s="1"/>
    </row>
    <row r="2423" spans="2:18">
      <c r="C2423" s="2" t="s">
        <v>5</v>
      </c>
      <c r="D2423" s="2" t="s">
        <v>438</v>
      </c>
      <c r="E2423" s="3">
        <v>5</v>
      </c>
      <c r="F2423" s="3">
        <v>5</v>
      </c>
      <c r="G2423" s="4">
        <v>43355</v>
      </c>
      <c r="M2423" s="1"/>
      <c r="N2423" s="1"/>
      <c r="O2423" s="1"/>
      <c r="P2423" s="1"/>
      <c r="Q2423" s="1"/>
      <c r="R2423" s="1"/>
    </row>
    <row r="2424" spans="2:18">
      <c r="G2424" s="4"/>
      <c r="M2424" s="1"/>
      <c r="N2424" s="1"/>
      <c r="O2424" s="1"/>
      <c r="P2424" s="1"/>
      <c r="Q2424" s="1"/>
      <c r="R2424" s="1"/>
    </row>
    <row r="2425" spans="2:18">
      <c r="B2425" s="1" t="s">
        <v>437</v>
      </c>
      <c r="C2425" s="2" t="s">
        <v>5</v>
      </c>
      <c r="D2425" s="2" t="s">
        <v>436</v>
      </c>
      <c r="E2425" s="3">
        <v>8.5</v>
      </c>
      <c r="F2425" s="3">
        <v>8.5</v>
      </c>
      <c r="G2425" s="4">
        <v>44307</v>
      </c>
      <c r="M2425" s="1"/>
      <c r="N2425" s="1"/>
      <c r="O2425" s="1"/>
      <c r="P2425" s="1"/>
      <c r="Q2425" s="1"/>
      <c r="R2425" s="1"/>
    </row>
    <row r="2426" spans="2:18">
      <c r="B2426" s="1" t="s">
        <v>435</v>
      </c>
      <c r="C2426" s="2" t="s">
        <v>18</v>
      </c>
      <c r="D2426" s="2" t="s">
        <v>432</v>
      </c>
      <c r="E2426" s="3">
        <v>75</v>
      </c>
      <c r="F2426" s="3">
        <f>35/5</f>
        <v>7</v>
      </c>
      <c r="G2426" s="4">
        <v>45020</v>
      </c>
      <c r="M2426" s="1"/>
      <c r="N2426" s="1"/>
      <c r="O2426" s="1"/>
      <c r="P2426" s="1"/>
      <c r="Q2426" s="1"/>
      <c r="R2426" s="1"/>
    </row>
    <row r="2427" spans="2:18">
      <c r="B2427" s="1" t="s">
        <v>434</v>
      </c>
      <c r="C2427" s="2" t="s">
        <v>18</v>
      </c>
      <c r="D2427" s="2" t="s">
        <v>432</v>
      </c>
      <c r="E2427" s="3">
        <v>75</v>
      </c>
      <c r="F2427" s="3">
        <f>35/5</f>
        <v>7</v>
      </c>
      <c r="G2427" s="4">
        <v>45020</v>
      </c>
      <c r="M2427" s="1"/>
      <c r="N2427" s="1"/>
      <c r="O2427" s="1"/>
      <c r="P2427" s="1"/>
      <c r="Q2427" s="1"/>
      <c r="R2427" s="1"/>
    </row>
    <row r="2428" spans="2:18">
      <c r="B2428" s="1" t="s">
        <v>433</v>
      </c>
      <c r="C2428" s="2" t="s">
        <v>4</v>
      </c>
      <c r="D2428" s="2" t="s">
        <v>432</v>
      </c>
      <c r="E2428" s="3">
        <v>7</v>
      </c>
      <c r="F2428" s="3">
        <v>0.7142857142857143</v>
      </c>
      <c r="G2428" s="4">
        <v>43046</v>
      </c>
      <c r="M2428" s="1"/>
      <c r="N2428" s="1"/>
      <c r="O2428" s="1"/>
      <c r="P2428" s="1"/>
      <c r="Q2428" s="1"/>
      <c r="R2428" s="1"/>
    </row>
    <row r="2429" spans="2:18">
      <c r="B2429" s="1" t="s">
        <v>431</v>
      </c>
      <c r="C2429" s="2" t="s">
        <v>18</v>
      </c>
      <c r="D2429" s="2" t="s">
        <v>424</v>
      </c>
      <c r="E2429" s="3">
        <v>23</v>
      </c>
      <c r="F2429" s="3">
        <v>7</v>
      </c>
      <c r="G2429" s="4">
        <v>44328</v>
      </c>
      <c r="I2429" s="5"/>
      <c r="M2429" s="1"/>
      <c r="N2429" s="1"/>
      <c r="O2429" s="1"/>
      <c r="P2429" s="1"/>
      <c r="Q2429" s="1"/>
      <c r="R2429" s="1"/>
    </row>
    <row r="2430" spans="2:18">
      <c r="B2430" s="1" t="s">
        <v>430</v>
      </c>
      <c r="C2430" s="2" t="s">
        <v>18</v>
      </c>
      <c r="D2430" s="2" t="s">
        <v>424</v>
      </c>
      <c r="E2430" s="3">
        <v>23</v>
      </c>
      <c r="F2430" s="3">
        <f>16/6</f>
        <v>2.6666666666666665</v>
      </c>
      <c r="G2430" s="4">
        <v>44328</v>
      </c>
      <c r="M2430" s="1"/>
      <c r="N2430" s="1"/>
      <c r="O2430" s="1"/>
      <c r="P2430" s="1"/>
      <c r="Q2430" s="1"/>
      <c r="R2430" s="1"/>
    </row>
    <row r="2431" spans="2:18">
      <c r="B2431" s="1" t="s">
        <v>429</v>
      </c>
      <c r="C2431" s="2" t="s">
        <v>18</v>
      </c>
      <c r="D2431" s="2" t="s">
        <v>424</v>
      </c>
      <c r="E2431" s="3">
        <v>23</v>
      </c>
      <c r="F2431" s="3">
        <f>16/6</f>
        <v>2.6666666666666665</v>
      </c>
      <c r="G2431" s="4">
        <v>44328</v>
      </c>
      <c r="M2431" s="1"/>
      <c r="N2431" s="1"/>
      <c r="O2431" s="1"/>
      <c r="P2431" s="1"/>
      <c r="Q2431" s="1"/>
      <c r="R2431" s="1"/>
    </row>
    <row r="2432" spans="2:18">
      <c r="B2432" s="1" t="s">
        <v>428</v>
      </c>
      <c r="C2432" s="2" t="s">
        <v>18</v>
      </c>
      <c r="D2432" s="2" t="s">
        <v>424</v>
      </c>
      <c r="E2432" s="3">
        <v>23</v>
      </c>
      <c r="F2432" s="3">
        <f>16/6</f>
        <v>2.6666666666666665</v>
      </c>
      <c r="G2432" s="4">
        <v>44328</v>
      </c>
      <c r="M2432" s="1"/>
      <c r="N2432" s="1"/>
      <c r="O2432" s="1"/>
      <c r="P2432" s="1"/>
      <c r="Q2432" s="1"/>
      <c r="R2432" s="1"/>
    </row>
    <row r="2433" spans="2:18">
      <c r="B2433" s="1" t="s">
        <v>427</v>
      </c>
      <c r="C2433" s="2" t="s">
        <v>18</v>
      </c>
      <c r="D2433" s="2" t="s">
        <v>424</v>
      </c>
      <c r="E2433" s="3">
        <v>23</v>
      </c>
      <c r="F2433" s="3">
        <f>16/6</f>
        <v>2.6666666666666665</v>
      </c>
      <c r="G2433" s="4">
        <v>44328</v>
      </c>
      <c r="M2433" s="1"/>
      <c r="N2433" s="1"/>
      <c r="O2433" s="1"/>
      <c r="P2433" s="1"/>
      <c r="Q2433" s="1"/>
      <c r="R2433" s="1"/>
    </row>
    <row r="2434" spans="2:18">
      <c r="B2434" s="1" t="s">
        <v>426</v>
      </c>
      <c r="C2434" s="2" t="s">
        <v>18</v>
      </c>
      <c r="D2434" s="2" t="s">
        <v>424</v>
      </c>
      <c r="E2434" s="3">
        <v>23</v>
      </c>
      <c r="F2434" s="3">
        <f>16/6</f>
        <v>2.6666666666666665</v>
      </c>
      <c r="G2434" s="4">
        <v>44328</v>
      </c>
      <c r="M2434" s="1"/>
      <c r="N2434" s="1"/>
      <c r="O2434" s="1"/>
      <c r="P2434" s="1"/>
      <c r="Q2434" s="1"/>
      <c r="R2434" s="1"/>
    </row>
    <row r="2435" spans="2:18">
      <c r="B2435" s="1" t="s">
        <v>425</v>
      </c>
      <c r="C2435" s="2" t="s">
        <v>5</v>
      </c>
      <c r="D2435" s="2" t="s">
        <v>424</v>
      </c>
      <c r="E2435" s="3">
        <v>8</v>
      </c>
      <c r="F2435" s="3">
        <v>2</v>
      </c>
      <c r="G2435" s="4">
        <v>42416</v>
      </c>
      <c r="M2435" s="1"/>
      <c r="N2435" s="1"/>
      <c r="O2435" s="1"/>
      <c r="P2435" s="1"/>
      <c r="Q2435" s="1"/>
      <c r="R2435" s="1"/>
    </row>
    <row r="2436" spans="2:18">
      <c r="B2436" s="1" t="s">
        <v>423</v>
      </c>
      <c r="C2436" s="2" t="s">
        <v>18</v>
      </c>
      <c r="D2436" s="2" t="s">
        <v>422</v>
      </c>
      <c r="E2436" s="3">
        <v>65</v>
      </c>
      <c r="F2436" s="3">
        <v>32.5</v>
      </c>
      <c r="G2436" s="4">
        <v>43789</v>
      </c>
      <c r="M2436" s="1"/>
      <c r="N2436" s="1"/>
      <c r="O2436" s="1"/>
      <c r="P2436" s="1"/>
      <c r="Q2436" s="1"/>
      <c r="R2436" s="1"/>
    </row>
    <row r="2437" spans="2:18">
      <c r="B2437" s="1" t="s">
        <v>421</v>
      </c>
      <c r="C2437" s="2" t="s">
        <v>5</v>
      </c>
      <c r="D2437" s="2" t="s">
        <v>416</v>
      </c>
      <c r="E2437" s="3">
        <v>10</v>
      </c>
      <c r="F2437" s="3">
        <v>3</v>
      </c>
      <c r="G2437" s="4">
        <v>44740</v>
      </c>
      <c r="M2437" s="1"/>
      <c r="N2437" s="1"/>
      <c r="O2437" s="1"/>
      <c r="P2437" s="1"/>
      <c r="Q2437" s="1"/>
      <c r="R2437" s="1"/>
    </row>
    <row r="2438" spans="2:18">
      <c r="C2438" s="2" t="s">
        <v>8</v>
      </c>
      <c r="D2438" s="2" t="s">
        <v>4043</v>
      </c>
      <c r="E2438" s="3">
        <v>90</v>
      </c>
      <c r="F2438" s="3">
        <v>10</v>
      </c>
      <c r="G2438" s="4">
        <v>40354</v>
      </c>
      <c r="M2438" s="1"/>
      <c r="N2438" s="1"/>
      <c r="O2438" s="1"/>
      <c r="P2438" s="1"/>
      <c r="Q2438" s="1"/>
      <c r="R2438" s="1"/>
    </row>
    <row r="2439" spans="2:18">
      <c r="G2439" s="4"/>
      <c r="M2439" s="1"/>
      <c r="N2439" s="1"/>
      <c r="O2439" s="1"/>
      <c r="P2439" s="1"/>
      <c r="Q2439" s="1"/>
      <c r="R2439" s="1"/>
    </row>
    <row r="2440" spans="2:18">
      <c r="B2440" s="1" t="s">
        <v>420</v>
      </c>
      <c r="C2440" s="2" t="s">
        <v>5</v>
      </c>
      <c r="D2440" s="2" t="s">
        <v>416</v>
      </c>
      <c r="E2440" s="3">
        <v>10</v>
      </c>
      <c r="F2440" s="3">
        <f>7/4</f>
        <v>1.75</v>
      </c>
      <c r="G2440" s="4">
        <v>44740</v>
      </c>
      <c r="M2440" s="1"/>
      <c r="N2440" s="1"/>
      <c r="O2440" s="1"/>
      <c r="P2440" s="1"/>
      <c r="Q2440" s="1"/>
      <c r="R2440" s="1"/>
    </row>
    <row r="2441" spans="2:18">
      <c r="B2441" s="1" t="s">
        <v>419</v>
      </c>
      <c r="C2441" s="2" t="s">
        <v>5</v>
      </c>
      <c r="D2441" s="2" t="s">
        <v>416</v>
      </c>
      <c r="E2441" s="3">
        <v>10</v>
      </c>
      <c r="F2441" s="3">
        <f>7/4</f>
        <v>1.75</v>
      </c>
      <c r="G2441" s="4">
        <v>44740</v>
      </c>
      <c r="M2441" s="1"/>
      <c r="N2441" s="1"/>
      <c r="O2441" s="1"/>
      <c r="P2441" s="1"/>
      <c r="Q2441" s="1"/>
      <c r="R2441" s="1"/>
    </row>
    <row r="2442" spans="2:18">
      <c r="B2442" s="1" t="s">
        <v>418</v>
      </c>
      <c r="C2442" s="2" t="s">
        <v>5</v>
      </c>
      <c r="D2442" s="2" t="s">
        <v>416</v>
      </c>
      <c r="E2442" s="3">
        <v>10</v>
      </c>
      <c r="F2442" s="3">
        <f>7/4</f>
        <v>1.75</v>
      </c>
      <c r="G2442" s="4">
        <v>44740</v>
      </c>
      <c r="M2442" s="1"/>
      <c r="N2442" s="1"/>
      <c r="O2442" s="1"/>
      <c r="P2442" s="1"/>
      <c r="Q2442" s="1"/>
      <c r="R2442" s="1"/>
    </row>
    <row r="2443" spans="2:18">
      <c r="B2443" s="1" t="s">
        <v>417</v>
      </c>
      <c r="C2443" s="2" t="s">
        <v>4</v>
      </c>
      <c r="D2443" s="2" t="s">
        <v>416</v>
      </c>
      <c r="E2443" s="3">
        <v>4</v>
      </c>
      <c r="F2443" s="3">
        <v>4</v>
      </c>
      <c r="G2443" s="4">
        <v>43389</v>
      </c>
      <c r="M2443" s="1"/>
      <c r="N2443" s="1"/>
      <c r="O2443" s="1"/>
      <c r="P2443" s="1"/>
      <c r="Q2443" s="1"/>
      <c r="R2443" s="1"/>
    </row>
    <row r="2444" spans="2:18">
      <c r="B2444" s="1" t="s">
        <v>415</v>
      </c>
      <c r="C2444" s="2" t="s">
        <v>18</v>
      </c>
      <c r="D2444" s="2" t="s">
        <v>411</v>
      </c>
      <c r="E2444" s="3">
        <v>90</v>
      </c>
      <c r="F2444" s="3">
        <v>15</v>
      </c>
      <c r="G2444" s="4">
        <v>45090</v>
      </c>
      <c r="M2444" s="1"/>
      <c r="N2444" s="1"/>
      <c r="O2444" s="1"/>
      <c r="P2444" s="1"/>
      <c r="Q2444" s="1"/>
      <c r="R2444" s="1"/>
    </row>
    <row r="2445" spans="2:18">
      <c r="G2445" s="4"/>
      <c r="M2445" s="1"/>
      <c r="N2445" s="1"/>
      <c r="O2445" s="1"/>
      <c r="P2445" s="1"/>
      <c r="Q2445" s="1"/>
      <c r="R2445" s="1"/>
    </row>
    <row r="2446" spans="2:18">
      <c r="B2446" s="1" t="s">
        <v>414</v>
      </c>
      <c r="C2446" s="2" t="s">
        <v>7</v>
      </c>
      <c r="D2446" s="2" t="s">
        <v>411</v>
      </c>
      <c r="E2446" s="3">
        <v>50</v>
      </c>
      <c r="F2446" s="3">
        <f>30/6</f>
        <v>5</v>
      </c>
      <c r="G2446" s="4">
        <v>44538</v>
      </c>
      <c r="M2446" s="1"/>
      <c r="N2446" s="1"/>
      <c r="O2446" s="1"/>
      <c r="P2446" s="1"/>
      <c r="Q2446" s="1"/>
      <c r="R2446" s="1"/>
    </row>
    <row r="2447" spans="2:18">
      <c r="B2447" s="1" t="s">
        <v>413</v>
      </c>
      <c r="C2447" s="2" t="s">
        <v>7</v>
      </c>
      <c r="D2447" s="2" t="s">
        <v>411</v>
      </c>
      <c r="E2447" s="3">
        <v>50</v>
      </c>
      <c r="F2447" s="3">
        <f>30/6</f>
        <v>5</v>
      </c>
      <c r="G2447" s="4">
        <v>44538</v>
      </c>
      <c r="M2447" s="1"/>
      <c r="N2447" s="1"/>
      <c r="O2447" s="1"/>
      <c r="P2447" s="1"/>
      <c r="Q2447" s="1"/>
      <c r="R2447" s="1"/>
    </row>
    <row r="2448" spans="2:18">
      <c r="C2448" s="2" t="s">
        <v>5</v>
      </c>
      <c r="D2448" s="2" t="s">
        <v>411</v>
      </c>
      <c r="E2448" s="3">
        <v>12.5</v>
      </c>
      <c r="F2448" s="3">
        <f>+E2448/2</f>
        <v>6.25</v>
      </c>
      <c r="G2448" s="4">
        <v>44306</v>
      </c>
      <c r="M2448" s="1"/>
      <c r="N2448" s="1"/>
      <c r="O2448" s="1"/>
      <c r="P2448" s="1"/>
      <c r="Q2448" s="1"/>
      <c r="R2448" s="1"/>
    </row>
    <row r="2449" spans="2:18">
      <c r="C2449" s="2" t="s">
        <v>4</v>
      </c>
      <c r="D2449" s="2" t="s">
        <v>411</v>
      </c>
      <c r="E2449" s="3">
        <v>3.1</v>
      </c>
      <c r="F2449" s="3">
        <v>1</v>
      </c>
      <c r="G2449" s="4">
        <v>43580</v>
      </c>
      <c r="M2449" s="1"/>
      <c r="N2449" s="1"/>
      <c r="O2449" s="1"/>
      <c r="P2449" s="1"/>
      <c r="Q2449" s="1"/>
      <c r="R2449" s="1"/>
    </row>
    <row r="2450" spans="2:18">
      <c r="B2450" s="1" t="s">
        <v>412</v>
      </c>
      <c r="C2450" s="2" t="s">
        <v>7</v>
      </c>
      <c r="D2450" s="2" t="s">
        <v>411</v>
      </c>
      <c r="E2450" s="3">
        <v>50</v>
      </c>
      <c r="F2450" s="3">
        <f>30/6</f>
        <v>5</v>
      </c>
      <c r="G2450" s="4">
        <v>44538</v>
      </c>
      <c r="M2450" s="1"/>
      <c r="N2450" s="1"/>
      <c r="O2450" s="1"/>
      <c r="P2450" s="1"/>
      <c r="Q2450" s="1"/>
      <c r="R2450" s="1"/>
    </row>
    <row r="2451" spans="2:18">
      <c r="C2451" s="2" t="s">
        <v>4</v>
      </c>
      <c r="D2451" s="2" t="s">
        <v>411</v>
      </c>
      <c r="E2451" s="3">
        <v>3.1</v>
      </c>
      <c r="F2451" s="3">
        <v>1</v>
      </c>
      <c r="G2451" s="4">
        <v>43580</v>
      </c>
      <c r="M2451" s="1"/>
      <c r="N2451" s="1"/>
      <c r="O2451" s="1"/>
      <c r="P2451" s="1"/>
      <c r="Q2451" s="1"/>
      <c r="R2451" s="1"/>
    </row>
    <row r="2452" spans="2:18">
      <c r="G2452" s="4"/>
      <c r="M2452" s="1"/>
      <c r="N2452" s="1"/>
      <c r="O2452" s="1"/>
      <c r="P2452" s="1"/>
      <c r="Q2452" s="1"/>
      <c r="R2452" s="1"/>
    </row>
    <row r="2453" spans="2:18">
      <c r="G2453" s="4"/>
      <c r="I2453" s="5"/>
      <c r="M2453" s="1"/>
      <c r="N2453" s="1"/>
      <c r="O2453" s="1"/>
      <c r="P2453" s="1"/>
      <c r="Q2453" s="1"/>
      <c r="R2453" s="1"/>
    </row>
    <row r="2454" spans="2:18">
      <c r="B2454" s="7" t="s">
        <v>410</v>
      </c>
      <c r="C2454" s="2" t="s">
        <v>7</v>
      </c>
      <c r="D2454" s="2" t="s">
        <v>406</v>
      </c>
      <c r="E2454" s="3">
        <v>37</v>
      </c>
      <c r="F2454" s="3">
        <v>4</v>
      </c>
      <c r="G2454" s="4">
        <v>44860</v>
      </c>
      <c r="M2454" s="1"/>
      <c r="N2454" s="1"/>
      <c r="O2454" s="1"/>
      <c r="P2454" s="1"/>
      <c r="Q2454" s="1"/>
      <c r="R2454" s="1"/>
    </row>
    <row r="2455" spans="2:18">
      <c r="B2455" s="7"/>
      <c r="C2455" s="2" t="s">
        <v>7</v>
      </c>
      <c r="D2455" s="2" t="s">
        <v>406</v>
      </c>
      <c r="E2455" s="3">
        <v>80</v>
      </c>
      <c r="F2455" s="3">
        <v>10</v>
      </c>
      <c r="G2455" s="4">
        <v>44327</v>
      </c>
      <c r="M2455" s="1"/>
      <c r="N2455" s="1"/>
      <c r="O2455" s="1"/>
      <c r="P2455" s="1"/>
      <c r="Q2455" s="1"/>
      <c r="R2455" s="1"/>
    </row>
    <row r="2456" spans="2:18">
      <c r="B2456" s="7"/>
      <c r="C2456" s="2" t="s">
        <v>5</v>
      </c>
      <c r="D2456" s="2" t="s">
        <v>406</v>
      </c>
      <c r="E2456" s="3">
        <v>30</v>
      </c>
      <c r="F2456" s="3">
        <v>6.666666666666667</v>
      </c>
      <c r="G2456" s="4">
        <v>43963</v>
      </c>
      <c r="M2456" s="1"/>
      <c r="N2456" s="1"/>
      <c r="O2456" s="1"/>
      <c r="P2456" s="1"/>
      <c r="Q2456" s="1"/>
      <c r="R2456" s="1"/>
    </row>
    <row r="2457" spans="2:18">
      <c r="B2457" s="1" t="s">
        <v>409</v>
      </c>
      <c r="C2457" s="2" t="s">
        <v>7</v>
      </c>
      <c r="D2457" s="2" t="s">
        <v>406</v>
      </c>
      <c r="E2457" s="3">
        <v>37</v>
      </c>
      <c r="F2457" s="3">
        <v>4</v>
      </c>
      <c r="G2457" s="4">
        <v>44860</v>
      </c>
      <c r="M2457" s="1"/>
      <c r="N2457" s="1"/>
      <c r="O2457" s="1"/>
      <c r="P2457" s="1"/>
      <c r="Q2457" s="1"/>
      <c r="R2457" s="1"/>
    </row>
    <row r="2458" spans="2:18">
      <c r="B2458" s="1" t="s">
        <v>408</v>
      </c>
      <c r="C2458" s="2" t="s">
        <v>7</v>
      </c>
      <c r="D2458" s="2" t="s">
        <v>406</v>
      </c>
      <c r="E2458" s="3">
        <v>80</v>
      </c>
      <c r="F2458" s="3">
        <v>10</v>
      </c>
      <c r="G2458" s="4">
        <v>44327</v>
      </c>
      <c r="M2458" s="1"/>
      <c r="N2458" s="1"/>
      <c r="O2458" s="1"/>
      <c r="P2458" s="1"/>
      <c r="Q2458" s="1"/>
      <c r="R2458" s="1"/>
    </row>
    <row r="2459" spans="2:18">
      <c r="B2459" s="1" t="s">
        <v>407</v>
      </c>
      <c r="C2459" s="2" t="s">
        <v>7</v>
      </c>
      <c r="D2459" s="2" t="s">
        <v>406</v>
      </c>
      <c r="E2459" s="3">
        <v>80</v>
      </c>
      <c r="F2459" s="3">
        <v>10</v>
      </c>
      <c r="G2459" s="4">
        <v>44327</v>
      </c>
      <c r="M2459" s="1"/>
      <c r="N2459" s="1"/>
      <c r="O2459" s="1"/>
      <c r="P2459" s="1"/>
      <c r="Q2459" s="1"/>
      <c r="R2459" s="1"/>
    </row>
    <row r="2460" spans="2:18">
      <c r="G2460" s="4"/>
      <c r="M2460" s="1"/>
      <c r="N2460" s="1"/>
      <c r="O2460" s="1"/>
      <c r="P2460" s="1"/>
      <c r="Q2460" s="1"/>
      <c r="R2460" s="1"/>
    </row>
    <row r="2461" spans="2:18">
      <c r="B2461" s="1" t="s">
        <v>405</v>
      </c>
      <c r="C2461" s="2" t="s">
        <v>8</v>
      </c>
      <c r="D2461" s="2" t="s">
        <v>393</v>
      </c>
      <c r="E2461" s="3">
        <v>140</v>
      </c>
      <c r="F2461" s="3">
        <v>10</v>
      </c>
      <c r="G2461" s="4">
        <v>44286</v>
      </c>
      <c r="M2461" s="1"/>
      <c r="N2461" s="1"/>
      <c r="O2461" s="1"/>
      <c r="P2461" s="1"/>
      <c r="Q2461" s="1"/>
      <c r="R2461" s="1"/>
    </row>
    <row r="2462" spans="2:18">
      <c r="C2462" s="2" t="s">
        <v>18</v>
      </c>
      <c r="D2462" s="2" t="s">
        <v>393</v>
      </c>
      <c r="E2462" s="3">
        <v>110</v>
      </c>
      <c r="F2462" s="3">
        <v>10</v>
      </c>
      <c r="G2462" s="4">
        <v>43690</v>
      </c>
      <c r="M2462" s="1"/>
      <c r="N2462" s="1"/>
      <c r="O2462" s="1"/>
      <c r="P2462" s="1"/>
      <c r="Q2462" s="1"/>
      <c r="R2462" s="1"/>
    </row>
    <row r="2463" spans="2:18">
      <c r="B2463" s="1" t="s">
        <v>404</v>
      </c>
      <c r="C2463" s="2" t="s">
        <v>8</v>
      </c>
      <c r="D2463" s="2" t="s">
        <v>393</v>
      </c>
      <c r="E2463" s="3">
        <v>140</v>
      </c>
      <c r="F2463" s="3">
        <v>10</v>
      </c>
      <c r="G2463" s="4">
        <v>44286</v>
      </c>
      <c r="M2463" s="1"/>
      <c r="N2463" s="1"/>
      <c r="O2463" s="1"/>
      <c r="P2463" s="1"/>
      <c r="Q2463" s="1"/>
      <c r="R2463" s="1"/>
    </row>
    <row r="2464" spans="2:18">
      <c r="C2464" s="2" t="s">
        <v>5</v>
      </c>
      <c r="D2464" s="2" t="s">
        <v>159</v>
      </c>
      <c r="E2464" s="3">
        <v>14</v>
      </c>
      <c r="F2464" s="3">
        <v>4</v>
      </c>
      <c r="G2464" s="4">
        <v>42668</v>
      </c>
      <c r="M2464" s="1"/>
      <c r="N2464" s="1"/>
      <c r="O2464" s="1"/>
      <c r="P2464" s="1"/>
      <c r="Q2464" s="1"/>
      <c r="R2464" s="1"/>
    </row>
    <row r="2465" spans="2:18">
      <c r="C2465" s="2" t="s">
        <v>4</v>
      </c>
      <c r="D2465" s="2" t="s">
        <v>159</v>
      </c>
      <c r="E2465" s="3">
        <v>4</v>
      </c>
      <c r="F2465" s="3">
        <v>1.5</v>
      </c>
      <c r="G2465" s="4">
        <v>42023</v>
      </c>
      <c r="M2465" s="1"/>
      <c r="N2465" s="1"/>
      <c r="O2465" s="1"/>
      <c r="P2465" s="1"/>
      <c r="Q2465" s="1"/>
      <c r="R2465" s="1"/>
    </row>
    <row r="2466" spans="2:18">
      <c r="B2466" s="1" t="s">
        <v>403</v>
      </c>
      <c r="C2466" s="2" t="s">
        <v>8</v>
      </c>
      <c r="D2466" s="2" t="s">
        <v>393</v>
      </c>
      <c r="E2466" s="3">
        <v>140</v>
      </c>
      <c r="F2466" s="3">
        <v>10</v>
      </c>
      <c r="G2466" s="4">
        <v>44286</v>
      </c>
      <c r="M2466" s="1"/>
      <c r="N2466" s="1"/>
      <c r="O2466" s="1"/>
      <c r="P2466" s="1"/>
      <c r="Q2466" s="1"/>
      <c r="R2466" s="1"/>
    </row>
    <row r="2467" spans="2:18">
      <c r="B2467" s="1" t="s">
        <v>402</v>
      </c>
      <c r="C2467" s="2" t="s">
        <v>8</v>
      </c>
      <c r="D2467" s="2" t="s">
        <v>393</v>
      </c>
      <c r="E2467" s="3">
        <v>140</v>
      </c>
      <c r="F2467" s="3">
        <v>10</v>
      </c>
      <c r="G2467" s="4">
        <v>44286</v>
      </c>
      <c r="M2467" s="1"/>
      <c r="N2467" s="1"/>
      <c r="O2467" s="1"/>
      <c r="P2467" s="1"/>
      <c r="Q2467" s="1"/>
      <c r="R2467" s="1"/>
    </row>
    <row r="2468" spans="2:18">
      <c r="C2468" s="2" t="s">
        <v>18</v>
      </c>
      <c r="D2468" s="2" t="s">
        <v>393</v>
      </c>
      <c r="E2468" s="3">
        <v>110</v>
      </c>
      <c r="F2468" s="3">
        <v>20</v>
      </c>
      <c r="G2468" s="4">
        <v>43690</v>
      </c>
      <c r="M2468" s="1"/>
      <c r="N2468" s="1"/>
      <c r="O2468" s="1"/>
      <c r="P2468" s="1"/>
      <c r="Q2468" s="1"/>
      <c r="R2468" s="1"/>
    </row>
    <row r="2469" spans="2:18">
      <c r="B2469" s="1" t="s">
        <v>401</v>
      </c>
      <c r="C2469" s="2" t="s">
        <v>8</v>
      </c>
      <c r="D2469" s="2" t="s">
        <v>393</v>
      </c>
      <c r="E2469" s="3">
        <v>140</v>
      </c>
      <c r="F2469" s="3">
        <v>10</v>
      </c>
      <c r="G2469" s="4">
        <v>44286</v>
      </c>
      <c r="M2469" s="1"/>
      <c r="N2469" s="1"/>
      <c r="O2469" s="1"/>
      <c r="P2469" s="1"/>
      <c r="Q2469" s="1"/>
      <c r="R2469" s="1"/>
    </row>
    <row r="2470" spans="2:18">
      <c r="C2470" s="2" t="s">
        <v>18</v>
      </c>
      <c r="D2470" s="2" t="s">
        <v>393</v>
      </c>
      <c r="E2470" s="3">
        <v>110</v>
      </c>
      <c r="F2470" s="3">
        <v>20</v>
      </c>
      <c r="G2470" s="4">
        <v>43690</v>
      </c>
      <c r="M2470" s="1"/>
      <c r="N2470" s="1"/>
      <c r="O2470" s="1"/>
      <c r="P2470" s="1"/>
      <c r="Q2470" s="1"/>
      <c r="R2470" s="1"/>
    </row>
    <row r="2471" spans="2:18">
      <c r="G2471" s="4"/>
      <c r="M2471" s="1"/>
      <c r="N2471" s="1"/>
      <c r="O2471" s="1"/>
      <c r="P2471" s="1"/>
      <c r="Q2471" s="1"/>
      <c r="R2471" s="1"/>
    </row>
    <row r="2472" spans="2:18">
      <c r="B2472" s="1" t="s">
        <v>400</v>
      </c>
      <c r="C2472" s="2" t="s">
        <v>8</v>
      </c>
      <c r="D2472" s="2" t="s">
        <v>393</v>
      </c>
      <c r="E2472" s="3">
        <v>140</v>
      </c>
      <c r="F2472" s="3">
        <v>10</v>
      </c>
      <c r="G2472" s="4">
        <v>44286</v>
      </c>
      <c r="M2472" s="1"/>
      <c r="N2472" s="1"/>
      <c r="O2472" s="1"/>
      <c r="P2472" s="1"/>
      <c r="Q2472" s="1"/>
      <c r="R2472" s="1"/>
    </row>
    <row r="2473" spans="2:18">
      <c r="C2473" s="2" t="s">
        <v>18</v>
      </c>
      <c r="D2473" s="2" t="s">
        <v>393</v>
      </c>
      <c r="E2473" s="3">
        <v>110</v>
      </c>
      <c r="F2473" s="3">
        <v>10</v>
      </c>
      <c r="G2473" s="4">
        <v>43690</v>
      </c>
      <c r="M2473" s="1"/>
      <c r="N2473" s="1"/>
      <c r="O2473" s="1"/>
      <c r="P2473" s="1"/>
      <c r="Q2473" s="1"/>
      <c r="R2473" s="1"/>
    </row>
    <row r="2474" spans="2:18">
      <c r="C2474" s="2" t="s">
        <v>5</v>
      </c>
      <c r="D2474" s="2" t="s">
        <v>393</v>
      </c>
      <c r="E2474" s="3">
        <v>5.5</v>
      </c>
      <c r="F2474" s="3">
        <v>4.5</v>
      </c>
      <c r="G2474" s="4">
        <v>42156</v>
      </c>
      <c r="M2474" s="1"/>
      <c r="N2474" s="1"/>
      <c r="O2474" s="1"/>
      <c r="P2474" s="1"/>
      <c r="Q2474" s="1"/>
      <c r="R2474" s="1"/>
    </row>
    <row r="2475" spans="2:18">
      <c r="B2475" s="1" t="s">
        <v>399</v>
      </c>
      <c r="C2475" s="2" t="s">
        <v>18</v>
      </c>
      <c r="D2475" s="2" t="s">
        <v>393</v>
      </c>
      <c r="E2475" s="3">
        <v>110</v>
      </c>
      <c r="F2475" s="3">
        <v>20</v>
      </c>
      <c r="G2475" s="4">
        <v>43690</v>
      </c>
      <c r="M2475" s="1"/>
      <c r="N2475" s="1"/>
      <c r="O2475" s="1"/>
      <c r="P2475" s="1"/>
      <c r="Q2475" s="1"/>
      <c r="R2475" s="1"/>
    </row>
    <row r="2476" spans="2:18">
      <c r="B2476" s="1" t="s">
        <v>398</v>
      </c>
      <c r="C2476" s="2" t="s">
        <v>18</v>
      </c>
      <c r="D2476" s="2" t="s">
        <v>393</v>
      </c>
      <c r="E2476" s="3">
        <v>110</v>
      </c>
      <c r="F2476" s="3">
        <v>10</v>
      </c>
      <c r="G2476" s="4">
        <v>43690</v>
      </c>
      <c r="M2476" s="1"/>
      <c r="N2476" s="1"/>
      <c r="O2476" s="1"/>
      <c r="P2476" s="1"/>
      <c r="Q2476" s="1"/>
      <c r="R2476" s="1"/>
    </row>
    <row r="2477" spans="2:18">
      <c r="B2477" s="1" t="s">
        <v>397</v>
      </c>
      <c r="C2477" s="2" t="s">
        <v>7</v>
      </c>
      <c r="D2477" s="2" t="s">
        <v>393</v>
      </c>
      <c r="E2477" s="3">
        <v>9.4</v>
      </c>
      <c r="F2477" s="3">
        <f>E2477/2</f>
        <v>4.7</v>
      </c>
      <c r="G2477" s="4">
        <v>42968</v>
      </c>
      <c r="M2477" s="1"/>
      <c r="N2477" s="1"/>
      <c r="O2477" s="1"/>
      <c r="P2477" s="1"/>
      <c r="Q2477" s="1"/>
      <c r="R2477" s="1"/>
    </row>
    <row r="2478" spans="2:18">
      <c r="B2478" s="1" t="s">
        <v>396</v>
      </c>
      <c r="C2478" s="2" t="s">
        <v>7</v>
      </c>
      <c r="D2478" s="2" t="s">
        <v>393</v>
      </c>
      <c r="E2478" s="3">
        <v>9.4</v>
      </c>
      <c r="F2478" s="3">
        <f>E2478/2</f>
        <v>4.7</v>
      </c>
      <c r="G2478" s="4">
        <v>42968</v>
      </c>
      <c r="M2478" s="1"/>
      <c r="N2478" s="1"/>
      <c r="O2478" s="1"/>
      <c r="P2478" s="1"/>
      <c r="Q2478" s="1"/>
      <c r="R2478" s="1"/>
    </row>
    <row r="2479" spans="2:18">
      <c r="B2479" s="1" t="s">
        <v>395</v>
      </c>
      <c r="C2479" s="2" t="s">
        <v>5</v>
      </c>
      <c r="D2479" s="2" t="s">
        <v>393</v>
      </c>
      <c r="E2479" s="3">
        <v>5.5</v>
      </c>
      <c r="F2479" s="3">
        <v>1</v>
      </c>
      <c r="G2479" s="4">
        <v>42156</v>
      </c>
      <c r="M2479" s="1"/>
      <c r="N2479" s="1"/>
      <c r="O2479" s="1"/>
      <c r="P2479" s="1"/>
      <c r="Q2479" s="1"/>
      <c r="R2479" s="1"/>
    </row>
    <row r="2480" spans="2:18">
      <c r="C2480" s="2" t="s">
        <v>4</v>
      </c>
      <c r="D2480" s="2" t="s">
        <v>393</v>
      </c>
      <c r="E2480" s="3">
        <v>0.71</v>
      </c>
      <c r="F2480" s="3">
        <f>+E2480/2</f>
        <v>0.35499999999999998</v>
      </c>
      <c r="G2480" s="4">
        <v>41730</v>
      </c>
      <c r="M2480" s="1"/>
      <c r="N2480" s="1"/>
      <c r="O2480" s="1"/>
      <c r="P2480" s="1"/>
      <c r="Q2480" s="1"/>
      <c r="R2480" s="1"/>
    </row>
    <row r="2481" spans="2:18">
      <c r="B2481" s="1" t="s">
        <v>394</v>
      </c>
      <c r="C2481" s="2" t="s">
        <v>4</v>
      </c>
      <c r="D2481" s="2" t="s">
        <v>393</v>
      </c>
      <c r="E2481" s="3">
        <v>0.71</v>
      </c>
      <c r="F2481" s="3">
        <f>+E2481/2</f>
        <v>0.35499999999999998</v>
      </c>
      <c r="G2481" s="4">
        <v>41730</v>
      </c>
      <c r="M2481" s="1"/>
      <c r="N2481" s="1"/>
      <c r="O2481" s="1"/>
      <c r="P2481" s="1"/>
      <c r="Q2481" s="1"/>
      <c r="R2481" s="1"/>
    </row>
    <row r="2482" spans="2:18">
      <c r="B2482" s="1" t="s">
        <v>392</v>
      </c>
      <c r="C2482" s="2" t="s">
        <v>5</v>
      </c>
      <c r="D2482" s="2" t="s">
        <v>388</v>
      </c>
      <c r="E2482" s="3">
        <v>86</v>
      </c>
      <c r="F2482" s="3">
        <v>10</v>
      </c>
      <c r="G2482" s="4">
        <v>44488</v>
      </c>
      <c r="M2482" s="1"/>
      <c r="N2482" s="1"/>
      <c r="O2482" s="1"/>
      <c r="P2482" s="1"/>
      <c r="Q2482" s="1"/>
      <c r="R2482" s="1"/>
    </row>
    <row r="2483" spans="2:18">
      <c r="B2483" s="1" t="s">
        <v>391</v>
      </c>
      <c r="C2483" s="2" t="s">
        <v>5</v>
      </c>
      <c r="D2483" s="2" t="s">
        <v>388</v>
      </c>
      <c r="E2483" s="3">
        <v>86</v>
      </c>
      <c r="F2483" s="3">
        <v>10</v>
      </c>
      <c r="G2483" s="4">
        <v>44488</v>
      </c>
      <c r="M2483" s="1"/>
      <c r="N2483" s="1"/>
      <c r="O2483" s="1"/>
      <c r="P2483" s="1"/>
      <c r="Q2483" s="1"/>
      <c r="R2483" s="1"/>
    </row>
    <row r="2484" spans="2:18">
      <c r="C2484" s="2" t="s">
        <v>4</v>
      </c>
      <c r="D2484" s="2" t="s">
        <v>388</v>
      </c>
      <c r="E2484" s="3">
        <v>8.5</v>
      </c>
      <c r="F2484" s="3">
        <v>1</v>
      </c>
      <c r="G2484" s="4">
        <v>43796</v>
      </c>
      <c r="M2484" s="1"/>
      <c r="N2484" s="1"/>
      <c r="O2484" s="1"/>
      <c r="P2484" s="1"/>
      <c r="Q2484" s="1"/>
      <c r="R2484" s="1"/>
    </row>
    <row r="2485" spans="2:18">
      <c r="C2485" s="2" t="s">
        <v>4</v>
      </c>
      <c r="D2485" s="2" t="s">
        <v>388</v>
      </c>
      <c r="E2485" s="3">
        <v>0.75</v>
      </c>
      <c r="F2485" s="3">
        <f>+E2485/2</f>
        <v>0.375</v>
      </c>
      <c r="G2485" s="4">
        <v>43166</v>
      </c>
      <c r="M2485" s="1"/>
      <c r="N2485" s="1"/>
      <c r="O2485" s="1"/>
      <c r="P2485" s="1"/>
      <c r="Q2485" s="1"/>
      <c r="R2485" s="1"/>
    </row>
    <row r="2486" spans="2:18">
      <c r="B2486" s="1" t="s">
        <v>390</v>
      </c>
      <c r="C2486" s="2" t="s">
        <v>5</v>
      </c>
      <c r="D2486" s="2" t="s">
        <v>388</v>
      </c>
      <c r="E2486" s="3">
        <v>86</v>
      </c>
      <c r="F2486" s="3">
        <v>10</v>
      </c>
      <c r="G2486" s="4">
        <v>44488</v>
      </c>
      <c r="M2486" s="1"/>
      <c r="N2486" s="1"/>
      <c r="O2486" s="1"/>
      <c r="P2486" s="1"/>
      <c r="Q2486" s="1"/>
      <c r="R2486" s="1"/>
    </row>
    <row r="2487" spans="2:18">
      <c r="G2487" s="4"/>
      <c r="M2487" s="1"/>
      <c r="N2487" s="1"/>
      <c r="O2487" s="1"/>
      <c r="P2487" s="1"/>
      <c r="Q2487" s="1"/>
      <c r="R2487" s="1"/>
    </row>
    <row r="2488" spans="2:18">
      <c r="B2488" s="1" t="s">
        <v>389</v>
      </c>
      <c r="C2488" s="2" t="s">
        <v>4</v>
      </c>
      <c r="D2488" s="2" t="s">
        <v>388</v>
      </c>
      <c r="E2488" s="3">
        <v>8.5</v>
      </c>
      <c r="F2488" s="3">
        <v>1</v>
      </c>
      <c r="G2488" s="4">
        <v>43796</v>
      </c>
      <c r="M2488" s="1"/>
      <c r="N2488" s="1"/>
      <c r="O2488" s="1"/>
      <c r="P2488" s="1"/>
      <c r="Q2488" s="1"/>
      <c r="R2488" s="1"/>
    </row>
    <row r="2489" spans="2:18">
      <c r="C2489" s="2" t="s">
        <v>285</v>
      </c>
      <c r="D2489" s="2" t="s">
        <v>284</v>
      </c>
      <c r="E2489" s="3">
        <v>0.2</v>
      </c>
      <c r="F2489" s="3">
        <v>0.1</v>
      </c>
      <c r="G2489" s="4">
        <v>44054</v>
      </c>
      <c r="M2489" s="1"/>
      <c r="N2489" s="1"/>
      <c r="O2489" s="1"/>
      <c r="P2489" s="1"/>
      <c r="Q2489" s="1"/>
      <c r="R2489" s="1"/>
    </row>
    <row r="2490" spans="2:18">
      <c r="G2490" s="4"/>
      <c r="M2490" s="1"/>
      <c r="N2490" s="1"/>
      <c r="O2490" s="1"/>
      <c r="P2490" s="1"/>
      <c r="Q2490" s="1"/>
      <c r="R2490" s="1"/>
    </row>
    <row r="2491" spans="2:18">
      <c r="B2491" s="1" t="s">
        <v>387</v>
      </c>
      <c r="C2491" s="2" t="s">
        <v>18</v>
      </c>
      <c r="D2491" s="2" t="s">
        <v>381</v>
      </c>
      <c r="E2491" s="3">
        <v>130</v>
      </c>
      <c r="F2491" s="3">
        <f>100/7</f>
        <v>14.285714285714286</v>
      </c>
      <c r="G2491" s="4">
        <v>44323</v>
      </c>
      <c r="M2491" s="1"/>
      <c r="N2491" s="1"/>
      <c r="O2491" s="1"/>
      <c r="P2491" s="1"/>
      <c r="Q2491" s="1"/>
      <c r="R2491" s="1"/>
    </row>
    <row r="2492" spans="2:18">
      <c r="C2492" s="2" t="s">
        <v>7</v>
      </c>
      <c r="D2492" s="2" t="s">
        <v>381</v>
      </c>
      <c r="E2492" s="3">
        <v>44</v>
      </c>
      <c r="F2492" s="3">
        <f>30/6</f>
        <v>5</v>
      </c>
      <c r="G2492" s="4">
        <v>43909</v>
      </c>
      <c r="M2492" s="1"/>
      <c r="N2492" s="1"/>
      <c r="O2492" s="1"/>
      <c r="P2492" s="1"/>
      <c r="Q2492" s="1"/>
      <c r="R2492" s="1"/>
    </row>
    <row r="2493" spans="2:18">
      <c r="C2493" s="2" t="s">
        <v>5</v>
      </c>
      <c r="D2493" s="2" t="s">
        <v>381</v>
      </c>
      <c r="E2493" s="3">
        <v>15</v>
      </c>
      <c r="F2493" s="3">
        <v>3</v>
      </c>
      <c r="G2493" s="4">
        <v>43452</v>
      </c>
      <c r="M2493" s="1"/>
      <c r="N2493" s="1"/>
      <c r="O2493" s="1"/>
      <c r="P2493" s="1"/>
      <c r="Q2493" s="1"/>
      <c r="R2493" s="1"/>
    </row>
    <row r="2494" spans="2:18">
      <c r="C2494" s="2" t="s">
        <v>4</v>
      </c>
      <c r="D2494" s="2" t="s">
        <v>381</v>
      </c>
      <c r="E2494" s="3">
        <v>2.5</v>
      </c>
      <c r="F2494" s="3">
        <v>0.5</v>
      </c>
      <c r="G2494" s="4">
        <v>42936</v>
      </c>
      <c r="M2494" s="1"/>
      <c r="N2494" s="1"/>
      <c r="O2494" s="1"/>
      <c r="P2494" s="1"/>
      <c r="Q2494" s="1"/>
      <c r="R2494" s="1"/>
    </row>
    <row r="2495" spans="2:18">
      <c r="B2495" s="1" t="s">
        <v>386</v>
      </c>
      <c r="C2495" s="2" t="s">
        <v>18</v>
      </c>
      <c r="D2495" s="2" t="s">
        <v>381</v>
      </c>
      <c r="E2495" s="3">
        <v>130</v>
      </c>
      <c r="F2495" s="3">
        <f>100/7</f>
        <v>14.285714285714286</v>
      </c>
      <c r="G2495" s="4">
        <v>44323</v>
      </c>
      <c r="M2495" s="1"/>
      <c r="N2495" s="1"/>
      <c r="O2495" s="1"/>
      <c r="P2495" s="1"/>
      <c r="Q2495" s="1"/>
      <c r="R2495" s="1"/>
    </row>
    <row r="2496" spans="2:18">
      <c r="C2496" s="2" t="s">
        <v>5</v>
      </c>
      <c r="D2496" s="2" t="s">
        <v>381</v>
      </c>
      <c r="E2496" s="3">
        <v>15</v>
      </c>
      <c r="F2496" s="3">
        <v>3</v>
      </c>
      <c r="G2496" s="4">
        <v>43452</v>
      </c>
      <c r="M2496" s="1"/>
      <c r="N2496" s="1"/>
      <c r="O2496" s="1"/>
      <c r="P2496" s="1"/>
      <c r="Q2496" s="1"/>
      <c r="R2496" s="1"/>
    </row>
    <row r="2497" spans="2:18">
      <c r="B2497" s="1" t="s">
        <v>385</v>
      </c>
      <c r="C2497" s="2" t="s">
        <v>18</v>
      </c>
      <c r="D2497" s="2" t="s">
        <v>381</v>
      </c>
      <c r="E2497" s="3">
        <v>130</v>
      </c>
      <c r="F2497" s="3">
        <f>100/7</f>
        <v>14.285714285714286</v>
      </c>
      <c r="G2497" s="4">
        <v>44323</v>
      </c>
      <c r="M2497" s="1"/>
      <c r="N2497" s="1"/>
      <c r="O2497" s="1"/>
      <c r="P2497" s="1"/>
      <c r="Q2497" s="1"/>
      <c r="R2497" s="1"/>
    </row>
    <row r="2498" spans="2:18">
      <c r="C2498" s="2" t="s">
        <v>7</v>
      </c>
      <c r="D2498" s="2" t="s">
        <v>381</v>
      </c>
      <c r="E2498" s="3">
        <v>44</v>
      </c>
      <c r="F2498" s="3">
        <f>30/6</f>
        <v>5</v>
      </c>
      <c r="G2498" s="4">
        <v>43909</v>
      </c>
      <c r="M2498" s="1"/>
      <c r="N2498" s="1"/>
      <c r="O2498" s="1"/>
      <c r="P2498" s="1"/>
      <c r="Q2498" s="1"/>
      <c r="R2498" s="1"/>
    </row>
    <row r="2499" spans="2:18">
      <c r="C2499" s="2" t="s">
        <v>5</v>
      </c>
      <c r="D2499" s="2" t="s">
        <v>381</v>
      </c>
      <c r="E2499" s="3">
        <v>15</v>
      </c>
      <c r="F2499" s="3">
        <v>3</v>
      </c>
      <c r="G2499" s="4">
        <v>43452</v>
      </c>
      <c r="M2499" s="1"/>
      <c r="N2499" s="1"/>
      <c r="O2499" s="1"/>
      <c r="P2499" s="1"/>
      <c r="Q2499" s="1"/>
      <c r="R2499" s="1"/>
    </row>
    <row r="2500" spans="2:18">
      <c r="B2500" s="1" t="s">
        <v>384</v>
      </c>
      <c r="C2500" s="2" t="s">
        <v>7</v>
      </c>
      <c r="D2500" s="2" t="s">
        <v>381</v>
      </c>
      <c r="E2500" s="3">
        <v>44</v>
      </c>
      <c r="F2500" s="3">
        <f>30/6</f>
        <v>5</v>
      </c>
      <c r="G2500" s="4">
        <v>43909</v>
      </c>
      <c r="M2500" s="1"/>
      <c r="N2500" s="1"/>
      <c r="O2500" s="1"/>
      <c r="P2500" s="1"/>
      <c r="Q2500" s="1"/>
      <c r="R2500" s="1"/>
    </row>
    <row r="2501" spans="2:18">
      <c r="B2501" s="1" t="s">
        <v>383</v>
      </c>
      <c r="C2501" s="2" t="s">
        <v>7</v>
      </c>
      <c r="D2501" s="2" t="s">
        <v>381</v>
      </c>
      <c r="E2501" s="3">
        <v>44</v>
      </c>
      <c r="F2501" s="3">
        <f>30/6</f>
        <v>5</v>
      </c>
      <c r="G2501" s="4">
        <v>43909</v>
      </c>
      <c r="M2501" s="1"/>
      <c r="N2501" s="1"/>
      <c r="O2501" s="1"/>
      <c r="P2501" s="1"/>
      <c r="Q2501" s="1"/>
      <c r="R2501" s="1"/>
    </row>
    <row r="2502" spans="2:18">
      <c r="C2502" s="2" t="s">
        <v>5</v>
      </c>
      <c r="D2502" s="2" t="s">
        <v>381</v>
      </c>
      <c r="E2502" s="3">
        <v>15</v>
      </c>
      <c r="F2502" s="3">
        <v>3</v>
      </c>
      <c r="G2502" s="4">
        <v>43452</v>
      </c>
      <c r="M2502" s="1"/>
      <c r="N2502" s="1"/>
      <c r="O2502" s="1"/>
      <c r="P2502" s="1"/>
      <c r="Q2502" s="1"/>
      <c r="R2502" s="1"/>
    </row>
    <row r="2503" spans="2:18">
      <c r="B2503" s="1" t="s">
        <v>382</v>
      </c>
      <c r="C2503" s="2" t="s">
        <v>4</v>
      </c>
      <c r="D2503" s="2" t="s">
        <v>381</v>
      </c>
      <c r="E2503" s="3">
        <v>2.5</v>
      </c>
      <c r="F2503" s="3">
        <v>0.5</v>
      </c>
      <c r="G2503" s="4">
        <v>42936</v>
      </c>
      <c r="M2503" s="1"/>
      <c r="N2503" s="1"/>
      <c r="O2503" s="1"/>
      <c r="P2503" s="1"/>
      <c r="Q2503" s="1"/>
      <c r="R2503" s="1"/>
    </row>
    <row r="2504" spans="2:18">
      <c r="B2504" s="1" t="s">
        <v>380</v>
      </c>
      <c r="C2504" s="2" t="s">
        <v>7</v>
      </c>
      <c r="D2504" s="2" t="s">
        <v>370</v>
      </c>
      <c r="E2504" s="3">
        <v>120</v>
      </c>
      <c r="F2504" s="3">
        <v>30</v>
      </c>
      <c r="G2504" s="4">
        <v>44602</v>
      </c>
      <c r="M2504" s="1"/>
      <c r="N2504" s="1"/>
      <c r="O2504" s="1"/>
      <c r="P2504" s="1"/>
      <c r="Q2504" s="1"/>
      <c r="R2504" s="1"/>
    </row>
    <row r="2505" spans="2:18">
      <c r="B2505" s="1" t="s">
        <v>379</v>
      </c>
      <c r="C2505" s="2" t="s">
        <v>7</v>
      </c>
      <c r="D2505" s="2" t="s">
        <v>370</v>
      </c>
      <c r="E2505" s="3">
        <v>120</v>
      </c>
      <c r="F2505" s="3">
        <f>90/8</f>
        <v>11.25</v>
      </c>
      <c r="G2505" s="4">
        <v>44602</v>
      </c>
      <c r="M2505" s="1"/>
      <c r="N2505" s="1"/>
      <c r="O2505" s="1"/>
      <c r="P2505" s="1"/>
      <c r="Q2505" s="1"/>
      <c r="R2505" s="1"/>
    </row>
    <row r="2506" spans="2:18">
      <c r="B2506" s="1" t="s">
        <v>378</v>
      </c>
      <c r="C2506" s="2" t="s">
        <v>7</v>
      </c>
      <c r="D2506" s="2" t="s">
        <v>370</v>
      </c>
      <c r="E2506" s="3">
        <v>120</v>
      </c>
      <c r="F2506" s="3">
        <f>90/8</f>
        <v>11.25</v>
      </c>
      <c r="G2506" s="4">
        <v>44602</v>
      </c>
      <c r="M2506" s="1"/>
      <c r="N2506" s="1"/>
      <c r="O2506" s="1"/>
      <c r="P2506" s="1"/>
      <c r="Q2506" s="1"/>
      <c r="R2506" s="1"/>
    </row>
    <row r="2507" spans="2:18">
      <c r="B2507" s="1" t="s">
        <v>377</v>
      </c>
      <c r="C2507" s="2" t="s">
        <v>7</v>
      </c>
      <c r="D2507" s="2" t="s">
        <v>370</v>
      </c>
      <c r="E2507" s="3">
        <v>120</v>
      </c>
      <c r="F2507" s="3">
        <f>90/8</f>
        <v>11.25</v>
      </c>
      <c r="G2507" s="4">
        <v>44602</v>
      </c>
      <c r="M2507" s="1"/>
      <c r="N2507" s="1"/>
      <c r="O2507" s="1"/>
      <c r="P2507" s="1"/>
      <c r="Q2507" s="1"/>
      <c r="R2507" s="1"/>
    </row>
    <row r="2508" spans="2:18">
      <c r="B2508" s="1" t="s">
        <v>376</v>
      </c>
      <c r="C2508" s="2" t="s">
        <v>7</v>
      </c>
      <c r="D2508" s="2" t="s">
        <v>370</v>
      </c>
      <c r="E2508" s="3">
        <v>120</v>
      </c>
      <c r="F2508" s="3">
        <f>90/8</f>
        <v>11.25</v>
      </c>
      <c r="G2508" s="4">
        <v>44602</v>
      </c>
      <c r="M2508" s="1"/>
      <c r="N2508" s="1"/>
      <c r="O2508" s="1"/>
      <c r="P2508" s="1"/>
      <c r="Q2508" s="1"/>
      <c r="R2508" s="1"/>
    </row>
    <row r="2509" spans="2:18">
      <c r="C2509" s="2" t="s">
        <v>5</v>
      </c>
      <c r="D2509" s="2" t="s">
        <v>370</v>
      </c>
      <c r="E2509" s="3">
        <v>50</v>
      </c>
      <c r="F2509" s="3">
        <v>25</v>
      </c>
      <c r="G2509" s="4">
        <v>43039</v>
      </c>
      <c r="M2509" s="1"/>
      <c r="N2509" s="1"/>
      <c r="O2509" s="1"/>
      <c r="P2509" s="1"/>
      <c r="Q2509" s="1"/>
      <c r="R2509" s="1"/>
    </row>
    <row r="2510" spans="2:18">
      <c r="B2510" s="1" t="s">
        <v>375</v>
      </c>
      <c r="C2510" s="2" t="s">
        <v>5</v>
      </c>
      <c r="D2510" s="2" t="s">
        <v>370</v>
      </c>
      <c r="E2510" s="3">
        <v>50</v>
      </c>
      <c r="F2510" s="3">
        <f>25/2</f>
        <v>12.5</v>
      </c>
      <c r="G2510" s="4">
        <v>43039</v>
      </c>
      <c r="M2510" s="1"/>
      <c r="N2510" s="1"/>
      <c r="O2510" s="1"/>
      <c r="P2510" s="1"/>
      <c r="Q2510" s="1"/>
      <c r="R2510" s="1"/>
    </row>
    <row r="2511" spans="2:18">
      <c r="B2511" s="1" t="s">
        <v>374</v>
      </c>
      <c r="C2511" s="2" t="s">
        <v>5</v>
      </c>
      <c r="D2511" s="2" t="s">
        <v>370</v>
      </c>
      <c r="E2511" s="3">
        <v>50</v>
      </c>
      <c r="F2511" s="3">
        <f>25/2</f>
        <v>12.5</v>
      </c>
      <c r="G2511" s="4">
        <v>43039</v>
      </c>
      <c r="M2511" s="1"/>
      <c r="N2511" s="1"/>
      <c r="O2511" s="1"/>
      <c r="P2511" s="1"/>
      <c r="Q2511" s="1"/>
      <c r="R2511" s="1"/>
    </row>
    <row r="2512" spans="2:18">
      <c r="B2512" s="1" t="s">
        <v>373</v>
      </c>
      <c r="C2512" s="2" t="s">
        <v>7</v>
      </c>
      <c r="D2512" s="2" t="s">
        <v>370</v>
      </c>
      <c r="E2512" s="3">
        <v>120</v>
      </c>
      <c r="F2512" s="3">
        <f>90/8</f>
        <v>11.25</v>
      </c>
      <c r="G2512" s="4">
        <v>44602</v>
      </c>
      <c r="M2512" s="1"/>
      <c r="N2512" s="1"/>
      <c r="O2512" s="1"/>
      <c r="P2512" s="1"/>
      <c r="Q2512" s="1"/>
      <c r="R2512" s="1"/>
    </row>
    <row r="2513" spans="2:18">
      <c r="B2513" s="1" t="s">
        <v>372</v>
      </c>
      <c r="C2513" s="2" t="s">
        <v>7</v>
      </c>
      <c r="D2513" s="2" t="s">
        <v>370</v>
      </c>
      <c r="E2513" s="3">
        <v>120</v>
      </c>
      <c r="F2513" s="3">
        <f>90/8</f>
        <v>11.25</v>
      </c>
      <c r="G2513" s="4">
        <v>44602</v>
      </c>
      <c r="M2513" s="1"/>
      <c r="N2513" s="1"/>
      <c r="O2513" s="1"/>
      <c r="P2513" s="1"/>
      <c r="Q2513" s="1"/>
      <c r="R2513" s="1"/>
    </row>
    <row r="2514" spans="2:18">
      <c r="B2514" s="1" t="s">
        <v>371</v>
      </c>
      <c r="C2514" s="2" t="s">
        <v>7</v>
      </c>
      <c r="D2514" s="2" t="s">
        <v>370</v>
      </c>
      <c r="E2514" s="3">
        <v>120</v>
      </c>
      <c r="F2514" s="3">
        <f>90/8</f>
        <v>11.25</v>
      </c>
      <c r="G2514" s="4">
        <v>44602</v>
      </c>
      <c r="M2514" s="1"/>
      <c r="N2514" s="1"/>
      <c r="O2514" s="1"/>
      <c r="P2514" s="1"/>
      <c r="Q2514" s="1"/>
      <c r="R2514" s="1"/>
    </row>
    <row r="2515" spans="2:18">
      <c r="B2515" s="1" t="s">
        <v>369</v>
      </c>
      <c r="C2515" s="2" t="s">
        <v>7</v>
      </c>
      <c r="D2515" s="2" t="s">
        <v>367</v>
      </c>
      <c r="E2515" s="3">
        <v>27.5</v>
      </c>
      <c r="F2515" s="3">
        <f>E2515/2</f>
        <v>13.75</v>
      </c>
      <c r="G2515" s="4">
        <v>44181</v>
      </c>
      <c r="M2515" s="1"/>
      <c r="N2515" s="1"/>
      <c r="O2515" s="1"/>
      <c r="P2515" s="1"/>
      <c r="Q2515" s="1"/>
      <c r="R2515" s="1"/>
    </row>
    <row r="2516" spans="2:18">
      <c r="C2516" s="2" t="s">
        <v>5</v>
      </c>
      <c r="D2516" s="2" t="s">
        <v>166</v>
      </c>
      <c r="E2516" s="3">
        <v>102</v>
      </c>
      <c r="F2516" s="3">
        <v>8</v>
      </c>
      <c r="G2516" s="4">
        <v>43292</v>
      </c>
      <c r="M2516" s="1"/>
      <c r="N2516" s="1"/>
      <c r="O2516" s="1"/>
      <c r="P2516" s="1"/>
      <c r="Q2516" s="1"/>
      <c r="R2516" s="1"/>
    </row>
    <row r="2517" spans="2:18">
      <c r="G2517" s="4"/>
      <c r="M2517" s="1"/>
      <c r="N2517" s="1"/>
      <c r="O2517" s="1"/>
      <c r="P2517" s="1"/>
      <c r="Q2517" s="1"/>
      <c r="R2517" s="1"/>
    </row>
    <row r="2518" spans="2:18">
      <c r="B2518" s="1" t="s">
        <v>368</v>
      </c>
      <c r="C2518" s="2" t="s">
        <v>5</v>
      </c>
      <c r="D2518" s="2" t="s">
        <v>367</v>
      </c>
      <c r="E2518" s="3">
        <v>10.7</v>
      </c>
      <c r="F2518" s="3">
        <f>+E2518-8</f>
        <v>2.6999999999999993</v>
      </c>
      <c r="G2518" s="4">
        <v>43250</v>
      </c>
      <c r="M2518" s="1"/>
      <c r="N2518" s="1"/>
      <c r="O2518" s="1"/>
      <c r="P2518" s="1"/>
      <c r="Q2518" s="1"/>
      <c r="R2518" s="1"/>
    </row>
    <row r="2519" spans="2:18">
      <c r="G2519" s="4"/>
      <c r="M2519" s="1"/>
      <c r="N2519" s="1"/>
      <c r="O2519" s="1"/>
      <c r="P2519" s="1"/>
      <c r="Q2519" s="1"/>
      <c r="R2519" s="1"/>
    </row>
    <row r="2520" spans="2:18">
      <c r="B2520" s="1" t="s">
        <v>366</v>
      </c>
      <c r="C2520" s="2" t="s">
        <v>5</v>
      </c>
      <c r="D2520" s="2" t="s">
        <v>362</v>
      </c>
      <c r="E2520" s="3">
        <v>16</v>
      </c>
      <c r="F2520" s="3">
        <v>10</v>
      </c>
      <c r="G2520" s="4">
        <v>44663</v>
      </c>
      <c r="M2520" s="1"/>
      <c r="N2520" s="1"/>
      <c r="O2520" s="1"/>
      <c r="P2520" s="1"/>
      <c r="Q2520" s="1"/>
      <c r="R2520" s="1"/>
    </row>
    <row r="2521" spans="2:18">
      <c r="C2521" s="2" t="s">
        <v>18</v>
      </c>
      <c r="D2521" s="2" t="s">
        <v>166</v>
      </c>
      <c r="E2521" s="3">
        <v>100</v>
      </c>
      <c r="F2521" s="3">
        <f>70/5</f>
        <v>14</v>
      </c>
      <c r="G2521" s="4">
        <v>44235</v>
      </c>
      <c r="I2521" s="1">
        <v>5200</v>
      </c>
      <c r="M2521" s="1"/>
      <c r="N2521" s="1"/>
      <c r="O2521" s="1"/>
      <c r="P2521" s="1"/>
      <c r="Q2521" s="1"/>
      <c r="R2521" s="1"/>
    </row>
    <row r="2522" spans="2:18">
      <c r="C2522" s="2" t="s">
        <v>18</v>
      </c>
      <c r="D2522" s="2" t="s">
        <v>166</v>
      </c>
      <c r="E2522" s="3">
        <v>267</v>
      </c>
      <c r="F2522" s="3">
        <v>33</v>
      </c>
      <c r="G2522" s="4">
        <v>44235</v>
      </c>
      <c r="I2522" s="1">
        <v>5000</v>
      </c>
      <c r="M2522" s="1"/>
      <c r="N2522" s="1"/>
      <c r="O2522" s="1"/>
      <c r="P2522" s="1"/>
      <c r="Q2522" s="1"/>
      <c r="R2522" s="1"/>
    </row>
    <row r="2523" spans="2:18">
      <c r="C2523" s="2" t="s">
        <v>5</v>
      </c>
      <c r="D2523" s="2" t="s">
        <v>166</v>
      </c>
      <c r="E2523" s="3">
        <v>102</v>
      </c>
      <c r="F2523" s="3">
        <v>16</v>
      </c>
      <c r="G2523" s="4">
        <v>43292</v>
      </c>
      <c r="M2523" s="1"/>
      <c r="N2523" s="1"/>
      <c r="O2523" s="1"/>
      <c r="P2523" s="1"/>
      <c r="Q2523" s="1"/>
      <c r="R2523" s="1"/>
    </row>
    <row r="2524" spans="2:18">
      <c r="G2524" s="4"/>
      <c r="M2524" s="1"/>
      <c r="N2524" s="1"/>
      <c r="O2524" s="1"/>
      <c r="P2524" s="1"/>
      <c r="Q2524" s="1"/>
      <c r="R2524" s="1"/>
    </row>
    <row r="2525" spans="2:18">
      <c r="B2525" s="1" t="s">
        <v>365</v>
      </c>
      <c r="C2525" s="2" t="s">
        <v>5</v>
      </c>
      <c r="D2525" s="2" t="s">
        <v>362</v>
      </c>
      <c r="E2525" s="3">
        <v>16</v>
      </c>
      <c r="F2525" s="3">
        <v>6</v>
      </c>
      <c r="G2525" s="4">
        <v>44663</v>
      </c>
      <c r="M2525" s="1"/>
      <c r="N2525" s="1"/>
      <c r="O2525" s="1"/>
      <c r="P2525" s="1"/>
      <c r="Q2525" s="1"/>
      <c r="R2525" s="1"/>
    </row>
    <row r="2526" spans="2:18">
      <c r="B2526" s="1" t="s">
        <v>364</v>
      </c>
      <c r="C2526" s="2" t="s">
        <v>4</v>
      </c>
      <c r="D2526" s="2" t="s">
        <v>362</v>
      </c>
      <c r="E2526" s="3">
        <v>12</v>
      </c>
      <c r="F2526" s="3">
        <v>6</v>
      </c>
      <c r="G2526" s="4">
        <v>44271</v>
      </c>
      <c r="M2526" s="1"/>
      <c r="N2526" s="1"/>
      <c r="O2526" s="1"/>
      <c r="P2526" s="1"/>
      <c r="Q2526" s="1"/>
      <c r="R2526" s="1"/>
    </row>
    <row r="2527" spans="2:18">
      <c r="B2527" s="1" t="s">
        <v>363</v>
      </c>
      <c r="C2527" s="2" t="s">
        <v>4</v>
      </c>
      <c r="D2527" s="2" t="s">
        <v>362</v>
      </c>
      <c r="E2527" s="3">
        <v>12</v>
      </c>
      <c r="F2527" s="3">
        <v>3</v>
      </c>
      <c r="G2527" s="4">
        <v>44271</v>
      </c>
      <c r="M2527" s="1"/>
      <c r="N2527" s="1"/>
      <c r="O2527" s="1"/>
      <c r="P2527" s="1"/>
      <c r="Q2527" s="1"/>
      <c r="R2527" s="1"/>
    </row>
    <row r="2528" spans="2:18">
      <c r="B2528" s="1" t="s">
        <v>361</v>
      </c>
      <c r="C2528" s="2" t="s">
        <v>7</v>
      </c>
      <c r="D2528" s="2" t="s">
        <v>358</v>
      </c>
      <c r="E2528" s="3">
        <v>22</v>
      </c>
      <c r="F2528" s="3">
        <v>12</v>
      </c>
      <c r="G2528" s="4">
        <v>44861</v>
      </c>
      <c r="M2528" s="1"/>
      <c r="N2528" s="1"/>
      <c r="O2528" s="1"/>
      <c r="P2528" s="1"/>
      <c r="Q2528" s="1"/>
      <c r="R2528" s="1"/>
    </row>
    <row r="2529" spans="2:18">
      <c r="B2529" s="1" t="s">
        <v>360</v>
      </c>
      <c r="C2529" s="2" t="s">
        <v>7</v>
      </c>
      <c r="D2529" s="2" t="s">
        <v>358</v>
      </c>
      <c r="E2529" s="3">
        <v>22</v>
      </c>
      <c r="F2529" s="3">
        <v>2</v>
      </c>
      <c r="G2529" s="4">
        <v>44861</v>
      </c>
      <c r="M2529" s="1"/>
      <c r="N2529" s="1"/>
      <c r="O2529" s="1"/>
      <c r="P2529" s="1"/>
      <c r="Q2529" s="1"/>
      <c r="R2529" s="1"/>
    </row>
    <row r="2530" spans="2:18">
      <c r="C2530" s="2" t="s">
        <v>5</v>
      </c>
      <c r="D2530" s="2" t="s">
        <v>358</v>
      </c>
      <c r="E2530" s="3">
        <v>15</v>
      </c>
      <c r="F2530" s="3">
        <v>1</v>
      </c>
      <c r="G2530" s="4">
        <v>44487</v>
      </c>
      <c r="M2530" s="1"/>
      <c r="N2530" s="1"/>
      <c r="O2530" s="1"/>
      <c r="P2530" s="1"/>
      <c r="Q2530" s="1"/>
      <c r="R2530" s="1"/>
    </row>
    <row r="2531" spans="2:18">
      <c r="B2531" s="1" t="s">
        <v>359</v>
      </c>
      <c r="C2531" s="2" t="s">
        <v>7</v>
      </c>
      <c r="D2531" s="2" t="s">
        <v>358</v>
      </c>
      <c r="E2531" s="3">
        <v>22</v>
      </c>
      <c r="F2531" s="3">
        <v>5</v>
      </c>
      <c r="G2531" s="4">
        <v>44861</v>
      </c>
      <c r="M2531" s="1"/>
      <c r="N2531" s="1"/>
      <c r="O2531" s="1"/>
      <c r="P2531" s="1"/>
      <c r="Q2531" s="1"/>
      <c r="R2531" s="1"/>
    </row>
    <row r="2532" spans="2:18">
      <c r="C2532" s="2" t="s">
        <v>5</v>
      </c>
      <c r="D2532" s="2" t="s">
        <v>358</v>
      </c>
      <c r="E2532" s="3">
        <v>15</v>
      </c>
      <c r="F2532" s="3">
        <v>5</v>
      </c>
      <c r="G2532" s="4">
        <v>44487</v>
      </c>
      <c r="M2532" s="1"/>
      <c r="N2532" s="1"/>
      <c r="O2532" s="1"/>
      <c r="P2532" s="1"/>
      <c r="Q2532" s="1"/>
      <c r="R2532" s="1"/>
    </row>
    <row r="2533" spans="2:18">
      <c r="C2533" s="2" t="s">
        <v>4</v>
      </c>
      <c r="D2533" s="2" t="s">
        <v>358</v>
      </c>
      <c r="E2533" s="3">
        <v>7</v>
      </c>
      <c r="F2533" s="3">
        <v>7</v>
      </c>
      <c r="G2533" s="4">
        <v>44117</v>
      </c>
      <c r="M2533" s="1"/>
      <c r="N2533" s="1"/>
      <c r="O2533" s="1"/>
      <c r="P2533" s="1"/>
      <c r="Q2533" s="1"/>
      <c r="R2533" s="1"/>
    </row>
    <row r="2534" spans="2:18">
      <c r="B2534" s="1" t="s">
        <v>357</v>
      </c>
      <c r="C2534" s="2" t="s">
        <v>4</v>
      </c>
      <c r="D2534" s="2" t="s">
        <v>354</v>
      </c>
      <c r="E2534" s="3">
        <v>3.5</v>
      </c>
      <c r="F2534" s="3">
        <f>E2534/10</f>
        <v>0.35</v>
      </c>
      <c r="G2534" s="4">
        <v>43046</v>
      </c>
      <c r="L2534" s="1">
        <v>0</v>
      </c>
      <c r="M2534" s="1"/>
      <c r="N2534" s="1"/>
      <c r="O2534" s="1"/>
      <c r="P2534" s="1"/>
      <c r="Q2534" s="1"/>
      <c r="R2534" s="1"/>
    </row>
    <row r="2535" spans="2:18">
      <c r="B2535" s="1" t="s">
        <v>356</v>
      </c>
      <c r="C2535" s="2" t="s">
        <v>4</v>
      </c>
      <c r="D2535" s="2" t="s">
        <v>354</v>
      </c>
      <c r="E2535" s="3">
        <v>3.5</v>
      </c>
      <c r="F2535" s="3">
        <f>E2535/10</f>
        <v>0.35</v>
      </c>
      <c r="G2535" s="4">
        <v>43046</v>
      </c>
      <c r="L2535" s="1">
        <v>0</v>
      </c>
      <c r="M2535" s="1"/>
      <c r="N2535" s="1"/>
      <c r="O2535" s="1"/>
      <c r="P2535" s="1"/>
      <c r="Q2535" s="1"/>
      <c r="R2535" s="1"/>
    </row>
    <row r="2536" spans="2:18">
      <c r="B2536" s="1" t="s">
        <v>355</v>
      </c>
      <c r="C2536" s="2" t="s">
        <v>4</v>
      </c>
      <c r="D2536" s="2" t="s">
        <v>354</v>
      </c>
      <c r="E2536" s="3">
        <v>3.5</v>
      </c>
      <c r="F2536" s="3">
        <f>E2536/10</f>
        <v>0.35</v>
      </c>
      <c r="G2536" s="4">
        <v>43046</v>
      </c>
      <c r="L2536" s="1">
        <v>0</v>
      </c>
      <c r="M2536" s="1"/>
      <c r="N2536" s="1"/>
      <c r="O2536" s="1"/>
      <c r="P2536" s="1"/>
      <c r="Q2536" s="1"/>
      <c r="R2536" s="1"/>
    </row>
    <row r="2537" spans="2:18">
      <c r="B2537" s="1" t="s">
        <v>353</v>
      </c>
      <c r="C2537" s="2" t="s">
        <v>4</v>
      </c>
      <c r="D2537" s="2" t="s">
        <v>348</v>
      </c>
      <c r="E2537" s="3">
        <v>3.5</v>
      </c>
      <c r="F2537" s="3">
        <v>1.25</v>
      </c>
      <c r="G2537" s="4">
        <v>44636</v>
      </c>
      <c r="M2537" s="1"/>
      <c r="N2537" s="1"/>
      <c r="O2537" s="1"/>
      <c r="P2537" s="1"/>
      <c r="Q2537" s="1"/>
      <c r="R2537" s="1"/>
    </row>
    <row r="2538" spans="2:18">
      <c r="B2538" s="1" t="s">
        <v>352</v>
      </c>
      <c r="C2538" s="2" t="s">
        <v>4</v>
      </c>
      <c r="D2538" s="2" t="s">
        <v>348</v>
      </c>
      <c r="E2538" s="3">
        <v>3.5</v>
      </c>
      <c r="F2538" s="3">
        <v>0.5</v>
      </c>
      <c r="G2538" s="4">
        <v>44636</v>
      </c>
      <c r="M2538" s="1"/>
      <c r="N2538" s="1"/>
      <c r="O2538" s="1"/>
      <c r="P2538" s="1"/>
      <c r="Q2538" s="1"/>
      <c r="R2538" s="1"/>
    </row>
    <row r="2539" spans="2:18">
      <c r="B2539" s="1" t="s">
        <v>351</v>
      </c>
      <c r="C2539" s="2" t="s">
        <v>4</v>
      </c>
      <c r="D2539" s="2" t="s">
        <v>348</v>
      </c>
      <c r="E2539" s="3">
        <v>3.5</v>
      </c>
      <c r="F2539" s="3">
        <v>0.5</v>
      </c>
      <c r="G2539" s="4">
        <v>44636</v>
      </c>
      <c r="M2539" s="1"/>
      <c r="N2539" s="1"/>
      <c r="O2539" s="1"/>
      <c r="P2539" s="1"/>
      <c r="Q2539" s="1"/>
      <c r="R2539" s="1"/>
    </row>
    <row r="2540" spans="2:18">
      <c r="B2540" s="1" t="s">
        <v>350</v>
      </c>
      <c r="C2540" s="2" t="s">
        <v>285</v>
      </c>
      <c r="D2540" s="2" t="s">
        <v>348</v>
      </c>
      <c r="E2540" s="3">
        <v>0.75</v>
      </c>
      <c r="F2540" s="3">
        <f>+E2540/3</f>
        <v>0.25</v>
      </c>
      <c r="G2540" s="4">
        <v>44043</v>
      </c>
      <c r="M2540" s="1"/>
      <c r="N2540" s="1"/>
      <c r="O2540" s="1"/>
      <c r="P2540" s="1"/>
      <c r="Q2540" s="1"/>
      <c r="R2540" s="1"/>
    </row>
    <row r="2541" spans="2:18">
      <c r="B2541" s="1" t="s">
        <v>349</v>
      </c>
      <c r="C2541" s="2" t="s">
        <v>285</v>
      </c>
      <c r="D2541" s="2" t="s">
        <v>348</v>
      </c>
      <c r="E2541" s="3">
        <v>0.75</v>
      </c>
      <c r="F2541" s="3">
        <f>+E2541/3</f>
        <v>0.25</v>
      </c>
      <c r="G2541" s="4">
        <v>44043</v>
      </c>
      <c r="M2541" s="1"/>
      <c r="N2541" s="1"/>
      <c r="O2541" s="1"/>
      <c r="P2541" s="1"/>
      <c r="Q2541" s="1"/>
      <c r="R2541" s="1"/>
    </row>
    <row r="2542" spans="2:18">
      <c r="B2542" s="1" t="s">
        <v>347</v>
      </c>
      <c r="C2542" s="2" t="s">
        <v>4</v>
      </c>
      <c r="D2542" s="2" t="s">
        <v>343</v>
      </c>
      <c r="E2542" s="3">
        <v>3</v>
      </c>
      <c r="F2542" s="3">
        <v>0.75</v>
      </c>
      <c r="G2542" s="4">
        <v>44327</v>
      </c>
      <c r="M2542" s="1"/>
      <c r="N2542" s="1"/>
      <c r="O2542" s="1"/>
      <c r="P2542" s="1"/>
      <c r="Q2542" s="1"/>
      <c r="R2542" s="1"/>
    </row>
    <row r="2543" spans="2:18">
      <c r="B2543" s="1" t="s">
        <v>346</v>
      </c>
      <c r="C2543" s="2" t="s">
        <v>4</v>
      </c>
      <c r="D2543" s="2" t="s">
        <v>343</v>
      </c>
      <c r="E2543" s="3">
        <v>3</v>
      </c>
      <c r="F2543" s="3">
        <v>0.75</v>
      </c>
      <c r="G2543" s="4">
        <v>44327</v>
      </c>
      <c r="M2543" s="1"/>
      <c r="N2543" s="1"/>
      <c r="O2543" s="1"/>
      <c r="P2543" s="1"/>
      <c r="Q2543" s="1"/>
      <c r="R2543" s="1"/>
    </row>
    <row r="2544" spans="2:18">
      <c r="B2544" s="1" t="s">
        <v>345</v>
      </c>
      <c r="C2544" s="2" t="s">
        <v>4</v>
      </c>
      <c r="D2544" s="2" t="s">
        <v>343</v>
      </c>
      <c r="E2544" s="3">
        <v>3</v>
      </c>
      <c r="F2544" s="3">
        <f>1.5/4</f>
        <v>0.375</v>
      </c>
      <c r="G2544" s="4">
        <v>44327</v>
      </c>
      <c r="M2544" s="1"/>
      <c r="N2544" s="1"/>
      <c r="O2544" s="1"/>
      <c r="P2544" s="1"/>
      <c r="Q2544" s="1"/>
      <c r="R2544" s="1"/>
    </row>
    <row r="2545" spans="2:18">
      <c r="B2545" s="1" t="s">
        <v>344</v>
      </c>
      <c r="C2545" s="2" t="s">
        <v>4</v>
      </c>
      <c r="D2545" s="2" t="s">
        <v>343</v>
      </c>
      <c r="E2545" s="3">
        <v>3</v>
      </c>
      <c r="F2545" s="3">
        <f>1.5/4</f>
        <v>0.375</v>
      </c>
      <c r="G2545" s="4">
        <v>44327</v>
      </c>
      <c r="M2545" s="1"/>
      <c r="N2545" s="1"/>
      <c r="O2545" s="1"/>
      <c r="P2545" s="1"/>
      <c r="Q2545" s="1"/>
      <c r="R2545" s="1"/>
    </row>
    <row r="2546" spans="2:18">
      <c r="G2546" s="4"/>
      <c r="M2546" s="1"/>
      <c r="N2546" s="1"/>
      <c r="O2546" s="1"/>
      <c r="P2546" s="1"/>
      <c r="Q2546" s="1"/>
      <c r="R2546" s="1"/>
    </row>
    <row r="2547" spans="2:18">
      <c r="B2547" s="1" t="s">
        <v>342</v>
      </c>
      <c r="C2547" s="2" t="s">
        <v>4</v>
      </c>
      <c r="D2547" s="2" t="s">
        <v>339</v>
      </c>
      <c r="E2547" s="3">
        <v>5.0999999999999996</v>
      </c>
      <c r="F2547" s="3">
        <f>E2547/5</f>
        <v>1.02</v>
      </c>
      <c r="G2547" s="4">
        <v>43990</v>
      </c>
      <c r="M2547" s="1"/>
      <c r="N2547" s="1"/>
      <c r="O2547" s="1"/>
      <c r="P2547" s="1"/>
      <c r="Q2547" s="1"/>
      <c r="R2547" s="1"/>
    </row>
    <row r="2548" spans="2:18">
      <c r="C2548" s="2" t="s">
        <v>18</v>
      </c>
      <c r="D2548" s="2" t="s">
        <v>203</v>
      </c>
      <c r="E2548" s="3">
        <v>500</v>
      </c>
      <c r="F2548" s="3">
        <v>100</v>
      </c>
      <c r="G2548" s="4">
        <v>44274</v>
      </c>
      <c r="M2548" s="1"/>
      <c r="N2548" s="1"/>
      <c r="O2548" s="1"/>
      <c r="P2548" s="1"/>
      <c r="Q2548" s="1"/>
      <c r="R2548" s="1"/>
    </row>
    <row r="2549" spans="2:18">
      <c r="C2549" s="2" t="s">
        <v>7</v>
      </c>
      <c r="D2549" s="2" t="s">
        <v>166</v>
      </c>
      <c r="E2549" s="3">
        <v>462</v>
      </c>
      <c r="F2549" s="3">
        <v>300</v>
      </c>
      <c r="G2549" s="4">
        <v>43886</v>
      </c>
      <c r="I2549" s="1">
        <v>2500</v>
      </c>
      <c r="M2549" s="1"/>
      <c r="N2549" s="1"/>
      <c r="O2549" s="1"/>
      <c r="P2549" s="1"/>
      <c r="Q2549" s="1"/>
      <c r="R2549" s="1"/>
    </row>
    <row r="2550" spans="2:18">
      <c r="C2550" s="2" t="s">
        <v>7</v>
      </c>
      <c r="G2550" s="4"/>
      <c r="M2550" s="1"/>
      <c r="N2550" s="1"/>
      <c r="O2550" s="1"/>
      <c r="P2550" s="1"/>
      <c r="Q2550" s="1"/>
      <c r="R2550" s="1"/>
    </row>
    <row r="2551" spans="2:18">
      <c r="B2551" s="1" t="s">
        <v>341</v>
      </c>
      <c r="C2551" s="2" t="s">
        <v>4</v>
      </c>
      <c r="D2551" s="2" t="s">
        <v>339</v>
      </c>
      <c r="E2551" s="3">
        <v>5.0999999999999996</v>
      </c>
      <c r="F2551" s="3">
        <f>E2551/5</f>
        <v>1.02</v>
      </c>
      <c r="G2551" s="4">
        <v>43990</v>
      </c>
      <c r="M2551" s="1"/>
      <c r="N2551" s="1"/>
      <c r="O2551" s="1"/>
      <c r="P2551" s="1"/>
      <c r="Q2551" s="1"/>
      <c r="R2551" s="1"/>
    </row>
    <row r="2552" spans="2:18">
      <c r="B2552" s="1" t="s">
        <v>340</v>
      </c>
      <c r="C2552" s="2" t="s">
        <v>4</v>
      </c>
      <c r="D2552" s="2" t="s">
        <v>339</v>
      </c>
      <c r="E2552" s="3">
        <v>5.0999999999999996</v>
      </c>
      <c r="F2552" s="3">
        <f>E2552/5</f>
        <v>1.02</v>
      </c>
      <c r="G2552" s="4">
        <v>43990</v>
      </c>
      <c r="M2552" s="1"/>
      <c r="N2552" s="1"/>
      <c r="O2552" s="1"/>
      <c r="P2552" s="1"/>
      <c r="Q2552" s="1"/>
      <c r="R2552" s="1"/>
    </row>
    <row r="2553" spans="2:18">
      <c r="B2553" s="1" t="s">
        <v>338</v>
      </c>
      <c r="C2553" s="2" t="s">
        <v>4</v>
      </c>
      <c r="D2553" s="2" t="s">
        <v>336</v>
      </c>
      <c r="E2553" s="3">
        <v>5</v>
      </c>
      <c r="F2553" s="3">
        <v>3</v>
      </c>
      <c r="G2553" s="4">
        <v>43224</v>
      </c>
      <c r="L2553" s="1">
        <v>0</v>
      </c>
      <c r="M2553" s="1"/>
      <c r="N2553" s="1"/>
      <c r="O2553" s="1"/>
      <c r="P2553" s="1"/>
      <c r="Q2553" s="1"/>
      <c r="R2553" s="1"/>
    </row>
    <row r="2554" spans="2:18">
      <c r="B2554" s="1" t="s">
        <v>337</v>
      </c>
      <c r="C2554" s="2" t="s">
        <v>4</v>
      </c>
      <c r="D2554" s="2" t="s">
        <v>336</v>
      </c>
      <c r="E2554" s="3">
        <v>5</v>
      </c>
      <c r="F2554" s="3">
        <v>1</v>
      </c>
      <c r="G2554" s="4">
        <v>43224</v>
      </c>
      <c r="L2554" s="1">
        <v>0</v>
      </c>
      <c r="M2554" s="1"/>
      <c r="N2554" s="1"/>
      <c r="O2554" s="1"/>
      <c r="P2554" s="1"/>
      <c r="Q2554" s="1"/>
      <c r="R2554" s="1"/>
    </row>
    <row r="2555" spans="2:18">
      <c r="G2555" s="4"/>
      <c r="M2555" s="1"/>
      <c r="N2555" s="1"/>
      <c r="O2555" s="1"/>
      <c r="P2555" s="1"/>
      <c r="Q2555" s="1"/>
      <c r="R2555" s="1"/>
    </row>
    <row r="2556" spans="2:18">
      <c r="B2556" s="1" t="s">
        <v>335</v>
      </c>
      <c r="C2556" s="2" t="s">
        <v>4</v>
      </c>
      <c r="D2556" s="2" t="s">
        <v>325</v>
      </c>
      <c r="E2556" s="3">
        <v>3.2</v>
      </c>
      <c r="F2556" s="3">
        <v>3.2</v>
      </c>
      <c r="G2556" s="4">
        <v>43031</v>
      </c>
      <c r="L2556" s="1">
        <f>+F2556*20</f>
        <v>64</v>
      </c>
      <c r="M2556" s="1"/>
      <c r="N2556" s="1"/>
      <c r="O2556" s="1"/>
      <c r="P2556" s="1"/>
      <c r="Q2556" s="1"/>
      <c r="R2556" s="1"/>
    </row>
    <row r="2557" spans="2:18">
      <c r="C2557" s="2" t="s">
        <v>4</v>
      </c>
      <c r="D2557" s="2" t="s">
        <v>265</v>
      </c>
      <c r="E2557" s="3">
        <v>3.5</v>
      </c>
      <c r="F2557" s="3">
        <f>+E2557/9</f>
        <v>0.3888888888888889</v>
      </c>
      <c r="G2557" s="4">
        <v>42979</v>
      </c>
      <c r="M2557" s="1"/>
      <c r="N2557" s="1"/>
      <c r="O2557" s="1"/>
      <c r="P2557" s="1"/>
      <c r="Q2557" s="1"/>
      <c r="R2557" s="1"/>
    </row>
    <row r="2558" spans="2:18">
      <c r="G2558" s="4"/>
      <c r="M2558" s="1"/>
      <c r="N2558" s="1"/>
      <c r="O2558" s="1"/>
      <c r="P2558" s="1"/>
      <c r="Q2558" s="1"/>
      <c r="R2558" s="1"/>
    </row>
    <row r="2559" spans="2:18">
      <c r="B2559" s="1" t="s">
        <v>334</v>
      </c>
      <c r="C2559" s="2" t="s">
        <v>5</v>
      </c>
      <c r="D2559" s="2" t="s">
        <v>325</v>
      </c>
      <c r="E2559" s="3">
        <v>16</v>
      </c>
      <c r="F2559" s="3">
        <v>2</v>
      </c>
      <c r="G2559" s="4">
        <v>43783</v>
      </c>
      <c r="L2559" s="1">
        <f>+F2559*5</f>
        <v>10</v>
      </c>
      <c r="M2559" s="1"/>
      <c r="N2559" s="1"/>
      <c r="O2559" s="1"/>
      <c r="P2559" s="1"/>
      <c r="Q2559" s="1"/>
      <c r="R2559" s="1"/>
    </row>
    <row r="2560" spans="2:18">
      <c r="C2560" s="2" t="s">
        <v>7</v>
      </c>
      <c r="D2560" s="2" t="s">
        <v>325</v>
      </c>
      <c r="E2560" s="3">
        <v>55</v>
      </c>
      <c r="F2560" s="3">
        <v>5</v>
      </c>
      <c r="G2560" s="4">
        <v>44200</v>
      </c>
      <c r="M2560" s="1"/>
      <c r="N2560" s="1"/>
      <c r="O2560" s="1"/>
      <c r="P2560" s="1"/>
      <c r="Q2560" s="1"/>
      <c r="R2560" s="1"/>
    </row>
    <row r="2561" spans="2:18">
      <c r="C2561" s="2" t="s">
        <v>18</v>
      </c>
      <c r="D2561" s="2" t="s">
        <v>325</v>
      </c>
      <c r="E2561" s="3">
        <v>91</v>
      </c>
      <c r="F2561" s="3">
        <f>70/8</f>
        <v>8.75</v>
      </c>
      <c r="G2561" s="4">
        <v>44867</v>
      </c>
      <c r="M2561" s="1"/>
      <c r="N2561" s="1"/>
      <c r="O2561" s="1"/>
      <c r="P2561" s="1"/>
      <c r="Q2561" s="1"/>
      <c r="R2561" s="1"/>
    </row>
    <row r="2562" spans="2:18">
      <c r="B2562" s="1" t="s">
        <v>333</v>
      </c>
      <c r="C2562" s="2" t="s">
        <v>5</v>
      </c>
      <c r="D2562" s="2" t="s">
        <v>325</v>
      </c>
      <c r="E2562" s="3">
        <v>16</v>
      </c>
      <c r="F2562" s="3">
        <v>2</v>
      </c>
      <c r="G2562" s="4">
        <v>43783</v>
      </c>
      <c r="L2562" s="1">
        <f>+F2562*5</f>
        <v>10</v>
      </c>
      <c r="M2562" s="1"/>
      <c r="N2562" s="1"/>
      <c r="O2562" s="1"/>
      <c r="P2562" s="1"/>
      <c r="Q2562" s="1"/>
      <c r="R2562" s="1"/>
    </row>
    <row r="2563" spans="2:18">
      <c r="B2563" s="1" t="s">
        <v>332</v>
      </c>
      <c r="C2563" s="2" t="s">
        <v>5</v>
      </c>
      <c r="D2563" s="2" t="s">
        <v>325</v>
      </c>
      <c r="E2563" s="3">
        <v>16</v>
      </c>
      <c r="F2563" s="3">
        <v>2</v>
      </c>
      <c r="G2563" s="4">
        <v>43783</v>
      </c>
      <c r="L2563" s="1">
        <f>+F2563*5</f>
        <v>10</v>
      </c>
      <c r="M2563" s="1"/>
      <c r="N2563" s="1"/>
      <c r="O2563" s="1"/>
      <c r="P2563" s="1"/>
      <c r="Q2563" s="1"/>
      <c r="R2563" s="1"/>
    </row>
    <row r="2564" spans="2:18">
      <c r="C2564" s="2" t="s">
        <v>7</v>
      </c>
      <c r="D2564" s="2" t="s">
        <v>325</v>
      </c>
      <c r="E2564" s="3">
        <v>55</v>
      </c>
      <c r="F2564" s="3">
        <v>5</v>
      </c>
      <c r="G2564" s="4">
        <v>44200</v>
      </c>
      <c r="M2564" s="1"/>
      <c r="N2564" s="1"/>
      <c r="O2564" s="1"/>
      <c r="P2564" s="1"/>
      <c r="Q2564" s="1"/>
      <c r="R2564" s="1"/>
    </row>
    <row r="2565" spans="2:18">
      <c r="B2565" s="1" t="s">
        <v>331</v>
      </c>
      <c r="C2565" s="2" t="s">
        <v>5</v>
      </c>
      <c r="D2565" s="2" t="s">
        <v>325</v>
      </c>
      <c r="E2565" s="3">
        <v>16</v>
      </c>
      <c r="F2565" s="3">
        <v>2</v>
      </c>
      <c r="G2565" s="4">
        <v>43783</v>
      </c>
      <c r="L2565" s="1">
        <f>+F2565*5</f>
        <v>10</v>
      </c>
      <c r="M2565" s="1"/>
      <c r="N2565" s="1"/>
      <c r="O2565" s="1"/>
      <c r="P2565" s="1"/>
      <c r="Q2565" s="1"/>
      <c r="R2565" s="1"/>
    </row>
    <row r="2566" spans="2:18">
      <c r="C2566" s="2" t="s">
        <v>7</v>
      </c>
      <c r="D2566" s="2" t="s">
        <v>325</v>
      </c>
      <c r="E2566" s="3">
        <v>55</v>
      </c>
      <c r="F2566" s="3">
        <v>5</v>
      </c>
      <c r="G2566" s="4">
        <v>44200</v>
      </c>
      <c r="M2566" s="1"/>
      <c r="N2566" s="1"/>
      <c r="O2566" s="1"/>
      <c r="P2566" s="1"/>
      <c r="Q2566" s="1"/>
      <c r="R2566" s="1"/>
    </row>
    <row r="2567" spans="2:18">
      <c r="B2567" s="1" t="s">
        <v>330</v>
      </c>
      <c r="C2567" s="2" t="s">
        <v>5</v>
      </c>
      <c r="D2567" s="2" t="s">
        <v>325</v>
      </c>
      <c r="E2567" s="3">
        <v>16</v>
      </c>
      <c r="F2567" s="3">
        <v>2</v>
      </c>
      <c r="G2567" s="4">
        <v>43783</v>
      </c>
      <c r="L2567" s="1">
        <f>+F2567*5</f>
        <v>10</v>
      </c>
      <c r="M2567" s="1"/>
      <c r="N2567" s="1"/>
      <c r="O2567" s="1"/>
      <c r="P2567" s="1"/>
      <c r="Q2567" s="1"/>
      <c r="R2567" s="1"/>
    </row>
    <row r="2568" spans="2:18">
      <c r="B2568" s="1" t="s">
        <v>329</v>
      </c>
      <c r="C2568" s="2" t="s">
        <v>7</v>
      </c>
      <c r="D2568" s="2" t="s">
        <v>325</v>
      </c>
      <c r="E2568" s="3">
        <v>55</v>
      </c>
      <c r="F2568" s="3">
        <v>25</v>
      </c>
      <c r="G2568" s="4">
        <v>44200</v>
      </c>
      <c r="L2568" s="1">
        <f>+F2568*5</f>
        <v>125</v>
      </c>
      <c r="M2568" s="1"/>
      <c r="N2568" s="1"/>
      <c r="O2568" s="1"/>
      <c r="P2568" s="1"/>
      <c r="Q2568" s="1"/>
      <c r="R2568" s="1"/>
    </row>
    <row r="2569" spans="2:18">
      <c r="C2569" s="2" t="s">
        <v>18</v>
      </c>
      <c r="D2569" s="2" t="s">
        <v>325</v>
      </c>
      <c r="E2569" s="3">
        <v>91</v>
      </c>
      <c r="F2569" s="3">
        <f>70/8</f>
        <v>8.75</v>
      </c>
      <c r="G2569" s="4">
        <v>44867</v>
      </c>
      <c r="M2569" s="1"/>
      <c r="N2569" s="1"/>
      <c r="O2569" s="1"/>
      <c r="P2569" s="1"/>
      <c r="Q2569" s="1"/>
      <c r="R2569" s="1"/>
    </row>
    <row r="2570" spans="2:18">
      <c r="B2570" s="1" t="s">
        <v>328</v>
      </c>
      <c r="C2570" s="2" t="s">
        <v>18</v>
      </c>
      <c r="D2570" s="2" t="s">
        <v>325</v>
      </c>
      <c r="E2570" s="3">
        <v>91</v>
      </c>
      <c r="F2570" s="3">
        <f>70/8</f>
        <v>8.75</v>
      </c>
      <c r="G2570" s="4">
        <v>44867</v>
      </c>
      <c r="M2570" s="1"/>
      <c r="N2570" s="1"/>
      <c r="O2570" s="1"/>
      <c r="P2570" s="1"/>
      <c r="Q2570" s="1"/>
      <c r="R2570" s="1"/>
    </row>
    <row r="2571" spans="2:18">
      <c r="B2571" s="1" t="s">
        <v>327</v>
      </c>
      <c r="C2571" s="2" t="s">
        <v>18</v>
      </c>
      <c r="D2571" s="2" t="s">
        <v>325</v>
      </c>
      <c r="E2571" s="3">
        <v>91</v>
      </c>
      <c r="F2571" s="3">
        <f>70/8</f>
        <v>8.75</v>
      </c>
      <c r="G2571" s="4">
        <v>44867</v>
      </c>
      <c r="M2571" s="1"/>
      <c r="N2571" s="1"/>
      <c r="O2571" s="1"/>
      <c r="P2571" s="1"/>
      <c r="Q2571" s="1"/>
      <c r="R2571" s="1"/>
    </row>
    <row r="2572" spans="2:18">
      <c r="B2572" s="1" t="s">
        <v>326</v>
      </c>
      <c r="C2572" s="2" t="s">
        <v>18</v>
      </c>
      <c r="D2572" s="2" t="s">
        <v>325</v>
      </c>
      <c r="E2572" s="3">
        <v>91</v>
      </c>
      <c r="F2572" s="3">
        <f>70/8</f>
        <v>8.75</v>
      </c>
      <c r="G2572" s="4">
        <v>44867</v>
      </c>
      <c r="M2572" s="1"/>
      <c r="N2572" s="1"/>
      <c r="O2572" s="1"/>
      <c r="P2572" s="1"/>
      <c r="Q2572" s="1"/>
      <c r="R2572" s="1"/>
    </row>
    <row r="2573" spans="2:18">
      <c r="B2573" s="1" t="s">
        <v>324</v>
      </c>
      <c r="C2573" s="2" t="s">
        <v>5</v>
      </c>
      <c r="D2573" s="2" t="s">
        <v>320</v>
      </c>
      <c r="E2573" s="3">
        <v>57</v>
      </c>
      <c r="F2573" s="3">
        <v>12</v>
      </c>
      <c r="G2573" s="4">
        <v>44508</v>
      </c>
      <c r="M2573" s="1"/>
      <c r="N2573" s="1"/>
      <c r="O2573" s="1"/>
      <c r="P2573" s="1"/>
      <c r="Q2573" s="1"/>
      <c r="R2573" s="1"/>
    </row>
    <row r="2574" spans="2:18">
      <c r="B2574" s="1" t="s">
        <v>323</v>
      </c>
      <c r="C2574" s="2" t="s">
        <v>5</v>
      </c>
      <c r="D2574" s="2" t="s">
        <v>320</v>
      </c>
      <c r="E2574" s="3">
        <v>57</v>
      </c>
      <c r="F2574" s="3">
        <v>5.625</v>
      </c>
      <c r="G2574" s="4">
        <v>44508</v>
      </c>
      <c r="M2574" s="1"/>
      <c r="N2574" s="1"/>
      <c r="O2574" s="1"/>
      <c r="P2574" s="1"/>
      <c r="Q2574" s="1"/>
      <c r="R2574" s="1"/>
    </row>
    <row r="2575" spans="2:18">
      <c r="B2575" s="1" t="s">
        <v>322</v>
      </c>
      <c r="C2575" s="2" t="s">
        <v>5</v>
      </c>
      <c r="D2575" s="2" t="s">
        <v>320</v>
      </c>
      <c r="E2575" s="3">
        <v>57</v>
      </c>
      <c r="F2575" s="3">
        <v>5.625</v>
      </c>
      <c r="G2575" s="4">
        <v>44508</v>
      </c>
      <c r="M2575" s="1"/>
      <c r="N2575" s="1"/>
      <c r="O2575" s="1"/>
      <c r="P2575" s="1"/>
      <c r="Q2575" s="1"/>
      <c r="R2575" s="1"/>
    </row>
    <row r="2576" spans="2:18">
      <c r="B2576" s="1" t="s">
        <v>321</v>
      </c>
      <c r="C2576" s="2" t="s">
        <v>5</v>
      </c>
      <c r="D2576" s="2" t="s">
        <v>320</v>
      </c>
      <c r="E2576" s="3">
        <v>57</v>
      </c>
      <c r="F2576" s="3">
        <v>5.625</v>
      </c>
      <c r="G2576" s="4">
        <v>44508</v>
      </c>
      <c r="M2576" s="1"/>
      <c r="N2576" s="1"/>
      <c r="O2576" s="1"/>
      <c r="P2576" s="1"/>
      <c r="Q2576" s="1"/>
      <c r="R2576" s="1"/>
    </row>
    <row r="2577" spans="2:18">
      <c r="B2577" s="1" t="s">
        <v>319</v>
      </c>
      <c r="C2577" s="2" t="s">
        <v>8</v>
      </c>
      <c r="D2577" s="2" t="s">
        <v>317</v>
      </c>
      <c r="E2577" s="3">
        <v>69</v>
      </c>
      <c r="F2577" s="3">
        <v>19</v>
      </c>
      <c r="G2577" s="4">
        <v>45091</v>
      </c>
      <c r="M2577" s="1"/>
      <c r="N2577" s="1"/>
      <c r="O2577" s="1"/>
      <c r="P2577" s="1"/>
      <c r="Q2577" s="1"/>
      <c r="R2577" s="1"/>
    </row>
    <row r="2578" spans="2:18">
      <c r="C2578" s="2" t="s">
        <v>9</v>
      </c>
      <c r="D2578" s="2" t="s">
        <v>3</v>
      </c>
      <c r="E2578" s="3">
        <v>60</v>
      </c>
      <c r="F2578" s="3">
        <v>60</v>
      </c>
      <c r="G2578" s="4">
        <v>44908</v>
      </c>
      <c r="I2578" s="1">
        <v>2200</v>
      </c>
      <c r="J2578" s="1">
        <v>2200</v>
      </c>
      <c r="M2578" s="1"/>
      <c r="N2578" s="1"/>
      <c r="O2578" s="1"/>
      <c r="P2578" s="1"/>
      <c r="Q2578" s="1"/>
      <c r="R2578" s="1"/>
    </row>
    <row r="2579" spans="2:18">
      <c r="G2579" s="4"/>
      <c r="M2579" s="1"/>
      <c r="N2579" s="1"/>
      <c r="O2579" s="1"/>
      <c r="P2579" s="1"/>
      <c r="Q2579" s="1"/>
      <c r="R2579" s="1"/>
    </row>
    <row r="2580" spans="2:18">
      <c r="B2580" s="1" t="s">
        <v>318</v>
      </c>
      <c r="C2580" s="2" t="s">
        <v>18</v>
      </c>
      <c r="D2580" s="2" t="s">
        <v>317</v>
      </c>
      <c r="E2580" s="3">
        <v>110</v>
      </c>
      <c r="F2580" s="3">
        <v>14</v>
      </c>
      <c r="G2580" s="4">
        <v>44369</v>
      </c>
      <c r="M2580" s="1"/>
      <c r="N2580" s="1"/>
      <c r="O2580" s="1"/>
      <c r="P2580" s="1"/>
      <c r="Q2580" s="1"/>
      <c r="R2580" s="1"/>
    </row>
    <row r="2581" spans="2:18">
      <c r="B2581" s="1" t="s">
        <v>316</v>
      </c>
      <c r="C2581" s="2" t="s">
        <v>5</v>
      </c>
      <c r="D2581" s="2" t="s">
        <v>309</v>
      </c>
      <c r="E2581" s="3">
        <v>10</v>
      </c>
      <c r="F2581" s="3">
        <v>1.4</v>
      </c>
      <c r="G2581" s="4">
        <v>44637</v>
      </c>
    </row>
    <row r="2582" spans="2:18">
      <c r="B2582" s="1" t="s">
        <v>315</v>
      </c>
      <c r="C2582" s="2" t="s">
        <v>5</v>
      </c>
      <c r="D2582" s="2" t="s">
        <v>309</v>
      </c>
      <c r="E2582" s="3">
        <v>10</v>
      </c>
      <c r="F2582" s="3">
        <v>1.4</v>
      </c>
      <c r="G2582" s="4">
        <v>44637</v>
      </c>
    </row>
    <row r="2583" spans="2:18">
      <c r="G2583" s="4"/>
    </row>
    <row r="2584" spans="2:18">
      <c r="B2584" s="1" t="s">
        <v>314</v>
      </c>
      <c r="C2584" s="2" t="s">
        <v>4</v>
      </c>
      <c r="D2584" s="2" t="s">
        <v>309</v>
      </c>
      <c r="E2584" s="3">
        <v>4.5</v>
      </c>
      <c r="F2584" s="3">
        <v>0.5</v>
      </c>
      <c r="G2584" s="4">
        <v>44175</v>
      </c>
    </row>
    <row r="2585" spans="2:18">
      <c r="C2585" s="2" t="s">
        <v>18</v>
      </c>
      <c r="D2585" s="2" t="s">
        <v>299</v>
      </c>
      <c r="E2585" s="3">
        <v>38</v>
      </c>
      <c r="F2585" s="3">
        <v>3</v>
      </c>
      <c r="G2585" s="4">
        <v>43104</v>
      </c>
    </row>
    <row r="2586" spans="2:18">
      <c r="C2586" s="2" t="s">
        <v>7</v>
      </c>
      <c r="D2586" s="2" t="s">
        <v>299</v>
      </c>
      <c r="E2586" s="3">
        <v>6.9</v>
      </c>
      <c r="F2586" s="3">
        <f>E2586/5</f>
        <v>1.3800000000000001</v>
      </c>
      <c r="G2586" s="4">
        <v>42458</v>
      </c>
    </row>
    <row r="2587" spans="2:18">
      <c r="C2587" s="2" t="s">
        <v>5</v>
      </c>
      <c r="D2587" s="2" t="s">
        <v>299</v>
      </c>
      <c r="E2587" s="3">
        <v>2.7</v>
      </c>
      <c r="F2587" s="3">
        <f>1.7/4</f>
        <v>0.42499999999999999</v>
      </c>
      <c r="G2587" s="4">
        <v>42139</v>
      </c>
    </row>
    <row r="2588" spans="2:18">
      <c r="G2588" s="4"/>
    </row>
    <row r="2589" spans="2:18">
      <c r="B2589" s="1" t="s">
        <v>313</v>
      </c>
      <c r="C2589" s="2" t="s">
        <v>4</v>
      </c>
      <c r="D2589" s="2" t="s">
        <v>309</v>
      </c>
      <c r="E2589" s="3">
        <v>1.8</v>
      </c>
      <c r="F2589" s="3">
        <f>+E2589/9</f>
        <v>0.2</v>
      </c>
      <c r="G2589" s="4">
        <v>42690</v>
      </c>
    </row>
    <row r="2590" spans="2:18">
      <c r="B2590" s="1" t="s">
        <v>312</v>
      </c>
      <c r="C2590" s="2" t="s">
        <v>4</v>
      </c>
      <c r="D2590" s="2" t="s">
        <v>309</v>
      </c>
      <c r="E2590" s="3">
        <v>1.8</v>
      </c>
      <c r="F2590" s="3">
        <f>+E2590/9</f>
        <v>0.2</v>
      </c>
      <c r="G2590" s="4">
        <v>42690</v>
      </c>
    </row>
    <row r="2591" spans="2:18">
      <c r="B2591" s="1" t="s">
        <v>311</v>
      </c>
      <c r="C2591" s="2" t="s">
        <v>4</v>
      </c>
      <c r="D2591" s="2" t="s">
        <v>309</v>
      </c>
      <c r="E2591" s="3">
        <v>1.8</v>
      </c>
      <c r="F2591" s="3">
        <f>+E2591/9</f>
        <v>0.2</v>
      </c>
      <c r="G2591" s="4">
        <v>42690</v>
      </c>
    </row>
    <row r="2592" spans="2:18">
      <c r="B2592" s="1" t="s">
        <v>310</v>
      </c>
      <c r="C2592" s="2" t="s">
        <v>4</v>
      </c>
      <c r="D2592" s="2" t="s">
        <v>309</v>
      </c>
      <c r="E2592" s="3">
        <v>1.8</v>
      </c>
      <c r="F2592" s="3">
        <f>+E2592/9</f>
        <v>0.2</v>
      </c>
      <c r="G2592" s="4">
        <v>42690</v>
      </c>
    </row>
    <row r="2593" spans="2:19">
      <c r="B2593" s="1" t="s">
        <v>308</v>
      </c>
      <c r="C2593" s="2" t="s">
        <v>5</v>
      </c>
      <c r="D2593" s="2" t="s">
        <v>305</v>
      </c>
      <c r="E2593" s="3">
        <v>15</v>
      </c>
      <c r="F2593" s="3">
        <v>2</v>
      </c>
      <c r="G2593" s="4">
        <v>44314</v>
      </c>
    </row>
    <row r="2594" spans="2:19">
      <c r="B2594" s="1" t="s">
        <v>307</v>
      </c>
      <c r="C2594" s="2" t="s">
        <v>5</v>
      </c>
      <c r="D2594" s="2" t="s">
        <v>305</v>
      </c>
      <c r="E2594" s="3">
        <v>15</v>
      </c>
      <c r="F2594" s="3">
        <v>2</v>
      </c>
      <c r="G2594" s="4">
        <v>44314</v>
      </c>
    </row>
    <row r="2595" spans="2:19">
      <c r="G2595" s="4"/>
    </row>
    <row r="2596" spans="2:19">
      <c r="B2596" s="1" t="s">
        <v>306</v>
      </c>
      <c r="C2596" s="2" t="s">
        <v>5</v>
      </c>
      <c r="D2596" s="2" t="s">
        <v>305</v>
      </c>
      <c r="E2596" s="3">
        <v>15</v>
      </c>
      <c r="F2596" s="3">
        <v>2</v>
      </c>
      <c r="G2596" s="4">
        <v>44314</v>
      </c>
      <c r="S2596" s="1" t="s">
        <v>304</v>
      </c>
    </row>
    <row r="2597" spans="2:19">
      <c r="C2597" s="2" t="s">
        <v>4</v>
      </c>
      <c r="D2597" s="2" t="s">
        <v>115</v>
      </c>
      <c r="E2597" s="3">
        <v>8</v>
      </c>
      <c r="F2597" s="3">
        <f>5/8</f>
        <v>0.625</v>
      </c>
      <c r="G2597" s="4">
        <v>44063</v>
      </c>
    </row>
    <row r="2598" spans="2:19">
      <c r="G2598" s="4"/>
    </row>
    <row r="2599" spans="2:19">
      <c r="B2599" s="1" t="s">
        <v>303</v>
      </c>
      <c r="C2599" s="2" t="s">
        <v>18</v>
      </c>
      <c r="D2599" s="2" t="s">
        <v>299</v>
      </c>
      <c r="E2599" s="3">
        <v>38</v>
      </c>
      <c r="F2599" s="3">
        <v>6</v>
      </c>
      <c r="G2599" s="4">
        <v>43104</v>
      </c>
    </row>
    <row r="2600" spans="2:19">
      <c r="C2600" s="2" t="s">
        <v>18</v>
      </c>
      <c r="D2600" s="2" t="s">
        <v>34</v>
      </c>
      <c r="E2600" s="3">
        <v>230</v>
      </c>
      <c r="F2600" s="3">
        <v>40</v>
      </c>
      <c r="G2600" s="4">
        <v>43634</v>
      </c>
      <c r="I2600" s="1">
        <v>770</v>
      </c>
      <c r="J2600" s="1">
        <v>770</v>
      </c>
    </row>
    <row r="2601" spans="2:19">
      <c r="G2601" s="4"/>
    </row>
    <row r="2602" spans="2:19">
      <c r="B2602" s="1" t="s">
        <v>302</v>
      </c>
      <c r="C2602" s="2" t="s">
        <v>18</v>
      </c>
      <c r="D2602" s="2" t="s">
        <v>299</v>
      </c>
      <c r="E2602" s="3">
        <v>38</v>
      </c>
      <c r="F2602" s="3">
        <v>6</v>
      </c>
      <c r="G2602" s="4">
        <v>43104</v>
      </c>
    </row>
    <row r="2603" spans="2:19">
      <c r="B2603" s="1" t="s">
        <v>301</v>
      </c>
      <c r="C2603" s="2" t="s">
        <v>18</v>
      </c>
      <c r="D2603" s="2" t="s">
        <v>299</v>
      </c>
      <c r="E2603" s="3">
        <v>38</v>
      </c>
      <c r="F2603" s="3">
        <f>20/6</f>
        <v>3.3333333333333335</v>
      </c>
      <c r="G2603" s="4">
        <v>43104</v>
      </c>
    </row>
    <row r="2604" spans="2:19">
      <c r="C2604" s="2" t="s">
        <v>7</v>
      </c>
      <c r="D2604" s="2" t="s">
        <v>299</v>
      </c>
      <c r="E2604" s="3">
        <v>6.9</v>
      </c>
      <c r="F2604" s="3">
        <f>E2604/5</f>
        <v>1.3800000000000001</v>
      </c>
      <c r="G2604" s="4">
        <v>42458</v>
      </c>
    </row>
    <row r="2605" spans="2:19">
      <c r="C2605" s="2" t="s">
        <v>5</v>
      </c>
      <c r="D2605" s="2" t="s">
        <v>299</v>
      </c>
      <c r="E2605" s="3">
        <v>2.7</v>
      </c>
      <c r="F2605" s="3">
        <v>1</v>
      </c>
      <c r="G2605" s="4">
        <v>42139</v>
      </c>
    </row>
    <row r="2606" spans="2:19">
      <c r="G2606" s="4"/>
    </row>
    <row r="2607" spans="2:19">
      <c r="B2607" s="1" t="s">
        <v>300</v>
      </c>
      <c r="C2607" s="2" t="s">
        <v>7</v>
      </c>
      <c r="D2607" s="2" t="s">
        <v>299</v>
      </c>
      <c r="E2607" s="3">
        <v>6.9</v>
      </c>
      <c r="F2607" s="3">
        <f>E2607/5</f>
        <v>1.3800000000000001</v>
      </c>
      <c r="G2607" s="4">
        <v>42458</v>
      </c>
    </row>
    <row r="2608" spans="2:19">
      <c r="C2608" s="2" t="s">
        <v>5</v>
      </c>
      <c r="D2608" s="2" t="s">
        <v>299</v>
      </c>
      <c r="E2608" s="3">
        <v>2.7</v>
      </c>
      <c r="F2608" s="3">
        <f>1.7/4</f>
        <v>0.42499999999999999</v>
      </c>
      <c r="G2608" s="4">
        <v>42139</v>
      </c>
    </row>
    <row r="2609" spans="2:7">
      <c r="B2609" s="1" t="s">
        <v>298</v>
      </c>
      <c r="C2609" s="2" t="s">
        <v>5</v>
      </c>
      <c r="D2609" s="2" t="s">
        <v>296</v>
      </c>
      <c r="E2609" s="3">
        <v>30</v>
      </c>
      <c r="F2609" s="3">
        <f>20/5</f>
        <v>4</v>
      </c>
      <c r="G2609" s="4">
        <v>44474</v>
      </c>
    </row>
    <row r="2610" spans="2:7">
      <c r="B2610" s="1" t="s">
        <v>297</v>
      </c>
      <c r="C2610" s="2" t="s">
        <v>5</v>
      </c>
      <c r="D2610" s="2" t="s">
        <v>296</v>
      </c>
      <c r="E2610" s="3">
        <v>30</v>
      </c>
      <c r="F2610" s="3">
        <f>20/5</f>
        <v>4</v>
      </c>
      <c r="G2610" s="4">
        <v>44474</v>
      </c>
    </row>
    <row r="2611" spans="2:7">
      <c r="C2611" s="2" t="s">
        <v>4</v>
      </c>
      <c r="D2611" s="2" t="s">
        <v>296</v>
      </c>
      <c r="E2611" s="3">
        <v>15</v>
      </c>
      <c r="F2611" s="3">
        <f>10/4</f>
        <v>2.5</v>
      </c>
      <c r="G2611" s="4">
        <v>43775</v>
      </c>
    </row>
    <row r="2612" spans="2:7">
      <c r="B2612" s="1" t="s">
        <v>295</v>
      </c>
      <c r="C2612" s="2" t="s">
        <v>7</v>
      </c>
      <c r="D2612" s="2" t="s">
        <v>293</v>
      </c>
      <c r="E2612" s="3">
        <v>35</v>
      </c>
      <c r="F2612" s="3">
        <f>15/3</f>
        <v>5</v>
      </c>
      <c r="G2612" s="4">
        <v>44309</v>
      </c>
    </row>
    <row r="2613" spans="2:7">
      <c r="B2613" s="1" t="s">
        <v>294</v>
      </c>
      <c r="C2613" s="2" t="s">
        <v>7</v>
      </c>
      <c r="D2613" s="2" t="s">
        <v>293</v>
      </c>
      <c r="E2613" s="3">
        <v>35</v>
      </c>
      <c r="F2613" s="3">
        <f>15/3</f>
        <v>5</v>
      </c>
      <c r="G2613" s="4">
        <v>44309</v>
      </c>
    </row>
    <row r="2614" spans="2:7">
      <c r="B2614" s="1" t="s">
        <v>292</v>
      </c>
      <c r="C2614" s="2" t="s">
        <v>4</v>
      </c>
      <c r="D2614" s="2" t="s">
        <v>290</v>
      </c>
      <c r="E2614" s="3">
        <v>2.1</v>
      </c>
      <c r="F2614" s="3">
        <v>1.1000000000000001</v>
      </c>
      <c r="G2614" s="4">
        <v>44565</v>
      </c>
    </row>
    <row r="2615" spans="2:7">
      <c r="B2615" s="1" t="s">
        <v>291</v>
      </c>
      <c r="C2615" s="2" t="s">
        <v>4</v>
      </c>
      <c r="D2615" s="2" t="s">
        <v>290</v>
      </c>
      <c r="E2615" s="3">
        <v>2.1</v>
      </c>
      <c r="F2615" s="3">
        <v>1</v>
      </c>
      <c r="G2615" s="4">
        <v>44565</v>
      </c>
    </row>
    <row r="2616" spans="2:7">
      <c r="B2616" s="1" t="s">
        <v>289</v>
      </c>
      <c r="C2616" s="2" t="s">
        <v>5</v>
      </c>
      <c r="D2616" s="2" t="s">
        <v>288</v>
      </c>
      <c r="E2616" s="3">
        <v>32</v>
      </c>
      <c r="F2616" s="3">
        <v>5</v>
      </c>
      <c r="G2616" s="4">
        <v>44851</v>
      </c>
    </row>
    <row r="2617" spans="2:7">
      <c r="B2617" s="1" t="s">
        <v>287</v>
      </c>
      <c r="C2617" s="2" t="s">
        <v>4</v>
      </c>
      <c r="D2617" s="2" t="s">
        <v>284</v>
      </c>
      <c r="E2617" s="3">
        <v>0.125</v>
      </c>
      <c r="F2617" s="3">
        <v>5.0000000000000001E-3</v>
      </c>
      <c r="G2617" s="4">
        <v>44265</v>
      </c>
    </row>
    <row r="2618" spans="2:7">
      <c r="B2618" s="1" t="s">
        <v>286</v>
      </c>
      <c r="C2618" s="2" t="s">
        <v>285</v>
      </c>
      <c r="D2618" s="2" t="s">
        <v>284</v>
      </c>
      <c r="E2618" s="3">
        <v>0.2</v>
      </c>
      <c r="F2618" s="3">
        <v>0.1</v>
      </c>
      <c r="G2618" s="4">
        <v>44054</v>
      </c>
    </row>
    <row r="2619" spans="2:7">
      <c r="B2619" s="1" t="s">
        <v>283</v>
      </c>
      <c r="C2619" s="2" t="s">
        <v>8</v>
      </c>
      <c r="D2619" s="2" t="s">
        <v>265</v>
      </c>
      <c r="E2619" s="3">
        <v>111</v>
      </c>
      <c r="F2619" s="3">
        <f>97/14</f>
        <v>6.9285714285714288</v>
      </c>
      <c r="G2619" s="4">
        <v>44622</v>
      </c>
    </row>
    <row r="2620" spans="2:7">
      <c r="C2620" s="2" t="s">
        <v>7</v>
      </c>
      <c r="D2620" s="2" t="s">
        <v>265</v>
      </c>
      <c r="E2620" s="3">
        <v>16</v>
      </c>
      <c r="F2620" s="3">
        <v>2</v>
      </c>
      <c r="G2620" s="4">
        <v>44009</v>
      </c>
    </row>
    <row r="2621" spans="2:7">
      <c r="B2621" s="1" t="s">
        <v>282</v>
      </c>
      <c r="C2621" s="2" t="s">
        <v>8</v>
      </c>
      <c r="D2621" s="2" t="s">
        <v>265</v>
      </c>
      <c r="E2621" s="3">
        <v>111</v>
      </c>
      <c r="F2621" s="3">
        <f>97/14</f>
        <v>6.9285714285714288</v>
      </c>
      <c r="G2621" s="4">
        <v>44622</v>
      </c>
    </row>
    <row r="2622" spans="2:7">
      <c r="B2622" s="1" t="s">
        <v>281</v>
      </c>
      <c r="C2622" s="2" t="s">
        <v>8</v>
      </c>
      <c r="D2622" s="2" t="s">
        <v>265</v>
      </c>
      <c r="E2622" s="3">
        <v>111</v>
      </c>
      <c r="F2622" s="3">
        <f>97/14</f>
        <v>6.9285714285714288</v>
      </c>
      <c r="G2622" s="4">
        <v>44622</v>
      </c>
    </row>
    <row r="2623" spans="2:7">
      <c r="C2623" s="2" t="s">
        <v>7</v>
      </c>
      <c r="D2623" s="2" t="s">
        <v>265</v>
      </c>
      <c r="E2623" s="3">
        <v>16</v>
      </c>
      <c r="F2623" s="3">
        <v>2</v>
      </c>
      <c r="G2623" s="4">
        <v>44009</v>
      </c>
    </row>
    <row r="2624" spans="2:7">
      <c r="B2624" s="1" t="s">
        <v>280</v>
      </c>
      <c r="C2624" s="2" t="s">
        <v>8</v>
      </c>
      <c r="D2624" s="2" t="s">
        <v>265</v>
      </c>
      <c r="E2624" s="3">
        <v>111</v>
      </c>
      <c r="F2624" s="3">
        <f>97/14</f>
        <v>6.9285714285714288</v>
      </c>
      <c r="G2624" s="4">
        <v>44622</v>
      </c>
    </row>
    <row r="2625" spans="2:7">
      <c r="C2625" s="2" t="s">
        <v>18</v>
      </c>
      <c r="D2625" s="2" t="s">
        <v>265</v>
      </c>
      <c r="E2625" s="3">
        <v>55</v>
      </c>
      <c r="F2625" s="3">
        <v>5.625</v>
      </c>
      <c r="G2625" s="4">
        <v>44314</v>
      </c>
    </row>
    <row r="2626" spans="2:7">
      <c r="C2626" s="2" t="s">
        <v>7</v>
      </c>
      <c r="D2626" s="2" t="s">
        <v>265</v>
      </c>
      <c r="E2626" s="3">
        <v>16</v>
      </c>
      <c r="F2626" s="3">
        <v>2</v>
      </c>
      <c r="G2626" s="4">
        <v>44009</v>
      </c>
    </row>
    <row r="2627" spans="2:7">
      <c r="C2627" s="2" t="s">
        <v>5</v>
      </c>
      <c r="D2627" s="2" t="s">
        <v>265</v>
      </c>
      <c r="E2627" s="3">
        <v>14</v>
      </c>
      <c r="F2627" s="3">
        <v>1.6666666666666667</v>
      </c>
      <c r="G2627" s="4">
        <v>43690</v>
      </c>
    </row>
    <row r="2628" spans="2:7">
      <c r="B2628" s="1" t="s">
        <v>279</v>
      </c>
      <c r="C2628" s="2" t="s">
        <v>8</v>
      </c>
      <c r="D2628" s="2" t="s">
        <v>265</v>
      </c>
      <c r="E2628" s="3">
        <v>111</v>
      </c>
      <c r="F2628" s="3">
        <f>97/14</f>
        <v>6.9285714285714288</v>
      </c>
      <c r="G2628" s="4">
        <v>44622</v>
      </c>
    </row>
    <row r="2629" spans="2:7">
      <c r="C2629" s="2" t="s">
        <v>18</v>
      </c>
      <c r="D2629" s="2" t="s">
        <v>265</v>
      </c>
      <c r="E2629" s="3">
        <v>55</v>
      </c>
      <c r="F2629" s="3">
        <v>5.625</v>
      </c>
      <c r="G2629" s="4">
        <v>44314</v>
      </c>
    </row>
    <row r="2630" spans="2:7">
      <c r="C2630" s="2" t="s">
        <v>7</v>
      </c>
      <c r="D2630" s="2" t="s">
        <v>265</v>
      </c>
      <c r="E2630" s="3">
        <v>16</v>
      </c>
      <c r="F2630" s="3">
        <v>2</v>
      </c>
      <c r="G2630" s="4">
        <v>44009</v>
      </c>
    </row>
    <row r="2631" spans="2:7">
      <c r="C2631" s="2" t="s">
        <v>5</v>
      </c>
      <c r="D2631" s="2" t="s">
        <v>265</v>
      </c>
      <c r="E2631" s="3">
        <v>14</v>
      </c>
      <c r="F2631" s="3">
        <v>1.6666666666666667</v>
      </c>
      <c r="G2631" s="4">
        <v>43690</v>
      </c>
    </row>
    <row r="2632" spans="2:7">
      <c r="B2632" s="1" t="s">
        <v>278</v>
      </c>
      <c r="C2632" s="2" t="s">
        <v>8</v>
      </c>
      <c r="D2632" s="2" t="s">
        <v>265</v>
      </c>
      <c r="E2632" s="3">
        <v>111</v>
      </c>
      <c r="F2632" s="3">
        <f>97/14</f>
        <v>6.9285714285714288</v>
      </c>
      <c r="G2632" s="4">
        <v>44622</v>
      </c>
    </row>
    <row r="2633" spans="2:7">
      <c r="B2633" s="1" t="s">
        <v>277</v>
      </c>
      <c r="C2633" s="2" t="s">
        <v>8</v>
      </c>
      <c r="D2633" s="2" t="s">
        <v>265</v>
      </c>
      <c r="E2633" s="3">
        <v>111</v>
      </c>
      <c r="F2633" s="3">
        <f>97/14</f>
        <v>6.9285714285714288</v>
      </c>
      <c r="G2633" s="4">
        <v>44622</v>
      </c>
    </row>
    <row r="2634" spans="2:7">
      <c r="C2634" s="2" t="s">
        <v>18</v>
      </c>
      <c r="D2634" s="2" t="s">
        <v>265</v>
      </c>
      <c r="E2634" s="3">
        <v>55</v>
      </c>
      <c r="F2634" s="3">
        <v>5.625</v>
      </c>
      <c r="G2634" s="4">
        <v>44314</v>
      </c>
    </row>
    <row r="2635" spans="2:7">
      <c r="B2635" s="1" t="s">
        <v>276</v>
      </c>
      <c r="C2635" s="2" t="s">
        <v>8</v>
      </c>
      <c r="D2635" s="2" t="s">
        <v>265</v>
      </c>
      <c r="E2635" s="3">
        <v>111</v>
      </c>
      <c r="F2635" s="3">
        <f>97/14</f>
        <v>6.9285714285714288</v>
      </c>
      <c r="G2635" s="4">
        <v>44622</v>
      </c>
    </row>
    <row r="2636" spans="2:7">
      <c r="B2636" s="1" t="s">
        <v>275</v>
      </c>
      <c r="C2636" s="2" t="s">
        <v>8</v>
      </c>
      <c r="D2636" s="2" t="s">
        <v>265</v>
      </c>
      <c r="E2636" s="3">
        <v>111</v>
      </c>
      <c r="F2636" s="3">
        <f>97/14</f>
        <v>6.9285714285714288</v>
      </c>
      <c r="G2636" s="4">
        <v>44622</v>
      </c>
    </row>
    <row r="2637" spans="2:7">
      <c r="B2637" s="1" t="s">
        <v>274</v>
      </c>
      <c r="C2637" s="2" t="s">
        <v>18</v>
      </c>
      <c r="D2637" s="2" t="s">
        <v>265</v>
      </c>
      <c r="E2637" s="3">
        <v>55</v>
      </c>
      <c r="F2637" s="3">
        <v>5.625</v>
      </c>
      <c r="G2637" s="4">
        <v>44314</v>
      </c>
    </row>
    <row r="2638" spans="2:7">
      <c r="C2638" s="2" t="s">
        <v>7</v>
      </c>
      <c r="D2638" s="2" t="s">
        <v>265</v>
      </c>
      <c r="E2638" s="3">
        <v>16</v>
      </c>
      <c r="F2638" s="3">
        <v>2</v>
      </c>
      <c r="G2638" s="4">
        <v>44009</v>
      </c>
    </row>
    <row r="2639" spans="2:7">
      <c r="C2639" s="2" t="s">
        <v>5</v>
      </c>
      <c r="D2639" s="2" t="s">
        <v>265</v>
      </c>
      <c r="E2639" s="3">
        <v>14</v>
      </c>
      <c r="F2639" s="3">
        <v>1.6666666666666667</v>
      </c>
      <c r="G2639" s="4">
        <v>43690</v>
      </c>
    </row>
    <row r="2640" spans="2:7">
      <c r="B2640" s="1" t="s">
        <v>273</v>
      </c>
      <c r="C2640" s="2" t="s">
        <v>18</v>
      </c>
      <c r="D2640" s="2" t="s">
        <v>265</v>
      </c>
      <c r="E2640" s="3">
        <v>55</v>
      </c>
      <c r="F2640" s="3">
        <v>5.625</v>
      </c>
      <c r="G2640" s="4">
        <v>44314</v>
      </c>
    </row>
    <row r="2641" spans="2:7">
      <c r="B2641" s="1" t="s">
        <v>272</v>
      </c>
      <c r="C2641" s="2" t="s">
        <v>5</v>
      </c>
      <c r="D2641" s="2" t="s">
        <v>265</v>
      </c>
      <c r="E2641" s="3">
        <v>14</v>
      </c>
      <c r="F2641" s="3">
        <v>1.6666666666666667</v>
      </c>
      <c r="G2641" s="4">
        <v>43690</v>
      </c>
    </row>
    <row r="2642" spans="2:7">
      <c r="B2642" s="1" t="s">
        <v>271</v>
      </c>
      <c r="C2642" s="2" t="s">
        <v>5</v>
      </c>
      <c r="D2642" s="2" t="s">
        <v>265</v>
      </c>
      <c r="E2642" s="3">
        <v>14</v>
      </c>
      <c r="F2642" s="3">
        <v>1.6666666666666667</v>
      </c>
      <c r="G2642" s="4">
        <v>43690</v>
      </c>
    </row>
    <row r="2643" spans="2:7">
      <c r="B2643" s="1" t="s">
        <v>270</v>
      </c>
      <c r="C2643" s="2" t="s">
        <v>5</v>
      </c>
      <c r="D2643" s="2" t="s">
        <v>265</v>
      </c>
      <c r="E2643" s="3">
        <v>14</v>
      </c>
      <c r="F2643" s="3">
        <v>1.6666666666666667</v>
      </c>
      <c r="G2643" s="4">
        <v>43690</v>
      </c>
    </row>
    <row r="2644" spans="2:7">
      <c r="C2644" s="2" t="s">
        <v>4</v>
      </c>
      <c r="D2644" s="2" t="s">
        <v>265</v>
      </c>
      <c r="E2644" s="3">
        <v>3.5</v>
      </c>
      <c r="F2644" s="3">
        <f>+E2644/9</f>
        <v>0.3888888888888889</v>
      </c>
      <c r="G2644" s="4">
        <v>42979</v>
      </c>
    </row>
    <row r="2645" spans="2:7">
      <c r="B2645" s="1" t="s">
        <v>269</v>
      </c>
      <c r="C2645" s="2" t="s">
        <v>4</v>
      </c>
      <c r="D2645" s="2" t="s">
        <v>265</v>
      </c>
      <c r="E2645" s="3">
        <v>3.5</v>
      </c>
      <c r="F2645" s="3">
        <f>+E2645/9</f>
        <v>0.3888888888888889</v>
      </c>
      <c r="G2645" s="4">
        <v>42979</v>
      </c>
    </row>
    <row r="2646" spans="2:7">
      <c r="B2646" s="1" t="s">
        <v>268</v>
      </c>
      <c r="C2646" s="2" t="s">
        <v>4</v>
      </c>
      <c r="D2646" s="2" t="s">
        <v>265</v>
      </c>
      <c r="E2646" s="3">
        <v>3.5</v>
      </c>
      <c r="F2646" s="3">
        <f>+E2646/9</f>
        <v>0.3888888888888889</v>
      </c>
      <c r="G2646" s="4">
        <v>42979</v>
      </c>
    </row>
    <row r="2647" spans="2:7">
      <c r="B2647" s="1" t="s">
        <v>267</v>
      </c>
      <c r="C2647" s="2" t="s">
        <v>4</v>
      </c>
      <c r="D2647" s="2" t="s">
        <v>265</v>
      </c>
      <c r="E2647" s="3">
        <v>3.5</v>
      </c>
      <c r="F2647" s="3">
        <f>+E2647/9</f>
        <v>0.3888888888888889</v>
      </c>
      <c r="G2647" s="4">
        <v>42979</v>
      </c>
    </row>
    <row r="2648" spans="2:7">
      <c r="B2648" s="1" t="s">
        <v>266</v>
      </c>
      <c r="C2648" s="2" t="s">
        <v>4</v>
      </c>
      <c r="D2648" s="2" t="s">
        <v>265</v>
      </c>
      <c r="E2648" s="3">
        <v>3.5</v>
      </c>
      <c r="F2648" s="3">
        <f>+E2648/9</f>
        <v>0.3888888888888889</v>
      </c>
      <c r="G2648" s="4">
        <v>42979</v>
      </c>
    </row>
    <row r="2649" spans="2:7">
      <c r="B2649" s="1" t="s">
        <v>264</v>
      </c>
      <c r="C2649" s="2" t="s">
        <v>8</v>
      </c>
      <c r="D2649" s="2" t="s">
        <v>260</v>
      </c>
      <c r="E2649" s="3">
        <v>600</v>
      </c>
      <c r="F2649" s="3">
        <f>500/8</f>
        <v>62.5</v>
      </c>
      <c r="G2649" s="4">
        <v>44502</v>
      </c>
    </row>
    <row r="2650" spans="2:7">
      <c r="C2650" s="2" t="s">
        <v>18</v>
      </c>
      <c r="D2650" s="2" t="s">
        <v>260</v>
      </c>
      <c r="E2650" s="3">
        <v>500</v>
      </c>
      <c r="F2650" s="3">
        <v>75</v>
      </c>
      <c r="G2650" s="4">
        <v>44144</v>
      </c>
    </row>
    <row r="2651" spans="2:7">
      <c r="B2651" s="1" t="s">
        <v>263</v>
      </c>
      <c r="C2651" s="2" t="s">
        <v>8</v>
      </c>
      <c r="D2651" s="2" t="s">
        <v>260</v>
      </c>
      <c r="E2651" s="3">
        <v>600</v>
      </c>
      <c r="F2651" s="3">
        <f>500/8</f>
        <v>62.5</v>
      </c>
      <c r="G2651" s="4">
        <v>44502</v>
      </c>
    </row>
    <row r="2652" spans="2:7">
      <c r="G2652" s="4"/>
    </row>
    <row r="2653" spans="2:7">
      <c r="B2653" s="1" t="s">
        <v>261</v>
      </c>
      <c r="C2653" s="2" t="s">
        <v>18</v>
      </c>
      <c r="D2653" s="2" t="s">
        <v>260</v>
      </c>
      <c r="E2653" s="3">
        <v>500</v>
      </c>
      <c r="F2653" s="3">
        <v>75</v>
      </c>
      <c r="G2653" s="4">
        <v>44144</v>
      </c>
    </row>
    <row r="2654" spans="2:7">
      <c r="B2654" s="1" t="s">
        <v>259</v>
      </c>
      <c r="C2654" s="2" t="s">
        <v>18</v>
      </c>
      <c r="D2654" s="2" t="s">
        <v>252</v>
      </c>
      <c r="E2654" s="3">
        <v>820</v>
      </c>
      <c r="F2654" s="3">
        <f>600/6</f>
        <v>100</v>
      </c>
      <c r="G2654" s="4">
        <v>43223</v>
      </c>
    </row>
    <row r="2655" spans="2:7">
      <c r="B2655" s="1" t="s">
        <v>258</v>
      </c>
      <c r="C2655" s="2" t="s">
        <v>18</v>
      </c>
      <c r="D2655" s="2" t="s">
        <v>252</v>
      </c>
      <c r="E2655" s="3">
        <v>820</v>
      </c>
      <c r="F2655" s="3">
        <f>600/6</f>
        <v>100</v>
      </c>
      <c r="G2655" s="4">
        <v>43223</v>
      </c>
    </row>
    <row r="2656" spans="2:7">
      <c r="B2656" s="1" t="s">
        <v>257</v>
      </c>
      <c r="C2656" s="2" t="s">
        <v>18</v>
      </c>
      <c r="D2656" s="2" t="s">
        <v>252</v>
      </c>
      <c r="E2656" s="3">
        <v>820</v>
      </c>
      <c r="F2656" s="3">
        <f>600/6</f>
        <v>100</v>
      </c>
      <c r="G2656" s="4">
        <v>43223</v>
      </c>
    </row>
    <row r="2657" spans="2:7">
      <c r="B2657" s="1" t="s">
        <v>256</v>
      </c>
      <c r="C2657" s="2" t="s">
        <v>18</v>
      </c>
      <c r="D2657" s="2" t="s">
        <v>252</v>
      </c>
      <c r="E2657" s="3">
        <v>820</v>
      </c>
      <c r="F2657" s="3">
        <f>600/6</f>
        <v>100</v>
      </c>
      <c r="G2657" s="4">
        <v>43223</v>
      </c>
    </row>
    <row r="2658" spans="2:7">
      <c r="C2658" s="2" t="s">
        <v>18</v>
      </c>
      <c r="D2658" s="2" t="s">
        <v>218</v>
      </c>
      <c r="E2658" s="3">
        <v>230</v>
      </c>
      <c r="F2658" s="3">
        <v>38</v>
      </c>
      <c r="G2658" s="4">
        <v>43923</v>
      </c>
    </row>
    <row r="2659" spans="2:7">
      <c r="C2659" s="2" t="s">
        <v>5</v>
      </c>
      <c r="D2659" s="2" t="s">
        <v>166</v>
      </c>
      <c r="E2659" s="3">
        <v>102</v>
      </c>
      <c r="F2659" s="3">
        <v>8</v>
      </c>
      <c r="G2659" s="4">
        <v>43292</v>
      </c>
    </row>
    <row r="2660" spans="2:7">
      <c r="G2660" s="4"/>
    </row>
    <row r="2661" spans="2:7">
      <c r="B2661" s="1" t="s">
        <v>255</v>
      </c>
      <c r="C2661" s="2" t="s">
        <v>18</v>
      </c>
      <c r="D2661" s="2" t="s">
        <v>252</v>
      </c>
      <c r="E2661" s="3">
        <v>820</v>
      </c>
      <c r="F2661" s="3">
        <f>600/6</f>
        <v>100</v>
      </c>
      <c r="G2661" s="4">
        <v>43223</v>
      </c>
    </row>
    <row r="2662" spans="2:7">
      <c r="G2662" s="4"/>
    </row>
    <row r="2663" spans="2:7">
      <c r="B2663" s="1" t="s">
        <v>254</v>
      </c>
      <c r="C2663" s="2" t="s">
        <v>18</v>
      </c>
      <c r="D2663" s="2" t="s">
        <v>252</v>
      </c>
      <c r="E2663" s="3">
        <v>820</v>
      </c>
      <c r="F2663" s="3">
        <f>600/6</f>
        <v>100</v>
      </c>
      <c r="G2663" s="4">
        <v>43223</v>
      </c>
    </row>
    <row r="2664" spans="2:7">
      <c r="C2664" s="2" t="s">
        <v>7</v>
      </c>
      <c r="D2664" s="2" t="s">
        <v>252</v>
      </c>
      <c r="E2664" s="3">
        <v>100</v>
      </c>
      <c r="F2664" s="3">
        <v>50</v>
      </c>
      <c r="G2664" s="4">
        <v>42576</v>
      </c>
    </row>
    <row r="2665" spans="2:7">
      <c r="G2665" s="4"/>
    </row>
    <row r="2666" spans="2:7">
      <c r="B2666" s="1" t="s">
        <v>253</v>
      </c>
      <c r="C2666" s="2" t="s">
        <v>7</v>
      </c>
      <c r="D2666" s="2" t="s">
        <v>252</v>
      </c>
      <c r="E2666" s="3">
        <v>100</v>
      </c>
      <c r="F2666" s="3">
        <v>25</v>
      </c>
      <c r="G2666" s="4">
        <v>42576</v>
      </c>
    </row>
    <row r="2667" spans="2:7">
      <c r="C2667" s="2" t="s">
        <v>5</v>
      </c>
      <c r="D2667" s="2" t="s">
        <v>252</v>
      </c>
      <c r="E2667" s="3">
        <v>20</v>
      </c>
      <c r="F2667" s="3">
        <v>20</v>
      </c>
      <c r="G2667" s="4">
        <v>42339</v>
      </c>
    </row>
    <row r="2668" spans="2:7">
      <c r="C2668" s="2" t="s">
        <v>18</v>
      </c>
      <c r="D2668" s="2" t="s">
        <v>239</v>
      </c>
      <c r="E2668" s="3">
        <v>100</v>
      </c>
      <c r="F2668" s="3">
        <v>20</v>
      </c>
      <c r="G2668" s="4">
        <v>42735</v>
      </c>
    </row>
    <row r="2669" spans="2:7">
      <c r="C2669" s="2" t="s">
        <v>7</v>
      </c>
      <c r="D2669" s="2" t="s">
        <v>239</v>
      </c>
      <c r="E2669" s="3">
        <v>22</v>
      </c>
      <c r="F2669" s="3">
        <v>14</v>
      </c>
      <c r="G2669" s="4">
        <v>41821</v>
      </c>
    </row>
    <row r="2670" spans="2:7">
      <c r="G2670" s="4"/>
    </row>
    <row r="2671" spans="2:7">
      <c r="B2671" s="1" t="s">
        <v>251</v>
      </c>
      <c r="C2671" s="2" t="s">
        <v>8</v>
      </c>
      <c r="D2671" s="2" t="s">
        <v>239</v>
      </c>
      <c r="E2671" s="3">
        <v>750</v>
      </c>
      <c r="F2671" s="3">
        <f>450/4</f>
        <v>112.5</v>
      </c>
      <c r="G2671" s="4">
        <v>43593</v>
      </c>
    </row>
    <row r="2672" spans="2:7">
      <c r="B2672" s="1" t="s">
        <v>250</v>
      </c>
      <c r="C2672" s="2" t="s">
        <v>8</v>
      </c>
      <c r="D2672" s="2" t="s">
        <v>239</v>
      </c>
      <c r="E2672" s="3">
        <v>750</v>
      </c>
      <c r="F2672" s="3">
        <v>300</v>
      </c>
      <c r="G2672" s="4">
        <v>43593</v>
      </c>
    </row>
    <row r="2673" spans="2:7">
      <c r="G2673" s="4"/>
    </row>
    <row r="2674" spans="2:7">
      <c r="B2674" s="1" t="s">
        <v>249</v>
      </c>
      <c r="C2674" s="2" t="s">
        <v>8</v>
      </c>
      <c r="D2674" s="2" t="s">
        <v>239</v>
      </c>
      <c r="E2674" s="3">
        <v>750</v>
      </c>
      <c r="F2674" s="3">
        <f>450/4</f>
        <v>112.5</v>
      </c>
      <c r="G2674" s="4">
        <v>43593</v>
      </c>
    </row>
    <row r="2675" spans="2:7">
      <c r="C2675" s="2" t="s">
        <v>18</v>
      </c>
      <c r="D2675" s="2" t="s">
        <v>239</v>
      </c>
      <c r="E2675" s="3">
        <v>460</v>
      </c>
      <c r="F2675" s="3">
        <v>150</v>
      </c>
      <c r="G2675" s="4">
        <v>43040</v>
      </c>
    </row>
    <row r="2676" spans="2:7">
      <c r="C2676" s="2" t="s">
        <v>7</v>
      </c>
      <c r="D2676" s="2" t="s">
        <v>66</v>
      </c>
      <c r="E2676" s="3">
        <f>1600/7</f>
        <v>228.57142857142858</v>
      </c>
      <c r="F2676" s="3">
        <v>40</v>
      </c>
      <c r="G2676" s="4">
        <v>44550</v>
      </c>
    </row>
    <row r="2677" spans="2:7">
      <c r="G2677" s="4"/>
    </row>
    <row r="2678" spans="2:7">
      <c r="B2678" s="1" t="s">
        <v>248</v>
      </c>
      <c r="C2678" s="2" t="s">
        <v>8</v>
      </c>
      <c r="D2678" s="2" t="s">
        <v>239</v>
      </c>
      <c r="E2678" s="3">
        <v>750</v>
      </c>
      <c r="F2678" s="3">
        <f>450/4</f>
        <v>112.5</v>
      </c>
      <c r="G2678" s="4">
        <v>43593</v>
      </c>
    </row>
    <row r="2679" spans="2:7">
      <c r="C2679" s="2" t="s">
        <v>55</v>
      </c>
      <c r="D2679" s="2" t="s">
        <v>247</v>
      </c>
      <c r="E2679" s="3">
        <v>250</v>
      </c>
      <c r="F2679" s="3">
        <v>50</v>
      </c>
      <c r="G2679" s="4">
        <v>44510</v>
      </c>
    </row>
    <row r="2680" spans="2:7">
      <c r="G2680" s="4"/>
    </row>
    <row r="2681" spans="2:7">
      <c r="B2681" s="1" t="s">
        <v>246</v>
      </c>
      <c r="C2681" s="2" t="s">
        <v>18</v>
      </c>
      <c r="D2681" s="2" t="s">
        <v>239</v>
      </c>
      <c r="E2681" s="3">
        <v>460</v>
      </c>
      <c r="F2681" s="3">
        <v>150</v>
      </c>
      <c r="G2681" s="4">
        <v>43040</v>
      </c>
    </row>
    <row r="2682" spans="2:7">
      <c r="C2682" s="2" t="s">
        <v>18</v>
      </c>
      <c r="D2682" s="2" t="s">
        <v>239</v>
      </c>
      <c r="E2682" s="3">
        <v>100</v>
      </c>
      <c r="F2682" s="3">
        <v>20</v>
      </c>
      <c r="G2682" s="4">
        <v>42735</v>
      </c>
    </row>
    <row r="2683" spans="2:7">
      <c r="B2683" s="1" t="s">
        <v>245</v>
      </c>
      <c r="C2683" s="2" t="s">
        <v>18</v>
      </c>
      <c r="D2683" s="2" t="s">
        <v>239</v>
      </c>
      <c r="E2683" s="3">
        <v>460</v>
      </c>
      <c r="F2683" s="3">
        <f>160/4</f>
        <v>40</v>
      </c>
      <c r="G2683" s="4">
        <v>43040</v>
      </c>
    </row>
    <row r="2684" spans="2:7">
      <c r="B2684" s="1" t="s">
        <v>244</v>
      </c>
      <c r="C2684" s="2" t="s">
        <v>18</v>
      </c>
      <c r="D2684" s="2" t="s">
        <v>239</v>
      </c>
      <c r="E2684" s="3">
        <v>460</v>
      </c>
      <c r="F2684" s="3">
        <f>160/4</f>
        <v>40</v>
      </c>
      <c r="G2684" s="4">
        <v>43040</v>
      </c>
    </row>
    <row r="2685" spans="2:7">
      <c r="B2685" s="1" t="s">
        <v>243</v>
      </c>
      <c r="C2685" s="2" t="s">
        <v>18</v>
      </c>
      <c r="D2685" s="2" t="s">
        <v>239</v>
      </c>
      <c r="E2685" s="3">
        <v>460</v>
      </c>
      <c r="F2685" s="3">
        <f>160/4</f>
        <v>40</v>
      </c>
      <c r="G2685" s="4">
        <v>43040</v>
      </c>
    </row>
    <row r="2686" spans="2:7">
      <c r="C2686" s="2" t="s">
        <v>8</v>
      </c>
      <c r="D2686" s="2" t="s">
        <v>218</v>
      </c>
      <c r="E2686" s="3">
        <v>700</v>
      </c>
      <c r="F2686" s="3">
        <f>400/12</f>
        <v>33.333333333333336</v>
      </c>
      <c r="G2686" s="4">
        <v>44218</v>
      </c>
    </row>
    <row r="2687" spans="2:7">
      <c r="C2687" s="2" t="s">
        <v>18</v>
      </c>
      <c r="D2687" s="2" t="s">
        <v>218</v>
      </c>
      <c r="E2687" s="3">
        <v>140</v>
      </c>
      <c r="F2687" s="3">
        <f>E2687/9</f>
        <v>15.555555555555555</v>
      </c>
      <c r="G2687" s="4">
        <v>43453</v>
      </c>
    </row>
    <row r="2688" spans="2:7">
      <c r="B2688" s="1" t="s">
        <v>242</v>
      </c>
      <c r="C2688" s="2" t="s">
        <v>18</v>
      </c>
      <c r="D2688" s="2" t="s">
        <v>239</v>
      </c>
      <c r="E2688" s="3">
        <v>100</v>
      </c>
      <c r="F2688" s="3">
        <v>40</v>
      </c>
      <c r="G2688" s="4">
        <v>42735</v>
      </c>
    </row>
    <row r="2689" spans="2:7">
      <c r="B2689" s="1" t="s">
        <v>241</v>
      </c>
      <c r="C2689" s="2" t="s">
        <v>18</v>
      </c>
      <c r="D2689" s="2" t="s">
        <v>239</v>
      </c>
      <c r="E2689" s="3">
        <v>100</v>
      </c>
      <c r="F2689" s="3">
        <v>20</v>
      </c>
      <c r="G2689" s="4">
        <v>42735</v>
      </c>
    </row>
    <row r="2690" spans="2:7">
      <c r="C2690" s="2" t="s">
        <v>7</v>
      </c>
      <c r="D2690" s="2" t="s">
        <v>239</v>
      </c>
      <c r="E2690" s="3">
        <v>22</v>
      </c>
      <c r="F2690" s="3">
        <v>8</v>
      </c>
      <c r="G2690" s="4">
        <v>41821</v>
      </c>
    </row>
    <row r="2691" spans="2:7">
      <c r="C2691" s="2" t="s">
        <v>7</v>
      </c>
      <c r="D2691" s="2" t="s">
        <v>203</v>
      </c>
      <c r="E2691" s="3">
        <v>46</v>
      </c>
      <c r="F2691" s="3">
        <v>6</v>
      </c>
      <c r="G2691" s="4">
        <v>42941</v>
      </c>
    </row>
    <row r="2692" spans="2:7">
      <c r="C2692" s="2" t="s">
        <v>5</v>
      </c>
      <c r="D2692" s="2" t="s">
        <v>203</v>
      </c>
      <c r="E2692" s="3">
        <v>5</v>
      </c>
      <c r="F2692" s="3">
        <f>E2692/3</f>
        <v>1.6666666666666667</v>
      </c>
      <c r="G2692" s="4">
        <v>42688</v>
      </c>
    </row>
    <row r="2693" spans="2:7">
      <c r="B2693" s="1" t="s">
        <v>240</v>
      </c>
      <c r="C2693" s="2" t="s">
        <v>18</v>
      </c>
      <c r="D2693" s="2" t="s">
        <v>239</v>
      </c>
      <c r="E2693" s="3">
        <v>100</v>
      </c>
      <c r="F2693" s="3">
        <v>20</v>
      </c>
      <c r="G2693" s="4">
        <v>42735</v>
      </c>
    </row>
    <row r="2694" spans="2:7">
      <c r="C2694" s="2" t="s">
        <v>7</v>
      </c>
      <c r="D2694" s="2" t="s">
        <v>203</v>
      </c>
      <c r="E2694" s="3">
        <v>120</v>
      </c>
      <c r="F2694" s="3">
        <v>10</v>
      </c>
      <c r="G2694" s="4">
        <v>43391</v>
      </c>
    </row>
    <row r="2695" spans="2:7">
      <c r="G2695" s="4"/>
    </row>
    <row r="2696" spans="2:7">
      <c r="B2696" s="1" t="s">
        <v>238</v>
      </c>
      <c r="C2696" s="2" t="s">
        <v>8</v>
      </c>
      <c r="D2696" s="2" t="s">
        <v>218</v>
      </c>
      <c r="E2696" s="3">
        <v>700</v>
      </c>
      <c r="F2696" s="3">
        <v>100</v>
      </c>
      <c r="G2696" s="4">
        <v>44218</v>
      </c>
    </row>
    <row r="2697" spans="2:7">
      <c r="C2697" s="2" t="s">
        <v>18</v>
      </c>
      <c r="D2697" s="2" t="s">
        <v>82</v>
      </c>
      <c r="E2697" s="3">
        <v>257</v>
      </c>
      <c r="F2697" s="3">
        <v>50</v>
      </c>
      <c r="G2697" s="4">
        <v>44201</v>
      </c>
    </row>
    <row r="2698" spans="2:7">
      <c r="G2698" s="4"/>
    </row>
    <row r="2699" spans="2:7">
      <c r="B2699" s="1" t="s">
        <v>237</v>
      </c>
      <c r="C2699" s="2" t="s">
        <v>8</v>
      </c>
      <c r="D2699" s="2" t="s">
        <v>218</v>
      </c>
      <c r="E2699" s="3">
        <v>700</v>
      </c>
      <c r="F2699" s="3">
        <v>100</v>
      </c>
      <c r="G2699" s="4">
        <v>44218</v>
      </c>
    </row>
    <row r="2700" spans="2:7">
      <c r="B2700" s="1" t="s">
        <v>236</v>
      </c>
      <c r="C2700" s="2" t="s">
        <v>8</v>
      </c>
      <c r="D2700" s="2" t="s">
        <v>218</v>
      </c>
      <c r="E2700" s="3">
        <v>700</v>
      </c>
      <c r="F2700" s="3">
        <v>100</v>
      </c>
      <c r="G2700" s="4">
        <v>44218</v>
      </c>
    </row>
    <row r="2701" spans="2:7">
      <c r="B2701" s="1" t="s">
        <v>235</v>
      </c>
      <c r="C2701" s="2" t="s">
        <v>8</v>
      </c>
      <c r="D2701" s="2" t="s">
        <v>218</v>
      </c>
      <c r="E2701" s="3">
        <v>700</v>
      </c>
      <c r="F2701" s="3">
        <f t="shared" ref="F2701:F2711" si="2">400/12</f>
        <v>33.333333333333336</v>
      </c>
      <c r="G2701" s="4">
        <v>44218</v>
      </c>
    </row>
    <row r="2702" spans="2:7">
      <c r="B2702" s="1" t="s">
        <v>234</v>
      </c>
      <c r="C2702" s="2" t="s">
        <v>8</v>
      </c>
      <c r="D2702" s="2" t="s">
        <v>218</v>
      </c>
      <c r="E2702" s="3">
        <v>700</v>
      </c>
      <c r="F2702" s="3">
        <f t="shared" si="2"/>
        <v>33.333333333333336</v>
      </c>
      <c r="G2702" s="4">
        <v>44218</v>
      </c>
    </row>
    <row r="2703" spans="2:7">
      <c r="B2703" s="1" t="s">
        <v>233</v>
      </c>
      <c r="C2703" s="2" t="s">
        <v>8</v>
      </c>
      <c r="D2703" s="2" t="s">
        <v>218</v>
      </c>
      <c r="E2703" s="3">
        <v>700</v>
      </c>
      <c r="F2703" s="3">
        <f t="shared" si="2"/>
        <v>33.333333333333336</v>
      </c>
      <c r="G2703" s="4">
        <v>44218</v>
      </c>
    </row>
    <row r="2704" spans="2:7">
      <c r="G2704" s="4"/>
    </row>
    <row r="2705" spans="2:7">
      <c r="B2705" s="1" t="s">
        <v>232</v>
      </c>
      <c r="C2705" s="2" t="s">
        <v>8</v>
      </c>
      <c r="D2705" s="2" t="s">
        <v>218</v>
      </c>
      <c r="E2705" s="3">
        <v>700</v>
      </c>
      <c r="F2705" s="3">
        <f t="shared" si="2"/>
        <v>33.333333333333336</v>
      </c>
      <c r="G2705" s="4">
        <v>44218</v>
      </c>
    </row>
    <row r="2706" spans="2:7">
      <c r="C2706" s="2" t="s">
        <v>8</v>
      </c>
      <c r="D2706" s="2" t="s">
        <v>2186</v>
      </c>
      <c r="E2706" s="3">
        <v>220</v>
      </c>
      <c r="F2706" s="3">
        <v>40</v>
      </c>
      <c r="G2706" s="4">
        <v>44287</v>
      </c>
    </row>
    <row r="2707" spans="2:7">
      <c r="G2707" s="4"/>
    </row>
    <row r="2708" spans="2:7">
      <c r="G2708" s="4"/>
    </row>
    <row r="2709" spans="2:7">
      <c r="B2709" s="1" t="s">
        <v>231</v>
      </c>
      <c r="C2709" s="2" t="s">
        <v>8</v>
      </c>
      <c r="D2709" s="2" t="s">
        <v>218</v>
      </c>
      <c r="E2709" s="3">
        <v>700</v>
      </c>
      <c r="F2709" s="3">
        <f t="shared" si="2"/>
        <v>33.333333333333336</v>
      </c>
      <c r="G2709" s="4">
        <v>44218</v>
      </c>
    </row>
    <row r="2710" spans="2:7">
      <c r="B2710" s="1" t="s">
        <v>230</v>
      </c>
      <c r="C2710" s="2" t="s">
        <v>8</v>
      </c>
      <c r="D2710" s="2" t="s">
        <v>218</v>
      </c>
      <c r="E2710" s="3">
        <v>700</v>
      </c>
      <c r="F2710" s="3">
        <f t="shared" si="2"/>
        <v>33.333333333333336</v>
      </c>
      <c r="G2710" s="4">
        <v>44218</v>
      </c>
    </row>
    <row r="2711" spans="2:7">
      <c r="B2711" s="1" t="s">
        <v>229</v>
      </c>
      <c r="C2711" s="2" t="s">
        <v>8</v>
      </c>
      <c r="D2711" s="2" t="s">
        <v>218</v>
      </c>
      <c r="E2711" s="3">
        <v>700</v>
      </c>
      <c r="F2711" s="3">
        <f t="shared" si="2"/>
        <v>33.333333333333336</v>
      </c>
      <c r="G2711" s="4">
        <v>44218</v>
      </c>
    </row>
    <row r="2712" spans="2:7">
      <c r="B2712" s="1" t="s">
        <v>228</v>
      </c>
      <c r="C2712" s="2" t="s">
        <v>18</v>
      </c>
      <c r="D2712" s="2" t="s">
        <v>218</v>
      </c>
      <c r="E2712" s="3">
        <v>230</v>
      </c>
      <c r="F2712" s="3">
        <f>E2712/6</f>
        <v>38.333333333333336</v>
      </c>
      <c r="G2712" s="4">
        <v>43923</v>
      </c>
    </row>
    <row r="2713" spans="2:7">
      <c r="B2713" s="1" t="s">
        <v>227</v>
      </c>
      <c r="C2713" s="2" t="s">
        <v>18</v>
      </c>
      <c r="D2713" s="2" t="s">
        <v>218</v>
      </c>
      <c r="E2713" s="3">
        <v>230</v>
      </c>
      <c r="F2713" s="3">
        <f>E2713/6</f>
        <v>38.333333333333336</v>
      </c>
      <c r="G2713" s="4">
        <v>43923</v>
      </c>
    </row>
    <row r="2714" spans="2:7">
      <c r="C2714" s="2" t="s">
        <v>7</v>
      </c>
      <c r="D2714" s="2" t="s">
        <v>66</v>
      </c>
      <c r="E2714" s="3">
        <f>1600/7</f>
        <v>228.57142857142858</v>
      </c>
      <c r="F2714" s="3">
        <f>149/6</f>
        <v>24.833333333333332</v>
      </c>
      <c r="G2714" s="4">
        <v>44550</v>
      </c>
    </row>
    <row r="2715" spans="2:7">
      <c r="G2715" s="4"/>
    </row>
    <row r="2716" spans="2:7">
      <c r="G2716" s="4"/>
    </row>
    <row r="2717" spans="2:7">
      <c r="B2717" s="1" t="s">
        <v>226</v>
      </c>
      <c r="C2717" s="2" t="s">
        <v>18</v>
      </c>
      <c r="D2717" s="2" t="s">
        <v>218</v>
      </c>
      <c r="E2717" s="3">
        <v>230</v>
      </c>
      <c r="F2717" s="3">
        <f>E2717/6</f>
        <v>38.333333333333336</v>
      </c>
      <c r="G2717" s="4">
        <v>43923</v>
      </c>
    </row>
    <row r="2718" spans="2:7">
      <c r="B2718" s="1" t="s">
        <v>225</v>
      </c>
      <c r="C2718" s="2" t="s">
        <v>18</v>
      </c>
      <c r="D2718" s="2" t="s">
        <v>218</v>
      </c>
      <c r="E2718" s="3">
        <v>140</v>
      </c>
      <c r="F2718" s="3">
        <f t="shared" ref="F2718:F2724" si="3">E2718/9</f>
        <v>15.555555555555555</v>
      </c>
      <c r="G2718" s="4">
        <v>43453</v>
      </c>
    </row>
    <row r="2719" spans="2:7">
      <c r="B2719" s="1" t="s">
        <v>224</v>
      </c>
      <c r="C2719" s="2" t="s">
        <v>18</v>
      </c>
      <c r="D2719" s="2" t="s">
        <v>218</v>
      </c>
      <c r="E2719" s="3">
        <v>140</v>
      </c>
      <c r="F2719" s="3">
        <f t="shared" si="3"/>
        <v>15.555555555555555</v>
      </c>
      <c r="G2719" s="4">
        <v>43453</v>
      </c>
    </row>
    <row r="2720" spans="2:7">
      <c r="B2720" s="1" t="s">
        <v>223</v>
      </c>
      <c r="C2720" s="2" t="s">
        <v>18</v>
      </c>
      <c r="D2720" s="2" t="s">
        <v>218</v>
      </c>
      <c r="E2720" s="3">
        <v>140</v>
      </c>
      <c r="F2720" s="3">
        <f t="shared" si="3"/>
        <v>15.555555555555555</v>
      </c>
      <c r="G2720" s="4">
        <v>43453</v>
      </c>
    </row>
    <row r="2721" spans="2:10">
      <c r="B2721" s="1" t="s">
        <v>222</v>
      </c>
      <c r="C2721" s="2" t="s">
        <v>18</v>
      </c>
      <c r="D2721" s="2" t="s">
        <v>218</v>
      </c>
      <c r="E2721" s="3">
        <v>140</v>
      </c>
      <c r="F2721" s="3">
        <f t="shared" si="3"/>
        <v>15.555555555555555</v>
      </c>
      <c r="G2721" s="4">
        <v>43453</v>
      </c>
    </row>
    <row r="2722" spans="2:10">
      <c r="B2722" s="1" t="s">
        <v>221</v>
      </c>
      <c r="C2722" s="2" t="s">
        <v>18</v>
      </c>
      <c r="D2722" s="2" t="s">
        <v>218</v>
      </c>
      <c r="E2722" s="3">
        <v>140</v>
      </c>
      <c r="F2722" s="3">
        <f t="shared" si="3"/>
        <v>15.555555555555555</v>
      </c>
      <c r="G2722" s="4">
        <v>43453</v>
      </c>
    </row>
    <row r="2723" spans="2:10">
      <c r="B2723" s="1" t="s">
        <v>220</v>
      </c>
      <c r="C2723" s="2" t="s">
        <v>18</v>
      </c>
      <c r="D2723" s="2" t="s">
        <v>218</v>
      </c>
      <c r="E2723" s="3">
        <v>140</v>
      </c>
      <c r="F2723" s="3">
        <f t="shared" si="3"/>
        <v>15.555555555555555</v>
      </c>
      <c r="G2723" s="4">
        <v>43453</v>
      </c>
    </row>
    <row r="2724" spans="2:10">
      <c r="B2724" s="1" t="s">
        <v>219</v>
      </c>
      <c r="C2724" s="2" t="s">
        <v>18</v>
      </c>
      <c r="D2724" s="2" t="s">
        <v>218</v>
      </c>
      <c r="E2724" s="3">
        <v>140</v>
      </c>
      <c r="F2724" s="3">
        <f t="shared" si="3"/>
        <v>15.555555555555555</v>
      </c>
      <c r="G2724" s="4">
        <v>43453</v>
      </c>
    </row>
    <row r="2725" spans="2:10">
      <c r="G2725" s="4"/>
    </row>
    <row r="2726" spans="2:10">
      <c r="B2726" s="1" t="s">
        <v>217</v>
      </c>
      <c r="C2726" s="2" t="s">
        <v>8</v>
      </c>
      <c r="D2726" s="2" t="s">
        <v>215</v>
      </c>
      <c r="E2726" s="3">
        <v>676</v>
      </c>
      <c r="F2726" s="3">
        <f>500/7</f>
        <v>71.428571428571431</v>
      </c>
      <c r="G2726" s="4">
        <v>44299</v>
      </c>
      <c r="I2726" s="1">
        <v>4400</v>
      </c>
      <c r="J2726" s="1">
        <v>4400</v>
      </c>
    </row>
    <row r="2727" spans="2:10">
      <c r="C2727" s="2" t="s">
        <v>55</v>
      </c>
      <c r="D2727" s="2" t="s">
        <v>49</v>
      </c>
      <c r="E2727" s="3">
        <v>100</v>
      </c>
      <c r="F2727" s="3">
        <v>11</v>
      </c>
      <c r="G2727" s="4">
        <v>44515</v>
      </c>
      <c r="I2727" s="1">
        <v>4100</v>
      </c>
      <c r="J2727" s="1">
        <v>4100</v>
      </c>
    </row>
    <row r="2728" spans="2:10">
      <c r="G2728" s="4"/>
    </row>
    <row r="2729" spans="2:10">
      <c r="B2729" s="1" t="s">
        <v>216</v>
      </c>
      <c r="C2729" s="2" t="s">
        <v>18</v>
      </c>
      <c r="D2729" s="2" t="s">
        <v>215</v>
      </c>
      <c r="E2729" s="3">
        <v>250</v>
      </c>
      <c r="F2729" s="3">
        <f>170/5</f>
        <v>34</v>
      </c>
      <c r="G2729" s="4">
        <v>43886</v>
      </c>
      <c r="I2729" s="1">
        <v>2300</v>
      </c>
      <c r="J2729" s="1">
        <v>2300</v>
      </c>
    </row>
    <row r="2730" spans="2:10">
      <c r="C2730" s="2" t="s">
        <v>7</v>
      </c>
      <c r="D2730" s="2" t="s">
        <v>215</v>
      </c>
      <c r="E2730" s="3">
        <v>150</v>
      </c>
      <c r="F2730" s="3">
        <v>20</v>
      </c>
      <c r="G2730" s="4">
        <v>43556</v>
      </c>
    </row>
    <row r="2731" spans="2:10">
      <c r="C2731" s="2" t="s">
        <v>5</v>
      </c>
      <c r="D2731" s="2" t="s">
        <v>215</v>
      </c>
      <c r="E2731" s="3">
        <v>56</v>
      </c>
      <c r="F2731" s="3">
        <f>26/2</f>
        <v>13</v>
      </c>
      <c r="G2731" s="4">
        <v>43174</v>
      </c>
    </row>
    <row r="2732" spans="2:10">
      <c r="B2732" s="1" t="s">
        <v>214</v>
      </c>
      <c r="C2732" s="2" t="s">
        <v>18</v>
      </c>
      <c r="D2732" s="2" t="s">
        <v>203</v>
      </c>
      <c r="E2732" s="3">
        <v>500</v>
      </c>
      <c r="F2732" s="3">
        <v>100</v>
      </c>
      <c r="G2732" s="4">
        <v>44274</v>
      </c>
    </row>
    <row r="2733" spans="2:10">
      <c r="C2733" s="2" t="s">
        <v>8</v>
      </c>
      <c r="D2733" s="2" t="s">
        <v>2186</v>
      </c>
      <c r="E2733" s="3">
        <v>200</v>
      </c>
      <c r="F2733" s="3">
        <v>20</v>
      </c>
      <c r="G2733" s="4">
        <v>44237</v>
      </c>
    </row>
    <row r="2734" spans="2:10">
      <c r="B2734" s="1" t="s">
        <v>4513</v>
      </c>
      <c r="C2734" s="2" t="s">
        <v>8</v>
      </c>
      <c r="D2734" s="2" t="s">
        <v>2186</v>
      </c>
      <c r="E2734" s="3">
        <v>220</v>
      </c>
      <c r="F2734" s="3">
        <v>20</v>
      </c>
      <c r="G2734" s="4">
        <v>44287</v>
      </c>
    </row>
    <row r="2735" spans="2:10">
      <c r="G2735" s="4"/>
    </row>
    <row r="2736" spans="2:10">
      <c r="B2736" s="1" t="s">
        <v>213</v>
      </c>
      <c r="C2736" s="2" t="s">
        <v>18</v>
      </c>
      <c r="D2736" s="2" t="s">
        <v>203</v>
      </c>
      <c r="E2736" s="3">
        <v>500</v>
      </c>
      <c r="F2736" s="3">
        <f>200/9</f>
        <v>22.222222222222221</v>
      </c>
      <c r="G2736" s="4">
        <v>44274</v>
      </c>
    </row>
    <row r="2737" spans="2:7">
      <c r="G2737" s="4"/>
    </row>
    <row r="2738" spans="2:7">
      <c r="B2738" s="1" t="s">
        <v>212</v>
      </c>
      <c r="C2738" s="2" t="s">
        <v>18</v>
      </c>
      <c r="D2738" s="2" t="s">
        <v>203</v>
      </c>
      <c r="E2738" s="3">
        <v>500</v>
      </c>
      <c r="F2738" s="3">
        <f>200/9</f>
        <v>22.222222222222221</v>
      </c>
      <c r="G2738" s="4">
        <v>44274</v>
      </c>
    </row>
    <row r="2739" spans="2:7">
      <c r="C2739" s="2" t="s">
        <v>7</v>
      </c>
      <c r="D2739" s="2" t="s">
        <v>203</v>
      </c>
      <c r="E2739" s="3">
        <v>46</v>
      </c>
      <c r="F2739" s="3">
        <v>6</v>
      </c>
      <c r="G2739" s="4">
        <v>42941</v>
      </c>
    </row>
    <row r="2740" spans="2:7">
      <c r="B2740" s="1" t="s">
        <v>211</v>
      </c>
      <c r="C2740" s="2" t="s">
        <v>18</v>
      </c>
      <c r="D2740" s="2" t="s">
        <v>203</v>
      </c>
      <c r="E2740" s="3">
        <v>300</v>
      </c>
      <c r="F2740" s="3">
        <v>300</v>
      </c>
      <c r="G2740" s="4">
        <v>44462</v>
      </c>
    </row>
    <row r="2741" spans="2:7">
      <c r="B2741" s="1" t="s">
        <v>210</v>
      </c>
      <c r="C2741" s="2" t="s">
        <v>18</v>
      </c>
      <c r="D2741" s="2" t="s">
        <v>203</v>
      </c>
      <c r="E2741" s="3">
        <v>200</v>
      </c>
      <c r="F2741" s="3">
        <v>200</v>
      </c>
      <c r="G2741" s="4">
        <v>44504</v>
      </c>
    </row>
    <row r="2742" spans="2:7">
      <c r="C2742" s="2" t="s">
        <v>5</v>
      </c>
      <c r="D2742" s="2" t="s">
        <v>166</v>
      </c>
      <c r="E2742" s="3">
        <v>112</v>
      </c>
      <c r="F2742" s="3">
        <v>9</v>
      </c>
      <c r="G2742" s="4">
        <v>43115</v>
      </c>
    </row>
    <row r="2743" spans="2:7">
      <c r="G2743" s="4"/>
    </row>
    <row r="2744" spans="2:7">
      <c r="B2744" s="1" t="s">
        <v>209</v>
      </c>
      <c r="C2744" s="2" t="s">
        <v>7</v>
      </c>
      <c r="D2744" s="2" t="s">
        <v>203</v>
      </c>
      <c r="E2744" s="3">
        <v>120</v>
      </c>
      <c r="F2744" s="3">
        <v>30</v>
      </c>
      <c r="G2744" s="4">
        <v>43391</v>
      </c>
    </row>
    <row r="2745" spans="2:7">
      <c r="B2745" s="1" t="s">
        <v>208</v>
      </c>
      <c r="C2745" s="2" t="s">
        <v>7</v>
      </c>
      <c r="D2745" s="2" t="s">
        <v>203</v>
      </c>
      <c r="E2745" s="3">
        <v>120</v>
      </c>
      <c r="F2745" s="3">
        <v>30</v>
      </c>
      <c r="G2745" s="4">
        <v>43391</v>
      </c>
    </row>
    <row r="2746" spans="2:7">
      <c r="C2746" s="2" t="s">
        <v>7</v>
      </c>
      <c r="D2746" s="2" t="s">
        <v>203</v>
      </c>
      <c r="E2746" s="3">
        <v>46</v>
      </c>
      <c r="F2746" s="3">
        <v>16</v>
      </c>
      <c r="G2746" s="4">
        <v>42941</v>
      </c>
    </row>
    <row r="2747" spans="2:7">
      <c r="B2747" s="1" t="s">
        <v>207</v>
      </c>
      <c r="C2747" s="2" t="s">
        <v>7</v>
      </c>
      <c r="D2747" s="2" t="s">
        <v>203</v>
      </c>
      <c r="E2747" s="3">
        <v>120</v>
      </c>
      <c r="F2747" s="3">
        <v>30</v>
      </c>
      <c r="G2747" s="4">
        <v>43391</v>
      </c>
    </row>
    <row r="2748" spans="2:7">
      <c r="B2748" s="1" t="s">
        <v>206</v>
      </c>
      <c r="C2748" s="2" t="s">
        <v>7</v>
      </c>
      <c r="D2748" s="2" t="s">
        <v>203</v>
      </c>
      <c r="E2748" s="3">
        <v>120</v>
      </c>
      <c r="F2748" s="3">
        <v>30</v>
      </c>
      <c r="G2748" s="4">
        <v>43391</v>
      </c>
    </row>
    <row r="2749" spans="2:7">
      <c r="C2749" s="2" t="s">
        <v>5</v>
      </c>
      <c r="D2749" s="2" t="s">
        <v>166</v>
      </c>
      <c r="E2749" s="3">
        <v>102</v>
      </c>
      <c r="F2749" s="3">
        <v>8</v>
      </c>
      <c r="G2749" s="4">
        <v>43292</v>
      </c>
    </row>
    <row r="2750" spans="2:7">
      <c r="G2750" s="4"/>
    </row>
    <row r="2751" spans="2:7">
      <c r="B2751" s="1" t="s">
        <v>205</v>
      </c>
      <c r="C2751" s="2" t="s">
        <v>7</v>
      </c>
      <c r="D2751" s="2" t="s">
        <v>203</v>
      </c>
      <c r="E2751" s="3">
        <v>46</v>
      </c>
      <c r="F2751" s="3">
        <f>30/5</f>
        <v>6</v>
      </c>
      <c r="G2751" s="4">
        <v>42941</v>
      </c>
    </row>
    <row r="2752" spans="2:7">
      <c r="B2752" s="1" t="s">
        <v>204</v>
      </c>
      <c r="C2752" s="2" t="s">
        <v>5</v>
      </c>
      <c r="D2752" s="2" t="s">
        <v>203</v>
      </c>
      <c r="E2752" s="3">
        <v>5</v>
      </c>
      <c r="F2752" s="3">
        <f>E2752/3</f>
        <v>1.6666666666666667</v>
      </c>
      <c r="G2752" s="4">
        <v>42688</v>
      </c>
    </row>
    <row r="2753" spans="2:9">
      <c r="B2753" s="1" t="s">
        <v>202</v>
      </c>
      <c r="C2753" s="2" t="s">
        <v>55</v>
      </c>
      <c r="D2753" s="2" t="s">
        <v>181</v>
      </c>
      <c r="E2753" s="3">
        <v>475</v>
      </c>
      <c r="F2753" s="3">
        <f>E2753/12</f>
        <v>39.583333333333336</v>
      </c>
      <c r="G2753" s="4">
        <v>44278</v>
      </c>
    </row>
    <row r="2754" spans="2:9">
      <c r="B2754" s="1" t="s">
        <v>201</v>
      </c>
      <c r="C2754" s="2" t="s">
        <v>55</v>
      </c>
      <c r="D2754" s="2" t="s">
        <v>181</v>
      </c>
      <c r="E2754" s="3">
        <v>475</v>
      </c>
      <c r="F2754" s="3">
        <f>E2754/12</f>
        <v>39.583333333333336</v>
      </c>
      <c r="G2754" s="4">
        <v>44278</v>
      </c>
    </row>
    <row r="2755" spans="2:9">
      <c r="B2755" s="1" t="s">
        <v>200</v>
      </c>
      <c r="C2755" s="2" t="s">
        <v>55</v>
      </c>
      <c r="D2755" s="2" t="s">
        <v>181</v>
      </c>
      <c r="E2755" s="3">
        <v>475</v>
      </c>
      <c r="F2755" s="3">
        <f>E2755/12</f>
        <v>39.583333333333336</v>
      </c>
      <c r="G2755" s="4">
        <v>44278</v>
      </c>
    </row>
    <row r="2756" spans="2:9">
      <c r="B2756" s="1" t="s">
        <v>199</v>
      </c>
      <c r="C2756" s="2" t="s">
        <v>55</v>
      </c>
      <c r="D2756" s="2" t="s">
        <v>181</v>
      </c>
      <c r="E2756" s="3">
        <v>475</v>
      </c>
      <c r="F2756" s="3">
        <f>E2756/12</f>
        <v>39.583333333333336</v>
      </c>
      <c r="G2756" s="4">
        <v>44278</v>
      </c>
    </row>
    <row r="2757" spans="2:9">
      <c r="G2757" s="4"/>
    </row>
    <row r="2758" spans="2:9">
      <c r="B2758" s="1" t="s">
        <v>198</v>
      </c>
      <c r="C2758" s="2" t="s">
        <v>55</v>
      </c>
      <c r="D2758" s="2" t="s">
        <v>181</v>
      </c>
      <c r="E2758" s="3">
        <v>475</v>
      </c>
      <c r="F2758" s="3">
        <f>E2758/12</f>
        <v>39.583333333333336</v>
      </c>
      <c r="G2758" s="4">
        <v>44278</v>
      </c>
    </row>
    <row r="2759" spans="2:9">
      <c r="C2759" s="2" t="s">
        <v>18</v>
      </c>
      <c r="D2759" s="2" t="s">
        <v>197</v>
      </c>
      <c r="E2759" s="3">
        <v>235</v>
      </c>
      <c r="F2759" s="3">
        <v>75</v>
      </c>
      <c r="G2759" s="4">
        <v>44384</v>
      </c>
    </row>
    <row r="2760" spans="2:9">
      <c r="C2760" s="2" t="s">
        <v>7</v>
      </c>
      <c r="D2760" s="2" t="s">
        <v>197</v>
      </c>
      <c r="E2760" s="3">
        <v>43</v>
      </c>
      <c r="F2760" s="3">
        <f>+E2760/5</f>
        <v>8.6</v>
      </c>
      <c r="G2760" s="4">
        <v>44077</v>
      </c>
    </row>
    <row r="2761" spans="2:9">
      <c r="C2761" s="2" t="s">
        <v>5</v>
      </c>
      <c r="D2761" s="2" t="s">
        <v>197</v>
      </c>
      <c r="E2761" s="3">
        <v>28</v>
      </c>
      <c r="F2761" s="3">
        <v>8</v>
      </c>
      <c r="G2761" s="4">
        <v>43301</v>
      </c>
    </row>
    <row r="2762" spans="2:9">
      <c r="G2762" s="4"/>
    </row>
    <row r="2763" spans="2:9">
      <c r="B2763" s="1" t="s">
        <v>196</v>
      </c>
      <c r="C2763" s="2" t="s">
        <v>55</v>
      </c>
      <c r="D2763" s="2" t="s">
        <v>181</v>
      </c>
      <c r="E2763" s="3">
        <v>475</v>
      </c>
      <c r="F2763" s="3">
        <f>E2763/12</f>
        <v>39.583333333333336</v>
      </c>
      <c r="G2763" s="4">
        <v>44278</v>
      </c>
    </row>
    <row r="2764" spans="2:9">
      <c r="B2764" s="1" t="s">
        <v>195</v>
      </c>
      <c r="C2764" s="2" t="s">
        <v>55</v>
      </c>
      <c r="D2764" s="2" t="s">
        <v>181</v>
      </c>
      <c r="E2764" s="3">
        <v>475</v>
      </c>
      <c r="F2764" s="3">
        <f>E2764/12</f>
        <v>39.583333333333336</v>
      </c>
      <c r="G2764" s="4">
        <v>44278</v>
      </c>
    </row>
    <row r="2765" spans="2:9">
      <c r="B2765" s="1" t="s">
        <v>194</v>
      </c>
      <c r="C2765" s="2" t="s">
        <v>55</v>
      </c>
      <c r="D2765" s="2" t="s">
        <v>181</v>
      </c>
      <c r="E2765" s="3">
        <v>475</v>
      </c>
      <c r="F2765" s="3">
        <f>E2765/12</f>
        <v>39.583333333333336</v>
      </c>
      <c r="G2765" s="4">
        <v>44278</v>
      </c>
    </row>
    <row r="2766" spans="2:9">
      <c r="B2766" s="1" t="s">
        <v>193</v>
      </c>
      <c r="C2766" s="2" t="s">
        <v>9</v>
      </c>
      <c r="D2766" s="2" t="s">
        <v>181</v>
      </c>
      <c r="E2766" s="3">
        <v>392</v>
      </c>
      <c r="F2766" s="3">
        <f>E2766/5</f>
        <v>78.400000000000006</v>
      </c>
      <c r="G2766" s="4">
        <v>43280</v>
      </c>
      <c r="I2766" s="1">
        <v>1200</v>
      </c>
    </row>
    <row r="2767" spans="2:9">
      <c r="B2767" s="1" t="s">
        <v>192</v>
      </c>
      <c r="C2767" s="2" t="s">
        <v>9</v>
      </c>
      <c r="D2767" s="2" t="s">
        <v>181</v>
      </c>
      <c r="E2767" s="3">
        <v>392</v>
      </c>
      <c r="F2767" s="3">
        <f>E2767/5</f>
        <v>78.400000000000006</v>
      </c>
      <c r="G2767" s="4">
        <v>43280</v>
      </c>
      <c r="I2767" s="1">
        <v>1200</v>
      </c>
    </row>
    <row r="2768" spans="2:9">
      <c r="B2768" s="1" t="s">
        <v>191</v>
      </c>
      <c r="C2768" s="2" t="s">
        <v>9</v>
      </c>
      <c r="D2768" s="2" t="s">
        <v>181</v>
      </c>
      <c r="E2768" s="3">
        <v>392</v>
      </c>
      <c r="F2768" s="3">
        <f>E2768/5</f>
        <v>78.400000000000006</v>
      </c>
      <c r="G2768" s="4">
        <v>43280</v>
      </c>
      <c r="I2768" s="1">
        <v>1200</v>
      </c>
    </row>
    <row r="2769" spans="2:9">
      <c r="B2769" s="1" t="s">
        <v>190</v>
      </c>
      <c r="C2769" s="2" t="s">
        <v>9</v>
      </c>
      <c r="D2769" s="2" t="s">
        <v>181</v>
      </c>
      <c r="E2769" s="3">
        <v>392</v>
      </c>
      <c r="F2769" s="3">
        <f>E2769/5</f>
        <v>78.400000000000006</v>
      </c>
      <c r="G2769" s="4">
        <v>43280</v>
      </c>
      <c r="I2769" s="1">
        <v>1200</v>
      </c>
    </row>
    <row r="2770" spans="2:9">
      <c r="B2770" s="1" t="s">
        <v>189</v>
      </c>
      <c r="C2770" s="2" t="s">
        <v>8</v>
      </c>
      <c r="D2770" s="2" t="s">
        <v>181</v>
      </c>
      <c r="E2770" s="3">
        <v>130</v>
      </c>
      <c r="F2770" s="3">
        <f>104/9</f>
        <v>11.555555555555555</v>
      </c>
      <c r="G2770" s="4">
        <v>42080</v>
      </c>
      <c r="I2770" s="1">
        <v>570</v>
      </c>
    </row>
    <row r="2771" spans="2:9">
      <c r="B2771" s="1" t="s">
        <v>188</v>
      </c>
      <c r="C2771" s="2" t="s">
        <v>8</v>
      </c>
      <c r="D2771" s="2" t="s">
        <v>181</v>
      </c>
      <c r="E2771" s="3">
        <v>130</v>
      </c>
      <c r="F2771" s="3">
        <f>104/9</f>
        <v>11.555555555555555</v>
      </c>
      <c r="G2771" s="4">
        <v>42080</v>
      </c>
      <c r="I2771" s="1">
        <v>570</v>
      </c>
    </row>
    <row r="2772" spans="2:9">
      <c r="B2772" s="1" t="s">
        <v>187</v>
      </c>
      <c r="C2772" s="2" t="s">
        <v>8</v>
      </c>
      <c r="D2772" s="2" t="s">
        <v>181</v>
      </c>
      <c r="E2772" s="3">
        <v>130</v>
      </c>
      <c r="F2772" s="3">
        <f>104/9</f>
        <v>11.555555555555555</v>
      </c>
      <c r="G2772" s="4">
        <v>42080</v>
      </c>
      <c r="I2772" s="1">
        <v>570</v>
      </c>
    </row>
    <row r="2773" spans="2:9">
      <c r="B2773" s="1" t="s">
        <v>186</v>
      </c>
      <c r="C2773" s="2" t="s">
        <v>18</v>
      </c>
      <c r="D2773" s="2" t="s">
        <v>181</v>
      </c>
      <c r="E2773" s="3">
        <v>34</v>
      </c>
      <c r="F2773" s="3">
        <f>14/3</f>
        <v>4.666666666666667</v>
      </c>
      <c r="G2773" s="4">
        <v>41437</v>
      </c>
    </row>
    <row r="2774" spans="2:9">
      <c r="C2774" s="2" t="s">
        <v>7</v>
      </c>
      <c r="D2774" s="2" t="s">
        <v>181</v>
      </c>
      <c r="E2774" s="3">
        <v>16.5</v>
      </c>
      <c r="F2774" s="3">
        <f>E2774/5</f>
        <v>3.3</v>
      </c>
      <c r="G2774" s="4">
        <v>41176</v>
      </c>
    </row>
    <row r="2775" spans="2:9">
      <c r="B2775" s="1" t="s">
        <v>185</v>
      </c>
      <c r="C2775" s="2" t="s">
        <v>18</v>
      </c>
      <c r="D2775" s="2" t="s">
        <v>181</v>
      </c>
      <c r="E2775" s="3">
        <v>34</v>
      </c>
      <c r="F2775" s="3">
        <f>14/3</f>
        <v>4.666666666666667</v>
      </c>
      <c r="G2775" s="4">
        <v>41437</v>
      </c>
    </row>
    <row r="2776" spans="2:9">
      <c r="C2776" s="2" t="s">
        <v>7</v>
      </c>
      <c r="D2776" s="2" t="s">
        <v>181</v>
      </c>
      <c r="E2776" s="3">
        <v>16.5</v>
      </c>
      <c r="F2776" s="3">
        <f>E2776/5</f>
        <v>3.3</v>
      </c>
      <c r="G2776" s="4">
        <v>41176</v>
      </c>
    </row>
    <row r="2777" spans="2:9">
      <c r="B2777" s="1" t="s">
        <v>184</v>
      </c>
      <c r="C2777" s="2" t="s">
        <v>18</v>
      </c>
      <c r="D2777" s="2" t="s">
        <v>181</v>
      </c>
      <c r="E2777" s="3">
        <v>34</v>
      </c>
      <c r="F2777" s="3">
        <f>14/3</f>
        <v>4.666666666666667</v>
      </c>
      <c r="G2777" s="4">
        <v>41437</v>
      </c>
    </row>
    <row r="2778" spans="2:9">
      <c r="C2778" s="2" t="s">
        <v>7</v>
      </c>
      <c r="D2778" s="2" t="s">
        <v>181</v>
      </c>
      <c r="E2778" s="3">
        <v>16.5</v>
      </c>
      <c r="F2778" s="3">
        <f>E2778/5</f>
        <v>3.3</v>
      </c>
      <c r="G2778" s="4">
        <v>41176</v>
      </c>
    </row>
    <row r="2779" spans="2:9">
      <c r="B2779" s="1" t="s">
        <v>183</v>
      </c>
      <c r="C2779" s="2" t="s">
        <v>7</v>
      </c>
      <c r="D2779" s="2" t="s">
        <v>181</v>
      </c>
      <c r="E2779" s="3">
        <v>16.5</v>
      </c>
      <c r="F2779" s="3">
        <f>E2779/5</f>
        <v>3.3</v>
      </c>
      <c r="G2779" s="4">
        <v>41176</v>
      </c>
    </row>
    <row r="2780" spans="2:9">
      <c r="B2780" s="1" t="s">
        <v>182</v>
      </c>
      <c r="C2780" s="2" t="s">
        <v>7</v>
      </c>
      <c r="D2780" s="2" t="s">
        <v>181</v>
      </c>
      <c r="E2780" s="3">
        <v>16.5</v>
      </c>
      <c r="F2780" s="3">
        <f>E2780/5</f>
        <v>3.3</v>
      </c>
      <c r="G2780" s="4">
        <v>41176</v>
      </c>
    </row>
    <row r="2781" spans="2:9">
      <c r="G2781" s="4"/>
    </row>
    <row r="2782" spans="2:9">
      <c r="B2782" s="1" t="s">
        <v>180</v>
      </c>
      <c r="C2782" s="2" t="s">
        <v>18</v>
      </c>
      <c r="D2782" s="2" t="s">
        <v>166</v>
      </c>
      <c r="E2782" s="3">
        <v>100</v>
      </c>
      <c r="F2782" s="3">
        <v>30</v>
      </c>
      <c r="G2782" s="4">
        <v>44235</v>
      </c>
      <c r="I2782" s="1">
        <v>5200</v>
      </c>
    </row>
    <row r="2783" spans="2:9">
      <c r="C2783" s="2" t="s">
        <v>18</v>
      </c>
      <c r="D2783" s="2" t="s">
        <v>166</v>
      </c>
      <c r="E2783" s="3">
        <v>267</v>
      </c>
      <c r="F2783" s="3">
        <v>100</v>
      </c>
      <c r="G2783" s="4">
        <v>44140</v>
      </c>
      <c r="I2783" s="1">
        <v>5000</v>
      </c>
    </row>
    <row r="2784" spans="2:9">
      <c r="C2784" s="2" t="s">
        <v>9</v>
      </c>
      <c r="D2784" s="2" t="s">
        <v>23</v>
      </c>
      <c r="E2784" s="3">
        <v>222</v>
      </c>
      <c r="F2784" s="3">
        <v>22</v>
      </c>
      <c r="G2784" s="4">
        <v>44194</v>
      </c>
      <c r="I2784" s="1">
        <v>2500</v>
      </c>
    </row>
    <row r="2785" spans="2:9">
      <c r="G2785" s="4"/>
    </row>
    <row r="2786" spans="2:9">
      <c r="B2786" s="1" t="s">
        <v>179</v>
      </c>
      <c r="C2786" s="2" t="s">
        <v>18</v>
      </c>
      <c r="D2786" s="2" t="s">
        <v>166</v>
      </c>
      <c r="E2786" s="3">
        <v>100</v>
      </c>
      <c r="F2786" s="3">
        <v>14</v>
      </c>
      <c r="G2786" s="4">
        <v>44235</v>
      </c>
      <c r="I2786" s="1">
        <v>5200</v>
      </c>
    </row>
    <row r="2787" spans="2:9">
      <c r="C2787" s="2" t="s">
        <v>18</v>
      </c>
      <c r="D2787" s="2" t="s">
        <v>166</v>
      </c>
      <c r="E2787" s="3">
        <v>267</v>
      </c>
      <c r="F2787" s="3">
        <f>167/5</f>
        <v>33.4</v>
      </c>
      <c r="G2787" s="4">
        <v>44140</v>
      </c>
      <c r="I2787" s="1">
        <v>5000</v>
      </c>
    </row>
    <row r="2788" spans="2:9">
      <c r="C2788" s="2" t="s">
        <v>5</v>
      </c>
      <c r="D2788" s="2" t="s">
        <v>166</v>
      </c>
      <c r="E2788" s="3">
        <v>102</v>
      </c>
      <c r="F2788" s="3">
        <v>16</v>
      </c>
      <c r="G2788" s="4">
        <v>43292</v>
      </c>
    </row>
    <row r="2789" spans="2:9">
      <c r="C2789" s="2" t="s">
        <v>8</v>
      </c>
      <c r="D2789" s="2" t="s">
        <v>2186</v>
      </c>
      <c r="E2789" s="3">
        <v>220</v>
      </c>
      <c r="F2789" s="3">
        <v>40</v>
      </c>
      <c r="G2789" s="4">
        <v>44287</v>
      </c>
    </row>
    <row r="2790" spans="2:9">
      <c r="G2790" s="4"/>
    </row>
    <row r="2791" spans="2:9">
      <c r="B2791" s="1" t="s">
        <v>178</v>
      </c>
      <c r="C2791" s="2" t="s">
        <v>18</v>
      </c>
      <c r="D2791" s="2" t="s">
        <v>166</v>
      </c>
      <c r="E2791" s="3">
        <v>100</v>
      </c>
      <c r="F2791" s="3">
        <v>14</v>
      </c>
      <c r="G2791" s="4">
        <v>44235</v>
      </c>
      <c r="I2791" s="1">
        <v>5200</v>
      </c>
    </row>
    <row r="2792" spans="2:9">
      <c r="G2792" s="4"/>
    </row>
    <row r="2793" spans="2:9">
      <c r="B2793" s="1" t="s">
        <v>177</v>
      </c>
      <c r="C2793" s="2" t="s">
        <v>18</v>
      </c>
      <c r="D2793" s="2" t="s">
        <v>166</v>
      </c>
      <c r="E2793" s="3">
        <v>100</v>
      </c>
      <c r="F2793" s="3">
        <v>14</v>
      </c>
      <c r="G2793" s="4">
        <v>44235</v>
      </c>
      <c r="I2793" s="1">
        <v>5200</v>
      </c>
    </row>
    <row r="2794" spans="2:9">
      <c r="C2794" s="2" t="s">
        <v>18</v>
      </c>
      <c r="D2794" s="2" t="s">
        <v>166</v>
      </c>
      <c r="E2794" s="3">
        <v>267</v>
      </c>
      <c r="F2794" s="3">
        <f>167/5</f>
        <v>33.4</v>
      </c>
      <c r="G2794" s="4">
        <v>44140</v>
      </c>
      <c r="I2794" s="1">
        <v>5000</v>
      </c>
    </row>
    <row r="2795" spans="2:9">
      <c r="C2795" s="2" t="s">
        <v>5</v>
      </c>
      <c r="D2795" s="2" t="s">
        <v>166</v>
      </c>
      <c r="E2795" s="3">
        <v>102</v>
      </c>
      <c r="F2795" s="3">
        <v>8</v>
      </c>
      <c r="G2795" s="4">
        <v>43292</v>
      </c>
    </row>
    <row r="2796" spans="2:9">
      <c r="C2796" s="2" t="s">
        <v>5</v>
      </c>
      <c r="D2796" s="2" t="s">
        <v>166</v>
      </c>
      <c r="E2796" s="3">
        <v>112</v>
      </c>
      <c r="F2796" s="3">
        <v>20</v>
      </c>
      <c r="G2796" s="4">
        <v>43115</v>
      </c>
    </row>
    <row r="2797" spans="2:9">
      <c r="C2797" s="2" t="s">
        <v>7</v>
      </c>
      <c r="D2797" s="2" t="s">
        <v>66</v>
      </c>
      <c r="E2797" s="3">
        <f>1600/7</f>
        <v>228.57142857142858</v>
      </c>
      <c r="F2797" s="3">
        <v>40</v>
      </c>
      <c r="G2797" s="4">
        <v>44550</v>
      </c>
    </row>
    <row r="2798" spans="2:9">
      <c r="C2798" s="2" t="s">
        <v>5</v>
      </c>
      <c r="D2798" s="2" t="s">
        <v>66</v>
      </c>
      <c r="E2798" s="3">
        <v>50</v>
      </c>
      <c r="F2798" s="3">
        <v>10</v>
      </c>
      <c r="G2798" s="4">
        <v>44165</v>
      </c>
    </row>
    <row r="2799" spans="2:9">
      <c r="G2799" s="4"/>
    </row>
    <row r="2800" spans="2:9">
      <c r="B2800" s="1" t="s">
        <v>176</v>
      </c>
      <c r="C2800" s="2" t="s">
        <v>18</v>
      </c>
      <c r="D2800" s="2" t="s">
        <v>166</v>
      </c>
      <c r="E2800" s="3">
        <v>267</v>
      </c>
      <c r="F2800" s="3">
        <f>167/5</f>
        <v>33.4</v>
      </c>
      <c r="G2800" s="4">
        <v>44140</v>
      </c>
      <c r="I2800" s="1">
        <v>5000</v>
      </c>
    </row>
    <row r="2801" spans="2:10">
      <c r="B2801" s="1" t="s">
        <v>175</v>
      </c>
      <c r="C2801" s="2" t="s">
        <v>7</v>
      </c>
      <c r="D2801" s="2" t="s">
        <v>166</v>
      </c>
      <c r="E2801" s="3">
        <v>462</v>
      </c>
      <c r="F2801" s="3">
        <f>162/2</f>
        <v>81</v>
      </c>
      <c r="G2801" s="4">
        <v>43886</v>
      </c>
      <c r="I2801" s="1">
        <v>2500</v>
      </c>
    </row>
    <row r="2802" spans="2:10">
      <c r="C2802" s="2" t="s">
        <v>7</v>
      </c>
      <c r="D2802" s="2" t="s">
        <v>166</v>
      </c>
      <c r="E2802" s="3">
        <v>50</v>
      </c>
      <c r="F2802" s="3">
        <v>50</v>
      </c>
      <c r="G2802" s="4">
        <v>43566</v>
      </c>
    </row>
    <row r="2803" spans="2:10">
      <c r="B2803" s="1" t="s">
        <v>174</v>
      </c>
      <c r="C2803" s="2" t="s">
        <v>5</v>
      </c>
      <c r="D2803" s="2" t="s">
        <v>166</v>
      </c>
      <c r="E2803" s="3">
        <v>102</v>
      </c>
      <c r="F2803" s="3">
        <v>8</v>
      </c>
      <c r="G2803" s="4">
        <v>43292</v>
      </c>
    </row>
    <row r="2804" spans="2:10">
      <c r="B2804" s="1" t="s">
        <v>173</v>
      </c>
      <c r="C2804" s="2" t="s">
        <v>5</v>
      </c>
      <c r="D2804" s="2" t="s">
        <v>166</v>
      </c>
      <c r="E2804" s="3">
        <v>102</v>
      </c>
      <c r="F2804" s="3">
        <v>8</v>
      </c>
      <c r="G2804" s="4">
        <v>43292</v>
      </c>
    </row>
    <row r="2805" spans="2:10">
      <c r="B2805" s="1" t="s">
        <v>172</v>
      </c>
      <c r="C2805" s="2" t="s">
        <v>5</v>
      </c>
      <c r="D2805" s="2" t="s">
        <v>166</v>
      </c>
      <c r="E2805" s="3">
        <v>102</v>
      </c>
      <c r="F2805" s="3">
        <v>8</v>
      </c>
      <c r="G2805" s="4">
        <v>43292</v>
      </c>
    </row>
    <row r="2806" spans="2:10">
      <c r="C2806" s="2" t="s">
        <v>5</v>
      </c>
      <c r="D2806" s="2" t="s">
        <v>166</v>
      </c>
      <c r="E2806" s="3">
        <v>112</v>
      </c>
      <c r="F2806" s="3">
        <f>72/8</f>
        <v>9</v>
      </c>
      <c r="G2806" s="4">
        <v>43115</v>
      </c>
    </row>
    <row r="2807" spans="2:10">
      <c r="B2807" s="1" t="s">
        <v>171</v>
      </c>
      <c r="C2807" s="2" t="s">
        <v>5</v>
      </c>
      <c r="D2807" s="2" t="s">
        <v>166</v>
      </c>
      <c r="E2807" s="3">
        <v>112</v>
      </c>
      <c r="F2807" s="3">
        <v>20</v>
      </c>
      <c r="G2807" s="4">
        <v>43115</v>
      </c>
    </row>
    <row r="2808" spans="2:10">
      <c r="B2808" s="1" t="s">
        <v>170</v>
      </c>
      <c r="C2808" s="2" t="s">
        <v>5</v>
      </c>
      <c r="D2808" s="2" t="s">
        <v>166</v>
      </c>
      <c r="E2808" s="3">
        <v>112</v>
      </c>
      <c r="F2808" s="3">
        <f>72/8</f>
        <v>9</v>
      </c>
      <c r="G2808" s="4">
        <v>43115</v>
      </c>
    </row>
    <row r="2809" spans="2:10">
      <c r="B2809" s="1" t="s">
        <v>169</v>
      </c>
      <c r="C2809" s="2" t="s">
        <v>5</v>
      </c>
      <c r="D2809" s="2" t="s">
        <v>166</v>
      </c>
      <c r="E2809" s="3">
        <v>112</v>
      </c>
      <c r="F2809" s="3">
        <f>72/8</f>
        <v>9</v>
      </c>
      <c r="G2809" s="4">
        <v>43115</v>
      </c>
    </row>
    <row r="2810" spans="2:10">
      <c r="B2810" s="1" t="s">
        <v>168</v>
      </c>
      <c r="C2810" s="2" t="s">
        <v>5</v>
      </c>
      <c r="D2810" s="2" t="s">
        <v>166</v>
      </c>
      <c r="E2810" s="3">
        <v>112</v>
      </c>
      <c r="F2810" s="3">
        <f>72/8</f>
        <v>9</v>
      </c>
      <c r="G2810" s="4">
        <v>43115</v>
      </c>
    </row>
    <row r="2811" spans="2:10">
      <c r="B2811" s="1" t="s">
        <v>167</v>
      </c>
      <c r="C2811" s="2" t="s">
        <v>5</v>
      </c>
      <c r="D2811" s="2" t="s">
        <v>166</v>
      </c>
      <c r="E2811" s="3">
        <v>112</v>
      </c>
      <c r="F2811" s="3">
        <f>72/8</f>
        <v>9</v>
      </c>
      <c r="G2811" s="4">
        <v>43115</v>
      </c>
    </row>
    <row r="2812" spans="2:10">
      <c r="G2812" s="4"/>
    </row>
    <row r="2813" spans="2:10">
      <c r="B2813" s="1" t="s">
        <v>165</v>
      </c>
      <c r="C2813" s="2" t="s">
        <v>55</v>
      </c>
      <c r="D2813" s="2" t="s">
        <v>159</v>
      </c>
      <c r="E2813" s="3">
        <v>200</v>
      </c>
      <c r="F2813" s="3">
        <v>50</v>
      </c>
      <c r="G2813" s="4">
        <v>44907</v>
      </c>
      <c r="I2813" s="1">
        <v>3500</v>
      </c>
    </row>
    <row r="2814" spans="2:10">
      <c r="C2814" s="2" t="s">
        <v>9</v>
      </c>
      <c r="D2814" s="2" t="s">
        <v>159</v>
      </c>
      <c r="E2814" s="3">
        <v>400</v>
      </c>
      <c r="F2814" s="3">
        <f>320/9</f>
        <v>35.555555555555557</v>
      </c>
      <c r="G2814" s="4">
        <v>44413</v>
      </c>
      <c r="I2814" s="1">
        <v>4200</v>
      </c>
    </row>
    <row r="2815" spans="2:10">
      <c r="C2815" s="2" t="s">
        <v>18</v>
      </c>
      <c r="D2815" s="2" t="s">
        <v>34</v>
      </c>
      <c r="E2815" s="3">
        <v>230</v>
      </c>
      <c r="F2815" s="3">
        <v>40</v>
      </c>
      <c r="G2815" s="4">
        <v>43634</v>
      </c>
      <c r="I2815" s="1">
        <v>770</v>
      </c>
      <c r="J2815" s="1">
        <v>770</v>
      </c>
    </row>
    <row r="2816" spans="2:10">
      <c r="G2816" s="4"/>
    </row>
    <row r="2817" spans="2:10">
      <c r="B2817" s="1" t="s">
        <v>164</v>
      </c>
      <c r="C2817" s="2" t="s">
        <v>9</v>
      </c>
      <c r="D2817" s="2" t="s">
        <v>159</v>
      </c>
      <c r="E2817" s="3">
        <v>400</v>
      </c>
      <c r="F2817" s="3">
        <f>320/9</f>
        <v>35.555555555555557</v>
      </c>
      <c r="G2817" s="4">
        <v>44413</v>
      </c>
      <c r="I2817" s="1">
        <v>4200</v>
      </c>
    </row>
    <row r="2818" spans="2:10">
      <c r="G2818" s="4"/>
    </row>
    <row r="2819" spans="2:10">
      <c r="B2819" s="1" t="s">
        <v>163</v>
      </c>
      <c r="C2819" s="2" t="s">
        <v>9</v>
      </c>
      <c r="D2819" s="2" t="s">
        <v>159</v>
      </c>
      <c r="E2819" s="3">
        <v>400</v>
      </c>
      <c r="F2819" s="3">
        <f>320/9</f>
        <v>35.555555555555557</v>
      </c>
      <c r="G2819" s="4">
        <v>44413</v>
      </c>
      <c r="I2819" s="1">
        <v>4200</v>
      </c>
    </row>
    <row r="2820" spans="2:10">
      <c r="C2820" s="2" t="s">
        <v>8</v>
      </c>
      <c r="D2820" s="2" t="s">
        <v>159</v>
      </c>
      <c r="E2820" s="3">
        <v>100</v>
      </c>
      <c r="F2820" s="3">
        <f>75/6</f>
        <v>12.5</v>
      </c>
      <c r="G2820" s="4">
        <v>44067</v>
      </c>
    </row>
    <row r="2821" spans="2:10">
      <c r="C2821" s="2" t="s">
        <v>18</v>
      </c>
      <c r="D2821" s="2" t="s">
        <v>159</v>
      </c>
      <c r="E2821" s="3">
        <v>101</v>
      </c>
      <c r="F2821" s="3">
        <f>60/4</f>
        <v>15</v>
      </c>
      <c r="G2821" s="4">
        <v>43453</v>
      </c>
    </row>
    <row r="2822" spans="2:10">
      <c r="C2822" s="2" t="s">
        <v>7</v>
      </c>
      <c r="D2822" s="2" t="s">
        <v>113</v>
      </c>
      <c r="E2822" s="3">
        <v>37</v>
      </c>
      <c r="F2822" s="3">
        <v>12</v>
      </c>
      <c r="G2822" s="4">
        <v>43783</v>
      </c>
    </row>
    <row r="2823" spans="2:10">
      <c r="G2823" s="4"/>
    </row>
    <row r="2824" spans="2:10">
      <c r="B2824" s="1" t="s">
        <v>162</v>
      </c>
      <c r="C2824" s="2" t="s">
        <v>8</v>
      </c>
      <c r="D2824" s="2" t="s">
        <v>159</v>
      </c>
      <c r="E2824" s="3">
        <v>100</v>
      </c>
      <c r="F2824" s="3">
        <v>25</v>
      </c>
      <c r="G2824" s="4">
        <v>44067</v>
      </c>
    </row>
    <row r="2825" spans="2:10">
      <c r="C2825" s="2" t="s">
        <v>18</v>
      </c>
      <c r="D2825" s="2" t="s">
        <v>2178</v>
      </c>
      <c r="E2825" s="3">
        <v>200</v>
      </c>
      <c r="F2825" s="3">
        <v>30</v>
      </c>
      <c r="G2825" s="4">
        <v>44557</v>
      </c>
      <c r="I2825" s="1">
        <v>1300</v>
      </c>
      <c r="J2825" s="1">
        <v>1300</v>
      </c>
    </row>
    <row r="2826" spans="2:10">
      <c r="G2826" s="4"/>
    </row>
    <row r="2827" spans="2:10">
      <c r="B2827" s="1" t="s">
        <v>160</v>
      </c>
      <c r="C2827" s="2" t="s">
        <v>4</v>
      </c>
      <c r="D2827" s="2" t="s">
        <v>159</v>
      </c>
      <c r="E2827" s="3">
        <v>4</v>
      </c>
      <c r="F2827" s="3">
        <v>1</v>
      </c>
      <c r="G2827" s="4">
        <v>42023</v>
      </c>
    </row>
    <row r="2828" spans="2:10">
      <c r="C2828" s="2" t="s">
        <v>4</v>
      </c>
      <c r="D2828" s="2" t="s">
        <v>15</v>
      </c>
      <c r="E2828" s="3">
        <v>0.1</v>
      </c>
      <c r="F2828" s="3">
        <v>0.1</v>
      </c>
      <c r="G2828" s="4">
        <v>42370</v>
      </c>
    </row>
    <row r="2829" spans="2:10">
      <c r="C2829" s="2" t="s">
        <v>4</v>
      </c>
      <c r="D2829" s="2" t="s">
        <v>15</v>
      </c>
      <c r="E2829" s="3">
        <v>0.1</v>
      </c>
      <c r="F2829" s="3">
        <v>0.1</v>
      </c>
      <c r="G2829" s="4">
        <v>41549</v>
      </c>
    </row>
    <row r="2830" spans="2:10">
      <c r="G2830" s="4"/>
    </row>
    <row r="2831" spans="2:10">
      <c r="B2831" s="1" t="s">
        <v>158</v>
      </c>
      <c r="C2831" s="2" t="s">
        <v>8</v>
      </c>
      <c r="D2831" s="2" t="s">
        <v>153</v>
      </c>
      <c r="E2831" s="3">
        <v>38</v>
      </c>
      <c r="F2831" s="6" t="s">
        <v>157</v>
      </c>
      <c r="G2831" s="4">
        <v>43266</v>
      </c>
    </row>
    <row r="2832" spans="2:10">
      <c r="B2832" s="1" t="s">
        <v>156</v>
      </c>
      <c r="C2832" s="2" t="s">
        <v>7</v>
      </c>
      <c r="D2832" s="2" t="s">
        <v>153</v>
      </c>
      <c r="E2832" s="3">
        <v>10</v>
      </c>
      <c r="F2832" s="6" t="s">
        <v>155</v>
      </c>
      <c r="G2832" s="4">
        <v>42355</v>
      </c>
    </row>
    <row r="2833" spans="2:10">
      <c r="B2833" s="1" t="s">
        <v>154</v>
      </c>
      <c r="C2833" s="2" t="s">
        <v>7</v>
      </c>
      <c r="D2833" s="2" t="s">
        <v>153</v>
      </c>
      <c r="E2833" s="3">
        <v>10</v>
      </c>
      <c r="F2833" s="6" t="s">
        <v>152</v>
      </c>
      <c r="G2833" s="4">
        <v>42355</v>
      </c>
    </row>
    <row r="2834" spans="2:10">
      <c r="B2834" s="1" t="s">
        <v>151</v>
      </c>
      <c r="C2834" s="2" t="s">
        <v>4</v>
      </c>
      <c r="D2834" s="2" t="s">
        <v>149</v>
      </c>
      <c r="E2834" s="3">
        <v>1.6</v>
      </c>
      <c r="F2834" s="3">
        <f>E2834/4</f>
        <v>0.4</v>
      </c>
      <c r="G2834" s="4">
        <v>43060</v>
      </c>
    </row>
    <row r="2835" spans="2:10">
      <c r="B2835" s="1" t="s">
        <v>150</v>
      </c>
      <c r="C2835" s="2" t="s">
        <v>4</v>
      </c>
      <c r="D2835" s="2" t="s">
        <v>149</v>
      </c>
      <c r="E2835" s="3">
        <v>1.6</v>
      </c>
      <c r="F2835" s="3">
        <f>E2835/4</f>
        <v>0.4</v>
      </c>
      <c r="G2835" s="4">
        <v>43060</v>
      </c>
    </row>
    <row r="2836" spans="2:10">
      <c r="C2836" s="2" t="s">
        <v>5</v>
      </c>
      <c r="D2836" s="2" t="s">
        <v>66</v>
      </c>
      <c r="E2836" s="3">
        <v>50</v>
      </c>
      <c r="F2836" s="3">
        <v>5</v>
      </c>
      <c r="G2836" s="4">
        <v>44165</v>
      </c>
    </row>
    <row r="2837" spans="2:10">
      <c r="G2837" s="4"/>
    </row>
    <row r="2838" spans="2:10">
      <c r="B2838" s="1" t="s">
        <v>148</v>
      </c>
      <c r="C2838" s="2" t="s">
        <v>8</v>
      </c>
      <c r="D2838" s="2" t="s">
        <v>136</v>
      </c>
      <c r="E2838" s="3">
        <v>135</v>
      </c>
      <c r="F2838" s="3">
        <v>20</v>
      </c>
      <c r="G2838" s="4">
        <v>44880</v>
      </c>
    </row>
    <row r="2839" spans="2:10">
      <c r="B2839" s="1" t="s">
        <v>147</v>
      </c>
      <c r="C2839" s="2" t="s">
        <v>8</v>
      </c>
      <c r="D2839" s="2" t="s">
        <v>136</v>
      </c>
      <c r="E2839" s="3">
        <v>135</v>
      </c>
      <c r="F2839" s="3">
        <v>8</v>
      </c>
      <c r="G2839" s="4">
        <v>44880</v>
      </c>
    </row>
    <row r="2840" spans="2:10">
      <c r="B2840" s="1" t="s">
        <v>146</v>
      </c>
      <c r="C2840" s="2" t="s">
        <v>8</v>
      </c>
      <c r="D2840" s="2" t="s">
        <v>136</v>
      </c>
      <c r="E2840" s="3">
        <v>135</v>
      </c>
      <c r="F2840" s="3">
        <v>8</v>
      </c>
      <c r="G2840" s="4">
        <v>44880</v>
      </c>
    </row>
    <row r="2841" spans="2:10">
      <c r="B2841" s="1" t="s">
        <v>145</v>
      </c>
      <c r="C2841" s="2" t="s">
        <v>8</v>
      </c>
      <c r="D2841" s="2" t="s">
        <v>136</v>
      </c>
      <c r="E2841" s="3">
        <v>135</v>
      </c>
      <c r="F2841" s="3">
        <v>8</v>
      </c>
      <c r="G2841" s="4">
        <v>44880</v>
      </c>
    </row>
    <row r="2842" spans="2:10">
      <c r="C2842" s="2" t="s">
        <v>18</v>
      </c>
      <c r="D2842" s="2" t="s">
        <v>136</v>
      </c>
      <c r="E2842" s="3">
        <v>73</v>
      </c>
      <c r="F2842" s="3">
        <v>20</v>
      </c>
      <c r="G2842" s="4">
        <v>44565</v>
      </c>
    </row>
    <row r="2843" spans="2:10">
      <c r="B2843" s="1" t="s">
        <v>144</v>
      </c>
      <c r="C2843" s="2" t="s">
        <v>8</v>
      </c>
      <c r="D2843" s="2" t="s">
        <v>136</v>
      </c>
      <c r="E2843" s="3">
        <v>135</v>
      </c>
      <c r="F2843" s="3">
        <v>8</v>
      </c>
      <c r="G2843" s="4">
        <v>44880</v>
      </c>
    </row>
    <row r="2844" spans="2:10">
      <c r="C2844" s="2" t="s">
        <v>7</v>
      </c>
      <c r="D2844" s="2" t="s">
        <v>136</v>
      </c>
      <c r="E2844" s="3">
        <v>32</v>
      </c>
      <c r="F2844" s="3">
        <v>5</v>
      </c>
      <c r="G2844" s="4">
        <v>42528</v>
      </c>
    </row>
    <row r="2845" spans="2:10">
      <c r="B2845" s="1" t="s">
        <v>143</v>
      </c>
      <c r="C2845" s="2" t="s">
        <v>8</v>
      </c>
      <c r="D2845" s="2" t="s">
        <v>136</v>
      </c>
      <c r="E2845" s="3">
        <v>135</v>
      </c>
      <c r="F2845" s="3">
        <v>8</v>
      </c>
      <c r="G2845" s="4">
        <v>44880</v>
      </c>
    </row>
    <row r="2846" spans="2:10">
      <c r="B2846" s="1" t="s">
        <v>142</v>
      </c>
      <c r="C2846" s="2" t="s">
        <v>18</v>
      </c>
      <c r="D2846" s="2" t="s">
        <v>136</v>
      </c>
      <c r="E2846" s="3">
        <v>73</v>
      </c>
      <c r="F2846" s="3">
        <v>20</v>
      </c>
      <c r="G2846" s="4">
        <v>44565</v>
      </c>
      <c r="J2846" s="1">
        <v>615</v>
      </c>
    </row>
    <row r="2847" spans="2:10">
      <c r="B2847" s="1" t="s">
        <v>141</v>
      </c>
      <c r="C2847" s="2" t="s">
        <v>18</v>
      </c>
      <c r="D2847" s="2" t="s">
        <v>136</v>
      </c>
      <c r="E2847" s="3">
        <v>73</v>
      </c>
      <c r="F2847" s="3">
        <v>20</v>
      </c>
      <c r="G2847" s="4">
        <v>44565</v>
      </c>
    </row>
    <row r="2848" spans="2:10">
      <c r="B2848" s="1" t="s">
        <v>140</v>
      </c>
      <c r="C2848" s="2" t="s">
        <v>18</v>
      </c>
      <c r="D2848" s="2" t="s">
        <v>136</v>
      </c>
      <c r="E2848" s="3">
        <v>31.7</v>
      </c>
      <c r="F2848" s="3">
        <f>18/4</f>
        <v>4.5</v>
      </c>
      <c r="G2848" s="4">
        <v>43599</v>
      </c>
    </row>
    <row r="2849" spans="2:10">
      <c r="B2849" s="1" t="s">
        <v>139</v>
      </c>
      <c r="C2849" s="2" t="s">
        <v>18</v>
      </c>
      <c r="D2849" s="2" t="s">
        <v>136</v>
      </c>
      <c r="E2849" s="3">
        <v>31.7</v>
      </c>
      <c r="F2849" s="3">
        <f>18/4</f>
        <v>4.5</v>
      </c>
      <c r="G2849" s="4">
        <v>43599</v>
      </c>
    </row>
    <row r="2850" spans="2:10">
      <c r="B2850" s="1" t="s">
        <v>138</v>
      </c>
      <c r="C2850" s="2" t="s">
        <v>18</v>
      </c>
      <c r="D2850" s="2" t="s">
        <v>136</v>
      </c>
      <c r="E2850" s="3">
        <v>31.7</v>
      </c>
      <c r="F2850" s="3">
        <f>18/4</f>
        <v>4.5</v>
      </c>
      <c r="G2850" s="4">
        <v>43599</v>
      </c>
    </row>
    <row r="2851" spans="2:10">
      <c r="B2851" s="1" t="s">
        <v>137</v>
      </c>
      <c r="C2851" s="2" t="s">
        <v>7</v>
      </c>
      <c r="D2851" s="2" t="s">
        <v>136</v>
      </c>
      <c r="E2851" s="3">
        <v>32</v>
      </c>
      <c r="F2851" s="3">
        <v>5</v>
      </c>
      <c r="G2851" s="4">
        <v>42528</v>
      </c>
    </row>
    <row r="2852" spans="2:10">
      <c r="B2852" s="1" t="s">
        <v>135</v>
      </c>
      <c r="C2852" s="2" t="s">
        <v>7</v>
      </c>
      <c r="D2852" s="2" t="s">
        <v>133</v>
      </c>
      <c r="E2852" s="3">
        <v>23.5</v>
      </c>
      <c r="F2852" s="3">
        <v>10</v>
      </c>
      <c r="G2852" s="4">
        <v>45008</v>
      </c>
    </row>
    <row r="2853" spans="2:10">
      <c r="B2853" s="1" t="s">
        <v>134</v>
      </c>
      <c r="C2853" s="2" t="s">
        <v>7</v>
      </c>
      <c r="D2853" s="2" t="s">
        <v>133</v>
      </c>
      <c r="E2853" s="3">
        <v>23.5</v>
      </c>
      <c r="F2853" s="3">
        <f>14/4</f>
        <v>3.5</v>
      </c>
      <c r="G2853" s="4">
        <v>45008</v>
      </c>
    </row>
    <row r="2854" spans="2:10">
      <c r="C2854" s="2" t="s">
        <v>513</v>
      </c>
      <c r="D2854" s="2" t="s">
        <v>4043</v>
      </c>
      <c r="E2854" s="3">
        <v>56</v>
      </c>
      <c r="F2854" s="3">
        <f>E2854/2</f>
        <v>28</v>
      </c>
      <c r="G2854" s="4">
        <v>41183</v>
      </c>
    </row>
    <row r="2855" spans="2:10">
      <c r="G2855" s="4"/>
    </row>
    <row r="2856" spans="2:10">
      <c r="B2856" s="1" t="s">
        <v>132</v>
      </c>
      <c r="C2856" s="2" t="s">
        <v>4</v>
      </c>
      <c r="D2856" s="2" t="s">
        <v>127</v>
      </c>
      <c r="E2856" s="3">
        <v>2</v>
      </c>
      <c r="F2856" s="3">
        <v>1</v>
      </c>
      <c r="G2856" s="4">
        <v>44658</v>
      </c>
    </row>
    <row r="2857" spans="2:10">
      <c r="B2857" s="1" t="s">
        <v>131</v>
      </c>
      <c r="C2857" s="2" t="s">
        <v>4</v>
      </c>
      <c r="D2857" s="2" t="s">
        <v>127</v>
      </c>
      <c r="E2857" s="3">
        <v>2</v>
      </c>
      <c r="F2857" s="3">
        <v>0.5</v>
      </c>
      <c r="G2857" s="4">
        <v>44658</v>
      </c>
    </row>
    <row r="2858" spans="2:10">
      <c r="B2858" s="1" t="s">
        <v>130</v>
      </c>
      <c r="C2858" s="2" t="s">
        <v>4</v>
      </c>
      <c r="D2858" s="2" t="s">
        <v>127</v>
      </c>
      <c r="E2858" s="3">
        <v>2</v>
      </c>
      <c r="F2858" s="3">
        <v>0.5</v>
      </c>
      <c r="G2858" s="4">
        <v>44658</v>
      </c>
    </row>
    <row r="2859" spans="2:10">
      <c r="B2859" s="1" t="s">
        <v>129</v>
      </c>
      <c r="C2859" s="2" t="s">
        <v>4</v>
      </c>
      <c r="D2859" s="2" t="s">
        <v>127</v>
      </c>
      <c r="E2859" s="3">
        <v>4.5</v>
      </c>
      <c r="F2859" s="3">
        <v>2</v>
      </c>
      <c r="G2859" s="4">
        <v>44434</v>
      </c>
    </row>
    <row r="2860" spans="2:10">
      <c r="B2860" s="1" t="s">
        <v>128</v>
      </c>
      <c r="C2860" s="2" t="s">
        <v>4</v>
      </c>
      <c r="D2860" s="2" t="s">
        <v>127</v>
      </c>
      <c r="E2860" s="3">
        <v>0.35</v>
      </c>
      <c r="F2860" s="3">
        <v>0.35</v>
      </c>
      <c r="G2860" s="4">
        <v>43864</v>
      </c>
    </row>
    <row r="2861" spans="2:10">
      <c r="B2861" s="1" t="s">
        <v>126</v>
      </c>
      <c r="C2861" s="2" t="s">
        <v>5</v>
      </c>
      <c r="D2861" s="2" t="s">
        <v>115</v>
      </c>
      <c r="E2861" s="3">
        <v>25</v>
      </c>
      <c r="F2861" s="3">
        <v>8</v>
      </c>
      <c r="G2861" s="4">
        <v>44510</v>
      </c>
    </row>
    <row r="2862" spans="2:10">
      <c r="C2862" s="2" t="s">
        <v>2539</v>
      </c>
      <c r="D2862" s="2" t="s">
        <v>4043</v>
      </c>
      <c r="E2862" s="3">
        <v>196.5</v>
      </c>
      <c r="F2862" s="3">
        <f>E2862/2</f>
        <v>98.25</v>
      </c>
      <c r="G2862" s="4">
        <v>41544</v>
      </c>
      <c r="I2862" s="1">
        <v>8000</v>
      </c>
      <c r="J2862" s="1">
        <v>32500</v>
      </c>
    </row>
    <row r="2863" spans="2:10">
      <c r="G2863" s="4"/>
    </row>
    <row r="2864" spans="2:10">
      <c r="B2864" s="1" t="s">
        <v>125</v>
      </c>
      <c r="C2864" s="2" t="s">
        <v>5</v>
      </c>
      <c r="D2864" s="2" t="s">
        <v>115</v>
      </c>
      <c r="E2864" s="3">
        <v>25</v>
      </c>
      <c r="F2864" s="3">
        <f>17/6</f>
        <v>2.8333333333333335</v>
      </c>
      <c r="G2864" s="4">
        <v>44510</v>
      </c>
    </row>
    <row r="2865" spans="2:9">
      <c r="B2865" s="1" t="s">
        <v>124</v>
      </c>
      <c r="C2865" s="2" t="s">
        <v>5</v>
      </c>
      <c r="D2865" s="2" t="s">
        <v>115</v>
      </c>
      <c r="E2865" s="3">
        <v>25</v>
      </c>
      <c r="F2865" s="3">
        <f>17/6</f>
        <v>2.8333333333333335</v>
      </c>
      <c r="G2865" s="4">
        <v>44510</v>
      </c>
    </row>
    <row r="2866" spans="2:9">
      <c r="B2866" s="1" t="s">
        <v>123</v>
      </c>
      <c r="C2866" s="2" t="s">
        <v>5</v>
      </c>
      <c r="D2866" s="2" t="s">
        <v>115</v>
      </c>
      <c r="E2866" s="3">
        <v>25</v>
      </c>
      <c r="F2866" s="3">
        <f>17/6</f>
        <v>2.8333333333333335</v>
      </c>
      <c r="G2866" s="4">
        <v>44510</v>
      </c>
    </row>
    <row r="2867" spans="2:9">
      <c r="C2867" s="2" t="s">
        <v>4</v>
      </c>
      <c r="D2867" s="2" t="s">
        <v>115</v>
      </c>
      <c r="E2867" s="3">
        <v>8</v>
      </c>
      <c r="F2867" s="3">
        <v>1.5</v>
      </c>
      <c r="G2867" s="4">
        <v>44063</v>
      </c>
    </row>
    <row r="2868" spans="2:9">
      <c r="B2868" s="1" t="s">
        <v>122</v>
      </c>
      <c r="C2868" s="2" t="s">
        <v>5</v>
      </c>
      <c r="D2868" s="2" t="s">
        <v>115</v>
      </c>
      <c r="E2868" s="3">
        <v>25</v>
      </c>
      <c r="F2868" s="3">
        <f>17/6</f>
        <v>2.8333333333333335</v>
      </c>
      <c r="G2868" s="4">
        <v>44510</v>
      </c>
    </row>
    <row r="2869" spans="2:9">
      <c r="C2869" s="2" t="s">
        <v>4</v>
      </c>
      <c r="D2869" s="2" t="s">
        <v>115</v>
      </c>
      <c r="E2869" s="3">
        <v>8</v>
      </c>
      <c r="F2869" s="3">
        <f t="shared" ref="F2869:F2875" si="4">5/8</f>
        <v>0.625</v>
      </c>
      <c r="G2869" s="4">
        <v>44063</v>
      </c>
    </row>
    <row r="2870" spans="2:9">
      <c r="B2870" s="1" t="s">
        <v>121</v>
      </c>
      <c r="C2870" s="2" t="s">
        <v>4</v>
      </c>
      <c r="D2870" s="2" t="s">
        <v>115</v>
      </c>
      <c r="E2870" s="3">
        <v>8</v>
      </c>
      <c r="F2870" s="3">
        <f t="shared" si="4"/>
        <v>0.625</v>
      </c>
      <c r="G2870" s="4">
        <v>44063</v>
      </c>
    </row>
    <row r="2871" spans="2:9">
      <c r="B2871" s="1" t="s">
        <v>120</v>
      </c>
      <c r="C2871" s="2" t="s">
        <v>4</v>
      </c>
      <c r="D2871" s="2" t="s">
        <v>115</v>
      </c>
      <c r="E2871" s="3">
        <v>8</v>
      </c>
      <c r="F2871" s="3">
        <f t="shared" si="4"/>
        <v>0.625</v>
      </c>
      <c r="G2871" s="4">
        <v>44063</v>
      </c>
    </row>
    <row r="2872" spans="2:9">
      <c r="B2872" s="1" t="s">
        <v>119</v>
      </c>
      <c r="C2872" s="2" t="s">
        <v>4</v>
      </c>
      <c r="D2872" s="2" t="s">
        <v>115</v>
      </c>
      <c r="E2872" s="3">
        <v>8</v>
      </c>
      <c r="F2872" s="3">
        <f t="shared" si="4"/>
        <v>0.625</v>
      </c>
      <c r="G2872" s="4">
        <v>44063</v>
      </c>
    </row>
    <row r="2873" spans="2:9">
      <c r="B2873" s="1" t="s">
        <v>118</v>
      </c>
      <c r="C2873" s="2" t="s">
        <v>4</v>
      </c>
      <c r="D2873" s="2" t="s">
        <v>115</v>
      </c>
      <c r="E2873" s="3">
        <v>8</v>
      </c>
      <c r="F2873" s="3">
        <f t="shared" si="4"/>
        <v>0.625</v>
      </c>
      <c r="G2873" s="4">
        <v>44063</v>
      </c>
    </row>
    <row r="2874" spans="2:9">
      <c r="B2874" s="1" t="s">
        <v>117</v>
      </c>
      <c r="C2874" s="2" t="s">
        <v>4</v>
      </c>
      <c r="D2874" s="2" t="s">
        <v>115</v>
      </c>
      <c r="E2874" s="3">
        <v>8</v>
      </c>
      <c r="F2874" s="3">
        <f t="shared" si="4"/>
        <v>0.625</v>
      </c>
      <c r="G2874" s="4">
        <v>44063</v>
      </c>
    </row>
    <row r="2875" spans="2:9">
      <c r="B2875" s="1" t="s">
        <v>116</v>
      </c>
      <c r="C2875" s="2" t="s">
        <v>4</v>
      </c>
      <c r="D2875" s="2" t="s">
        <v>115</v>
      </c>
      <c r="E2875" s="3">
        <v>8</v>
      </c>
      <c r="F2875" s="3">
        <f t="shared" si="4"/>
        <v>0.625</v>
      </c>
      <c r="G2875" s="4">
        <v>44063</v>
      </c>
    </row>
    <row r="2876" spans="2:9">
      <c r="B2876" s="1" t="s">
        <v>114</v>
      </c>
      <c r="C2876" s="2" t="s">
        <v>7</v>
      </c>
      <c r="D2876" s="2" t="s">
        <v>113</v>
      </c>
      <c r="E2876" s="3">
        <v>37</v>
      </c>
      <c r="F2876" s="3">
        <v>12</v>
      </c>
      <c r="G2876" s="4">
        <v>43783</v>
      </c>
      <c r="I2876" s="1">
        <v>113</v>
      </c>
    </row>
    <row r="2877" spans="2:9">
      <c r="C2877" s="2" t="s">
        <v>5</v>
      </c>
      <c r="D2877" s="2" t="s">
        <v>59</v>
      </c>
      <c r="E2877" s="3">
        <v>29.5</v>
      </c>
      <c r="F2877" s="3">
        <v>12</v>
      </c>
      <c r="G2877" s="4">
        <v>43410</v>
      </c>
    </row>
    <row r="2878" spans="2:9">
      <c r="G2878" s="4"/>
    </row>
    <row r="2879" spans="2:9">
      <c r="B2879" s="1" t="s">
        <v>112</v>
      </c>
      <c r="C2879" s="2" t="s">
        <v>8</v>
      </c>
      <c r="D2879" s="2" t="s">
        <v>104</v>
      </c>
      <c r="E2879" s="3">
        <v>30</v>
      </c>
      <c r="F2879" s="3">
        <v>10</v>
      </c>
      <c r="G2879" s="4">
        <v>43178</v>
      </c>
    </row>
    <row r="2880" spans="2:9">
      <c r="B2880" s="1" t="s">
        <v>111</v>
      </c>
      <c r="C2880" s="2" t="s">
        <v>8</v>
      </c>
      <c r="D2880" s="2" t="s">
        <v>104</v>
      </c>
      <c r="E2880" s="3">
        <v>30</v>
      </c>
      <c r="F2880" s="3">
        <f>20/7</f>
        <v>2.8571428571428572</v>
      </c>
      <c r="G2880" s="4">
        <v>43178</v>
      </c>
    </row>
    <row r="2881" spans="2:7">
      <c r="B2881" s="1" t="s">
        <v>110</v>
      </c>
      <c r="C2881" s="2" t="s">
        <v>8</v>
      </c>
      <c r="D2881" s="2" t="s">
        <v>104</v>
      </c>
      <c r="E2881" s="3">
        <v>30</v>
      </c>
      <c r="F2881" s="3">
        <f>20/7</f>
        <v>2.8571428571428572</v>
      </c>
      <c r="G2881" s="4">
        <v>43178</v>
      </c>
    </row>
    <row r="2882" spans="2:7">
      <c r="B2882" s="1" t="s">
        <v>109</v>
      </c>
      <c r="C2882" s="2" t="s">
        <v>8</v>
      </c>
      <c r="D2882" s="2" t="s">
        <v>104</v>
      </c>
      <c r="E2882" s="3">
        <v>30</v>
      </c>
      <c r="F2882" s="3">
        <f>20/7</f>
        <v>2.8571428571428572</v>
      </c>
      <c r="G2882" s="4">
        <v>43178</v>
      </c>
    </row>
    <row r="2883" spans="2:7">
      <c r="C2883" s="2" t="s">
        <v>8</v>
      </c>
      <c r="D2883" s="2" t="s">
        <v>104</v>
      </c>
      <c r="E2883" s="3">
        <v>40</v>
      </c>
      <c r="F2883" s="3">
        <v>13</v>
      </c>
      <c r="G2883" s="4">
        <v>42493</v>
      </c>
    </row>
    <row r="2884" spans="2:7">
      <c r="B2884" s="1" t="s">
        <v>108</v>
      </c>
      <c r="C2884" s="2" t="s">
        <v>8</v>
      </c>
      <c r="D2884" s="2" t="s">
        <v>104</v>
      </c>
      <c r="E2884" s="3">
        <v>30</v>
      </c>
      <c r="F2884" s="3">
        <f>20/7</f>
        <v>2.8571428571428572</v>
      </c>
      <c r="G2884" s="4">
        <v>43178</v>
      </c>
    </row>
    <row r="2885" spans="2:7">
      <c r="C2885" s="2" t="s">
        <v>8</v>
      </c>
      <c r="D2885" s="2" t="s">
        <v>104</v>
      </c>
      <c r="E2885" s="3">
        <v>40</v>
      </c>
      <c r="F2885" s="3">
        <v>13</v>
      </c>
      <c r="G2885" s="4">
        <v>42493</v>
      </c>
    </row>
    <row r="2886" spans="2:7">
      <c r="B2886" s="1" t="s">
        <v>107</v>
      </c>
      <c r="C2886" s="2" t="s">
        <v>8</v>
      </c>
      <c r="D2886" s="2" t="s">
        <v>104</v>
      </c>
      <c r="E2886" s="3">
        <v>30</v>
      </c>
      <c r="F2886" s="3">
        <f>20/7</f>
        <v>2.8571428571428572</v>
      </c>
      <c r="G2886" s="4">
        <v>43178</v>
      </c>
    </row>
    <row r="2887" spans="2:7">
      <c r="C2887" s="2" t="s">
        <v>8</v>
      </c>
      <c r="D2887" s="2" t="s">
        <v>104</v>
      </c>
      <c r="E2887" s="3">
        <v>40</v>
      </c>
      <c r="F2887" s="3">
        <v>7</v>
      </c>
      <c r="G2887" s="4">
        <v>42493</v>
      </c>
    </row>
    <row r="2888" spans="2:7">
      <c r="C2888" s="2" t="s">
        <v>8</v>
      </c>
      <c r="D2888" s="2" t="s">
        <v>104</v>
      </c>
      <c r="E2888" s="3">
        <v>5</v>
      </c>
      <c r="F2888" s="3">
        <v>5</v>
      </c>
      <c r="G2888" s="4">
        <v>42356</v>
      </c>
    </row>
    <row r="2889" spans="2:7">
      <c r="B2889" s="1" t="s">
        <v>106</v>
      </c>
      <c r="C2889" s="2" t="s">
        <v>8</v>
      </c>
      <c r="D2889" s="2" t="s">
        <v>104</v>
      </c>
      <c r="E2889" s="3">
        <v>30</v>
      </c>
      <c r="F2889" s="3">
        <f>20/7</f>
        <v>2.8571428571428572</v>
      </c>
      <c r="G2889" s="4">
        <v>43178</v>
      </c>
    </row>
    <row r="2890" spans="2:7">
      <c r="B2890" s="1" t="s">
        <v>105</v>
      </c>
      <c r="C2890" s="2" t="s">
        <v>8</v>
      </c>
      <c r="D2890" s="2" t="s">
        <v>104</v>
      </c>
      <c r="E2890" s="3">
        <v>10</v>
      </c>
      <c r="F2890" s="3">
        <v>10</v>
      </c>
      <c r="G2890" s="4">
        <v>43726</v>
      </c>
    </row>
    <row r="2891" spans="2:7">
      <c r="B2891" s="1" t="s">
        <v>103</v>
      </c>
      <c r="C2891" s="2" t="s">
        <v>7</v>
      </c>
      <c r="D2891" s="2" t="s">
        <v>97</v>
      </c>
      <c r="E2891" s="3">
        <v>25</v>
      </c>
      <c r="F2891" s="3">
        <v>10</v>
      </c>
      <c r="G2891" s="4">
        <v>43783</v>
      </c>
    </row>
    <row r="2892" spans="2:7">
      <c r="B2892" s="1" t="s">
        <v>102</v>
      </c>
      <c r="C2892" s="2" t="s">
        <v>7</v>
      </c>
      <c r="D2892" s="2" t="s">
        <v>97</v>
      </c>
      <c r="E2892" s="3">
        <v>25</v>
      </c>
      <c r="F2892" s="3">
        <f>15/5</f>
        <v>3</v>
      </c>
      <c r="G2892" s="4">
        <v>43783</v>
      </c>
    </row>
    <row r="2893" spans="2:7">
      <c r="B2893" s="1" t="s">
        <v>101</v>
      </c>
      <c r="C2893" s="2" t="s">
        <v>7</v>
      </c>
      <c r="D2893" s="2" t="s">
        <v>97</v>
      </c>
      <c r="E2893" s="3">
        <v>25</v>
      </c>
      <c r="F2893" s="3">
        <f>15/5</f>
        <v>3</v>
      </c>
      <c r="G2893" s="4">
        <v>43783</v>
      </c>
    </row>
    <row r="2894" spans="2:7">
      <c r="G2894" s="4"/>
    </row>
    <row r="2895" spans="2:7">
      <c r="B2895" s="1" t="s">
        <v>100</v>
      </c>
      <c r="C2895" s="2" t="s">
        <v>7</v>
      </c>
      <c r="D2895" s="2" t="s">
        <v>97</v>
      </c>
      <c r="E2895" s="3">
        <v>25</v>
      </c>
      <c r="F2895" s="3">
        <f>15/5</f>
        <v>3</v>
      </c>
      <c r="G2895" s="4">
        <v>43783</v>
      </c>
    </row>
    <row r="2896" spans="2:7">
      <c r="C2896" s="2" t="s">
        <v>7</v>
      </c>
      <c r="D2896" s="2" t="s">
        <v>97</v>
      </c>
      <c r="E2896" s="3">
        <v>15</v>
      </c>
      <c r="F2896" s="3">
        <v>7.5</v>
      </c>
      <c r="G2896" s="4">
        <v>43559</v>
      </c>
    </row>
    <row r="2897" spans="2:7">
      <c r="C2897" s="2" t="s">
        <v>7</v>
      </c>
      <c r="D2897" s="2" t="s">
        <v>89</v>
      </c>
      <c r="E2897" s="3">
        <v>25</v>
      </c>
      <c r="F2897" s="3">
        <f>15/6</f>
        <v>2.5</v>
      </c>
      <c r="G2897" s="4">
        <v>44642</v>
      </c>
    </row>
    <row r="2898" spans="2:7">
      <c r="G2898" s="4"/>
    </row>
    <row r="2899" spans="2:7">
      <c r="B2899" s="1" t="s">
        <v>99</v>
      </c>
      <c r="C2899" s="2" t="s">
        <v>7</v>
      </c>
      <c r="D2899" s="2" t="s">
        <v>97</v>
      </c>
      <c r="E2899" s="3">
        <v>25</v>
      </c>
      <c r="F2899" s="3">
        <f>15/5</f>
        <v>3</v>
      </c>
      <c r="G2899" s="4">
        <v>43783</v>
      </c>
    </row>
    <row r="2900" spans="2:7">
      <c r="C2900" s="2" t="s">
        <v>7</v>
      </c>
      <c r="D2900" s="2" t="s">
        <v>97</v>
      </c>
      <c r="E2900" s="3">
        <v>15</v>
      </c>
      <c r="F2900" s="3">
        <v>3.2</v>
      </c>
      <c r="G2900" s="4">
        <v>43559</v>
      </c>
    </row>
    <row r="2901" spans="2:7">
      <c r="C2901" s="2" t="s">
        <v>5</v>
      </c>
      <c r="D2901" s="2" t="s">
        <v>97</v>
      </c>
      <c r="E2901" s="3">
        <v>10</v>
      </c>
      <c r="F2901" s="3">
        <v>5</v>
      </c>
      <c r="G2901" s="4">
        <v>42304</v>
      </c>
    </row>
    <row r="2902" spans="2:7">
      <c r="G2902" s="4"/>
    </row>
    <row r="2903" spans="2:7">
      <c r="B2903" s="1" t="s">
        <v>98</v>
      </c>
      <c r="C2903" s="2" t="s">
        <v>7</v>
      </c>
      <c r="D2903" s="2" t="s">
        <v>97</v>
      </c>
      <c r="E2903" s="3">
        <v>15</v>
      </c>
      <c r="F2903" s="3">
        <v>3.2</v>
      </c>
      <c r="G2903" s="4">
        <v>43559</v>
      </c>
    </row>
    <row r="2904" spans="2:7">
      <c r="G2904" s="4"/>
    </row>
    <row r="2905" spans="2:7">
      <c r="B2905" s="1" t="s">
        <v>96</v>
      </c>
      <c r="C2905" s="2" t="s">
        <v>7</v>
      </c>
      <c r="D2905" s="2" t="s">
        <v>89</v>
      </c>
      <c r="E2905" s="3">
        <v>25</v>
      </c>
      <c r="F2905" s="3">
        <f>15/6</f>
        <v>2.5</v>
      </c>
      <c r="G2905" s="4">
        <v>44642</v>
      </c>
    </row>
    <row r="2906" spans="2:7">
      <c r="G2906" s="4"/>
    </row>
    <row r="2907" spans="2:7">
      <c r="B2907" s="1" t="s">
        <v>95</v>
      </c>
      <c r="C2907" s="2" t="s">
        <v>7</v>
      </c>
      <c r="D2907" s="2" t="s">
        <v>89</v>
      </c>
      <c r="E2907" s="3">
        <v>25</v>
      </c>
      <c r="F2907" s="3">
        <f>15/6</f>
        <v>2.5</v>
      </c>
      <c r="G2907" s="4">
        <v>44642</v>
      </c>
    </row>
    <row r="2908" spans="2:7">
      <c r="C2908" s="2" t="s">
        <v>5</v>
      </c>
      <c r="D2908" s="2" t="s">
        <v>89</v>
      </c>
      <c r="E2908" s="3">
        <v>13.5</v>
      </c>
      <c r="F2908" s="3">
        <f>10/6</f>
        <v>1.6666666666666667</v>
      </c>
      <c r="G2908" s="4">
        <v>43978</v>
      </c>
    </row>
    <row r="2909" spans="2:7">
      <c r="C2909" s="2" t="s">
        <v>4</v>
      </c>
      <c r="D2909" s="2" t="s">
        <v>89</v>
      </c>
      <c r="E2909" s="3">
        <v>5.3</v>
      </c>
      <c r="F2909" s="3">
        <f>4/7</f>
        <v>0.5714285714285714</v>
      </c>
      <c r="G2909" s="4">
        <v>43398</v>
      </c>
    </row>
    <row r="2910" spans="2:7">
      <c r="C2910" s="2" t="s">
        <v>4</v>
      </c>
      <c r="D2910" s="2" t="s">
        <v>89</v>
      </c>
      <c r="E2910" s="3">
        <v>4</v>
      </c>
      <c r="F2910" s="3">
        <f>2.5/4</f>
        <v>0.625</v>
      </c>
      <c r="G2910" s="4">
        <v>43122</v>
      </c>
    </row>
    <row r="2911" spans="2:7">
      <c r="G2911" s="4"/>
    </row>
    <row r="2912" spans="2:7">
      <c r="B2912" s="1" t="s">
        <v>94</v>
      </c>
      <c r="C2912" s="2" t="s">
        <v>7</v>
      </c>
      <c r="D2912" s="2" t="s">
        <v>89</v>
      </c>
      <c r="E2912" s="3">
        <v>25</v>
      </c>
      <c r="F2912" s="3">
        <f>15/6</f>
        <v>2.5</v>
      </c>
      <c r="G2912" s="4">
        <v>44642</v>
      </c>
    </row>
    <row r="2913" spans="2:9">
      <c r="C2913" s="2" t="s">
        <v>5</v>
      </c>
      <c r="D2913" s="2" t="s">
        <v>89</v>
      </c>
      <c r="E2913" s="3">
        <v>13.5</v>
      </c>
      <c r="F2913" s="3">
        <v>4</v>
      </c>
      <c r="G2913" s="4">
        <v>43978</v>
      </c>
    </row>
    <row r="2914" spans="2:9">
      <c r="G2914" s="4"/>
    </row>
    <row r="2915" spans="2:9">
      <c r="B2915" s="1" t="s">
        <v>93</v>
      </c>
      <c r="C2915" s="2" t="s">
        <v>5</v>
      </c>
      <c r="D2915" s="2" t="s">
        <v>89</v>
      </c>
      <c r="E2915" s="3">
        <v>13.5</v>
      </c>
      <c r="F2915" s="3">
        <f>10/6</f>
        <v>1.6666666666666667</v>
      </c>
      <c r="G2915" s="4">
        <v>43978</v>
      </c>
    </row>
    <row r="2916" spans="2:9">
      <c r="C2916" s="2" t="s">
        <v>4</v>
      </c>
      <c r="D2916" s="2" t="s">
        <v>89</v>
      </c>
      <c r="E2916" s="3">
        <v>5.3</v>
      </c>
      <c r="F2916" s="3">
        <f>4/7</f>
        <v>0.5714285714285714</v>
      </c>
      <c r="G2916" s="4">
        <v>43398</v>
      </c>
    </row>
    <row r="2917" spans="2:9">
      <c r="G2917" s="4"/>
    </row>
    <row r="2918" spans="2:9">
      <c r="B2918" s="1" t="s">
        <v>92</v>
      </c>
      <c r="C2918" s="2" t="s">
        <v>5</v>
      </c>
      <c r="D2918" s="2" t="s">
        <v>89</v>
      </c>
      <c r="E2918" s="3">
        <v>13.5</v>
      </c>
      <c r="F2918" s="3">
        <f>10/6</f>
        <v>1.6666666666666667</v>
      </c>
      <c r="G2918" s="4">
        <v>43978</v>
      </c>
    </row>
    <row r="2919" spans="2:9">
      <c r="C2919" s="2" t="s">
        <v>4</v>
      </c>
      <c r="D2919" s="2" t="s">
        <v>89</v>
      </c>
      <c r="E2919" s="3">
        <v>5.3</v>
      </c>
      <c r="F2919" s="3">
        <f>4/7</f>
        <v>0.5714285714285714</v>
      </c>
      <c r="G2919" s="4">
        <v>43398</v>
      </c>
    </row>
    <row r="2920" spans="2:9">
      <c r="G2920" s="4"/>
    </row>
    <row r="2921" spans="2:9">
      <c r="B2921" s="1" t="s">
        <v>91</v>
      </c>
      <c r="C2921" s="2" t="s">
        <v>5</v>
      </c>
      <c r="D2921" s="2" t="s">
        <v>89</v>
      </c>
      <c r="E2921" s="3">
        <v>13.5</v>
      </c>
      <c r="F2921" s="3">
        <f>10/6</f>
        <v>1.6666666666666667</v>
      </c>
      <c r="G2921" s="4">
        <v>43978</v>
      </c>
    </row>
    <row r="2922" spans="2:9">
      <c r="G2922" s="4"/>
    </row>
    <row r="2923" spans="2:9">
      <c r="B2923" s="1" t="s">
        <v>90</v>
      </c>
      <c r="C2923" s="2" t="s">
        <v>4</v>
      </c>
      <c r="D2923" s="2" t="s">
        <v>89</v>
      </c>
      <c r="E2923" s="3">
        <v>5.3</v>
      </c>
      <c r="F2923" s="3">
        <f>4/7</f>
        <v>0.5714285714285714</v>
      </c>
      <c r="G2923" s="4">
        <v>43398</v>
      </c>
    </row>
    <row r="2924" spans="2:9">
      <c r="C2924" s="2" t="s">
        <v>4</v>
      </c>
      <c r="D2924" s="2" t="s">
        <v>89</v>
      </c>
      <c r="E2924" s="3">
        <v>4</v>
      </c>
      <c r="F2924" s="3">
        <f>2.5/4</f>
        <v>0.625</v>
      </c>
      <c r="G2924" s="4">
        <v>43122</v>
      </c>
    </row>
    <row r="2925" spans="2:9">
      <c r="G2925" s="4"/>
    </row>
    <row r="2926" spans="2:9">
      <c r="B2926" s="1" t="s">
        <v>88</v>
      </c>
      <c r="C2926" s="2" t="s">
        <v>18</v>
      </c>
      <c r="D2926" s="2" t="s">
        <v>82</v>
      </c>
      <c r="E2926" s="3">
        <v>257</v>
      </c>
      <c r="F2926" s="3">
        <v>50</v>
      </c>
      <c r="G2926" s="4">
        <v>44201</v>
      </c>
      <c r="I2926" s="5">
        <v>1286</v>
      </c>
    </row>
    <row r="2927" spans="2:9">
      <c r="G2927" s="4"/>
      <c r="I2927" s="5"/>
    </row>
    <row r="2928" spans="2:9">
      <c r="B2928" s="1" t="s">
        <v>87</v>
      </c>
      <c r="C2928" s="2" t="s">
        <v>18</v>
      </c>
      <c r="D2928" s="2" t="s">
        <v>82</v>
      </c>
      <c r="E2928" s="3">
        <v>257</v>
      </c>
      <c r="F2928" s="3">
        <f>107/3</f>
        <v>35.666666666666664</v>
      </c>
      <c r="G2928" s="4">
        <v>44201</v>
      </c>
      <c r="I2928" s="5">
        <v>1286</v>
      </c>
    </row>
    <row r="2929" spans="2:11">
      <c r="C2929" s="2" t="s">
        <v>7</v>
      </c>
      <c r="D2929" s="2" t="s">
        <v>82</v>
      </c>
      <c r="E2929" s="3">
        <v>100</v>
      </c>
      <c r="F2929" s="3">
        <v>40</v>
      </c>
      <c r="G2929" s="4">
        <v>43958</v>
      </c>
      <c r="I2929" s="5">
        <f>4500/7</f>
        <v>642.85714285714289</v>
      </c>
    </row>
    <row r="2930" spans="2:11">
      <c r="C2930" s="2" t="s">
        <v>4</v>
      </c>
      <c r="D2930" s="2" t="s">
        <v>82</v>
      </c>
      <c r="E2930" s="3">
        <v>49</v>
      </c>
      <c r="F2930" s="3">
        <v>7.5</v>
      </c>
      <c r="G2930" s="4">
        <v>43319</v>
      </c>
      <c r="I2930" s="5"/>
    </row>
    <row r="2931" spans="2:11">
      <c r="G2931" s="4"/>
      <c r="I2931" s="5"/>
    </row>
    <row r="2932" spans="2:11">
      <c r="B2932" s="1" t="s">
        <v>86</v>
      </c>
      <c r="C2932" s="2" t="s">
        <v>7</v>
      </c>
      <c r="D2932" s="2" t="s">
        <v>82</v>
      </c>
      <c r="E2932" s="3">
        <v>100</v>
      </c>
      <c r="F2932" s="3">
        <v>20</v>
      </c>
      <c r="G2932" s="4">
        <v>43958</v>
      </c>
      <c r="I2932" s="5">
        <f>4500/7</f>
        <v>642.85714285714289</v>
      </c>
    </row>
    <row r="2933" spans="2:11">
      <c r="C2933" s="2" t="s">
        <v>4</v>
      </c>
      <c r="D2933" s="2" t="s">
        <v>82</v>
      </c>
      <c r="E2933" s="3">
        <v>49</v>
      </c>
      <c r="F2933" s="3">
        <v>7.5</v>
      </c>
      <c r="G2933" s="4">
        <v>43319</v>
      </c>
      <c r="I2933" s="5"/>
    </row>
    <row r="2934" spans="2:11">
      <c r="G2934" s="4"/>
      <c r="I2934" s="5"/>
    </row>
    <row r="2935" spans="2:11">
      <c r="B2935" s="1" t="s">
        <v>85</v>
      </c>
      <c r="C2935" s="2" t="s">
        <v>5</v>
      </c>
      <c r="D2935" s="2" t="s">
        <v>82</v>
      </c>
      <c r="E2935" s="3">
        <v>43</v>
      </c>
      <c r="F2935" s="3">
        <f>+E2935/6</f>
        <v>7.166666666666667</v>
      </c>
      <c r="G2935" s="4">
        <v>43622</v>
      </c>
    </row>
    <row r="2936" spans="2:11">
      <c r="C2936" s="2" t="s">
        <v>4</v>
      </c>
      <c r="D2936" s="2" t="s">
        <v>82</v>
      </c>
      <c r="E2936" s="3">
        <v>49</v>
      </c>
      <c r="F2936" s="3">
        <v>7.5</v>
      </c>
      <c r="G2936" s="4">
        <v>43319</v>
      </c>
    </row>
    <row r="2937" spans="2:11">
      <c r="G2937" s="4"/>
    </row>
    <row r="2938" spans="2:11">
      <c r="B2938" s="1" t="s">
        <v>84</v>
      </c>
      <c r="C2938" s="2" t="s">
        <v>5</v>
      </c>
      <c r="D2938" s="2" t="s">
        <v>82</v>
      </c>
      <c r="E2938" s="3">
        <v>43</v>
      </c>
      <c r="F2938" s="3">
        <f>+E2938/6</f>
        <v>7.166666666666667</v>
      </c>
      <c r="G2938" s="4">
        <v>43622</v>
      </c>
    </row>
    <row r="2939" spans="2:11">
      <c r="B2939" s="1" t="s">
        <v>83</v>
      </c>
      <c r="C2939" s="2" t="s">
        <v>5</v>
      </c>
      <c r="D2939" s="2" t="s">
        <v>82</v>
      </c>
      <c r="E2939" s="3">
        <v>43</v>
      </c>
      <c r="F2939" s="3">
        <f>+E2939/6</f>
        <v>7.166666666666667</v>
      </c>
      <c r="G2939" s="4">
        <v>43622</v>
      </c>
    </row>
    <row r="2940" spans="2:11">
      <c r="B2940" s="1" t="s">
        <v>81</v>
      </c>
      <c r="C2940" s="2" t="s">
        <v>55</v>
      </c>
      <c r="D2940" s="2" t="s">
        <v>76</v>
      </c>
      <c r="E2940" s="3">
        <v>250</v>
      </c>
      <c r="F2940" s="3">
        <v>150</v>
      </c>
      <c r="G2940" s="4">
        <v>44510</v>
      </c>
      <c r="I2940" s="1">
        <v>3800</v>
      </c>
      <c r="J2940" s="1">
        <v>3800</v>
      </c>
      <c r="K2940" s="5">
        <f>(E2940/(I2940+E2940))*J2940*(F2940/E2940)</f>
        <v>140.74074074074073</v>
      </c>
    </row>
    <row r="2941" spans="2:11">
      <c r="G2941" s="4"/>
      <c r="K2941" s="5"/>
    </row>
    <row r="2942" spans="2:11">
      <c r="B2942" s="1" t="s">
        <v>80</v>
      </c>
      <c r="C2942" s="2" t="s">
        <v>55</v>
      </c>
      <c r="D2942" s="2" t="s">
        <v>76</v>
      </c>
      <c r="E2942" s="3">
        <v>250</v>
      </c>
      <c r="F2942" s="3">
        <v>50</v>
      </c>
      <c r="G2942" s="4">
        <v>44510</v>
      </c>
      <c r="I2942" s="1">
        <v>3800</v>
      </c>
      <c r="J2942" s="1">
        <v>3800</v>
      </c>
      <c r="K2942" s="5">
        <f>(E2942/(I2942+E2942))*J2942*(F2942/E2942)</f>
        <v>46.913580246913583</v>
      </c>
    </row>
    <row r="2943" spans="2:11">
      <c r="C2943" s="2" t="s">
        <v>9</v>
      </c>
      <c r="D2943" s="2" t="s">
        <v>49</v>
      </c>
      <c r="E2943" s="3">
        <v>248</v>
      </c>
      <c r="F2943" s="3">
        <f>150/4</f>
        <v>37.5</v>
      </c>
      <c r="G2943" s="4">
        <v>43678</v>
      </c>
      <c r="I2943" s="1">
        <v>1700</v>
      </c>
      <c r="J2943" s="1">
        <v>4100</v>
      </c>
      <c r="K2943" s="5">
        <f>(E2943/(I2943+E2943))*J2943*(F2943/E2943)</f>
        <v>78.927104722792606</v>
      </c>
    </row>
    <row r="2944" spans="2:11">
      <c r="G2944" s="4"/>
      <c r="K2944" s="5"/>
    </row>
    <row r="2945" spans="2:11">
      <c r="B2945" s="1" t="s">
        <v>79</v>
      </c>
      <c r="C2945" s="2" t="s">
        <v>8</v>
      </c>
      <c r="D2945" s="2" t="s">
        <v>76</v>
      </c>
      <c r="E2945" s="3">
        <v>81</v>
      </c>
      <c r="F2945" s="3">
        <f>+E2945/6</f>
        <v>13.5</v>
      </c>
      <c r="G2945" s="4">
        <v>43418</v>
      </c>
      <c r="I2945" s="1">
        <v>1700</v>
      </c>
      <c r="J2945" s="1">
        <v>3800</v>
      </c>
      <c r="K2945" s="5">
        <f>(E2945/(I2945+E2945))*J2945*(F2945/E2945)</f>
        <v>28.804042672655811</v>
      </c>
    </row>
    <row r="2946" spans="2:11">
      <c r="G2946" s="4"/>
      <c r="K2946" s="5"/>
    </row>
    <row r="2947" spans="2:11">
      <c r="B2947" s="1" t="s">
        <v>77</v>
      </c>
      <c r="C2947" s="2" t="s">
        <v>8</v>
      </c>
      <c r="D2947" s="2" t="s">
        <v>76</v>
      </c>
      <c r="E2947" s="3">
        <v>81</v>
      </c>
      <c r="F2947" s="3">
        <f>+E2947/6</f>
        <v>13.5</v>
      </c>
      <c r="G2947" s="4">
        <v>43418</v>
      </c>
      <c r="I2947" s="1">
        <v>1700</v>
      </c>
      <c r="J2947" s="1">
        <v>3800</v>
      </c>
      <c r="K2947" s="5">
        <f>(E2947/(I2947+E2947))*J2947*(F2947/E2947)</f>
        <v>28.804042672655811</v>
      </c>
    </row>
    <row r="2948" spans="2:11">
      <c r="C2948" s="2" t="s">
        <v>18</v>
      </c>
      <c r="D2948" s="2" t="s">
        <v>76</v>
      </c>
      <c r="E2948" s="3">
        <v>60</v>
      </c>
      <c r="F2948" s="3">
        <f>+E2948/5</f>
        <v>12</v>
      </c>
      <c r="G2948" s="4">
        <v>42736</v>
      </c>
      <c r="I2948" s="1">
        <v>800</v>
      </c>
      <c r="J2948" s="1">
        <v>3800</v>
      </c>
      <c r="K2948" s="5">
        <f>(E2948/(I2948+E2948))*J2948*(F2948/E2948)</f>
        <v>53.023255813953483</v>
      </c>
    </row>
    <row r="2949" spans="2:11">
      <c r="C2949" s="2" t="s">
        <v>7</v>
      </c>
      <c r="D2949" s="2" t="s">
        <v>76</v>
      </c>
      <c r="E2949" s="3">
        <v>25</v>
      </c>
      <c r="F2949" s="3">
        <v>15</v>
      </c>
      <c r="G2949" s="4">
        <v>42723</v>
      </c>
      <c r="I2949" s="1">
        <v>245</v>
      </c>
      <c r="J2949" s="1">
        <v>3800</v>
      </c>
      <c r="K2949" s="5">
        <f>(E2949/(I2949+E2949))*J2949*(F2949/E2949)</f>
        <v>211.11111111111111</v>
      </c>
    </row>
    <row r="2950" spans="2:11">
      <c r="G2950" s="4"/>
      <c r="K2950" s="5"/>
    </row>
    <row r="2951" spans="2:11">
      <c r="B2951" s="1" t="s">
        <v>75</v>
      </c>
      <c r="C2951" s="2" t="s">
        <v>7</v>
      </c>
      <c r="D2951" s="2" t="s">
        <v>66</v>
      </c>
      <c r="E2951" s="3">
        <f>1600/7</f>
        <v>228.57142857142858</v>
      </c>
      <c r="F2951" s="3">
        <v>30</v>
      </c>
      <c r="G2951" s="4">
        <v>44550</v>
      </c>
    </row>
    <row r="2952" spans="2:11">
      <c r="G2952" s="4"/>
    </row>
    <row r="2953" spans="2:11">
      <c r="B2953" s="1" t="s">
        <v>74</v>
      </c>
      <c r="C2953" s="2" t="s">
        <v>5</v>
      </c>
      <c r="D2953" s="2" t="s">
        <v>73</v>
      </c>
      <c r="E2953" s="3">
        <v>10</v>
      </c>
      <c r="F2953" s="3">
        <v>6</v>
      </c>
      <c r="G2953" s="4">
        <v>44825</v>
      </c>
    </row>
    <row r="2954" spans="2:11">
      <c r="C2954" s="2" t="s">
        <v>7</v>
      </c>
      <c r="D2954" s="2" t="s">
        <v>66</v>
      </c>
      <c r="E2954" s="3">
        <f>1600/7</f>
        <v>228.57142857142858</v>
      </c>
      <c r="F2954" s="3">
        <v>30</v>
      </c>
      <c r="G2954" s="4">
        <v>44550</v>
      </c>
    </row>
    <row r="2955" spans="2:11">
      <c r="C2955" s="2" t="s">
        <v>5</v>
      </c>
      <c r="D2955" s="2" t="s">
        <v>66</v>
      </c>
      <c r="E2955" s="3">
        <f>500/7</f>
        <v>71.428571428571431</v>
      </c>
      <c r="F2955" s="3">
        <f>E2955/2</f>
        <v>35.714285714285715</v>
      </c>
      <c r="G2955" s="4">
        <v>44315</v>
      </c>
    </row>
    <row r="2957" spans="2:11">
      <c r="B2957" s="1" t="s">
        <v>72</v>
      </c>
      <c r="C2957" s="2" t="s">
        <v>7</v>
      </c>
      <c r="D2957" s="2" t="s">
        <v>66</v>
      </c>
      <c r="E2957" s="3">
        <f>1600/7</f>
        <v>228.57142857142858</v>
      </c>
      <c r="F2957" s="3">
        <v>30</v>
      </c>
      <c r="G2957" s="4">
        <v>44550</v>
      </c>
    </row>
    <row r="2958" spans="2:11">
      <c r="B2958" s="1" t="s">
        <v>71</v>
      </c>
      <c r="C2958" s="2" t="s">
        <v>7</v>
      </c>
      <c r="D2958" s="2" t="s">
        <v>66</v>
      </c>
      <c r="E2958" s="3">
        <f>1600/7</f>
        <v>228.57142857142858</v>
      </c>
      <c r="F2958" s="3">
        <v>30</v>
      </c>
      <c r="G2958" s="4">
        <v>44550</v>
      </c>
    </row>
    <row r="2959" spans="2:11">
      <c r="D2959" s="2" t="s">
        <v>66</v>
      </c>
      <c r="E2959" s="3">
        <v>50</v>
      </c>
      <c r="F2959" s="3">
        <f>20/4</f>
        <v>5</v>
      </c>
      <c r="G2959" s="4">
        <v>44165</v>
      </c>
    </row>
    <row r="2960" spans="2:11">
      <c r="B2960" s="1" t="s">
        <v>70</v>
      </c>
      <c r="C2960" s="2" t="s">
        <v>7</v>
      </c>
      <c r="D2960" s="2" t="s">
        <v>66</v>
      </c>
      <c r="E2960" s="3">
        <f>1600/7</f>
        <v>228.57142857142858</v>
      </c>
      <c r="F2960" s="3">
        <v>30</v>
      </c>
      <c r="G2960" s="4">
        <v>44550</v>
      </c>
    </row>
    <row r="2961" spans="2:10">
      <c r="B2961" s="1" t="s">
        <v>69</v>
      </c>
      <c r="C2961" s="2" t="s">
        <v>5</v>
      </c>
      <c r="D2961" s="2" t="s">
        <v>66</v>
      </c>
      <c r="E2961" s="3">
        <f>500/7</f>
        <v>71.428571428571431</v>
      </c>
      <c r="F2961" s="3">
        <f>E2961/2</f>
        <v>35.714285714285715</v>
      </c>
      <c r="G2961" s="4">
        <v>44315</v>
      </c>
    </row>
    <row r="2962" spans="2:10">
      <c r="B2962" s="1" t="s">
        <v>68</v>
      </c>
      <c r="C2962" s="2" t="s">
        <v>5</v>
      </c>
      <c r="D2962" s="2" t="s">
        <v>66</v>
      </c>
      <c r="E2962" s="3">
        <v>50</v>
      </c>
      <c r="F2962" s="3">
        <v>10</v>
      </c>
      <c r="G2962" s="4">
        <v>44165</v>
      </c>
    </row>
    <row r="2963" spans="2:10">
      <c r="B2963" s="1" t="s">
        <v>67</v>
      </c>
      <c r="C2963" s="2" t="s">
        <v>5</v>
      </c>
      <c r="D2963" s="2" t="s">
        <v>66</v>
      </c>
      <c r="E2963" s="3">
        <v>50</v>
      </c>
      <c r="F2963" s="3">
        <f>20/4</f>
        <v>5</v>
      </c>
      <c r="G2963" s="4">
        <v>44165</v>
      </c>
    </row>
    <row r="2964" spans="2:10">
      <c r="B2964" s="1" t="s">
        <v>65</v>
      </c>
      <c r="C2964" s="2" t="s">
        <v>8</v>
      </c>
      <c r="D2964" s="2" t="s">
        <v>59</v>
      </c>
      <c r="E2964" s="3">
        <v>250</v>
      </c>
      <c r="F2964" s="3">
        <v>100</v>
      </c>
      <c r="G2964" s="4">
        <v>45069</v>
      </c>
    </row>
    <row r="2965" spans="2:10">
      <c r="B2965" s="1" t="s">
        <v>64</v>
      </c>
      <c r="C2965" s="2" t="s">
        <v>8</v>
      </c>
      <c r="D2965" s="2" t="s">
        <v>59</v>
      </c>
      <c r="E2965" s="3">
        <v>250</v>
      </c>
      <c r="F2965" s="3">
        <f>150/4</f>
        <v>37.5</v>
      </c>
      <c r="G2965" s="4">
        <v>45069</v>
      </c>
    </row>
    <row r="2966" spans="2:10">
      <c r="C2966" s="2" t="s">
        <v>18</v>
      </c>
      <c r="D2966" s="2" t="s">
        <v>59</v>
      </c>
      <c r="E2966" s="3">
        <v>100</v>
      </c>
      <c r="F2966" s="3">
        <f>75/5</f>
        <v>15</v>
      </c>
      <c r="G2966" s="4">
        <v>44650</v>
      </c>
    </row>
    <row r="2967" spans="2:10">
      <c r="C2967" s="2" t="s">
        <v>5</v>
      </c>
      <c r="D2967" s="2" t="s">
        <v>59</v>
      </c>
      <c r="E2967" s="3">
        <v>29.5</v>
      </c>
      <c r="F2967" s="3">
        <v>12</v>
      </c>
      <c r="G2967" s="4">
        <v>43410</v>
      </c>
    </row>
    <row r="2968" spans="2:10">
      <c r="B2968" s="1" t="s">
        <v>63</v>
      </c>
      <c r="C2968" s="2" t="s">
        <v>8</v>
      </c>
      <c r="D2968" s="2" t="s">
        <v>59</v>
      </c>
      <c r="E2968" s="3">
        <v>250</v>
      </c>
      <c r="F2968" s="3">
        <f>150/4</f>
        <v>37.5</v>
      </c>
      <c r="G2968" s="4">
        <v>45069</v>
      </c>
    </row>
    <row r="2969" spans="2:10">
      <c r="C2969" s="2" t="s">
        <v>18</v>
      </c>
      <c r="D2969" s="2" t="s">
        <v>59</v>
      </c>
      <c r="E2969" s="3">
        <v>100</v>
      </c>
      <c r="F2969" s="3">
        <f>75/5</f>
        <v>15</v>
      </c>
      <c r="G2969" s="4">
        <v>44650</v>
      </c>
    </row>
    <row r="2970" spans="2:10">
      <c r="B2970" s="1" t="s">
        <v>62</v>
      </c>
      <c r="C2970" s="2" t="s">
        <v>18</v>
      </c>
      <c r="D2970" s="2" t="s">
        <v>59</v>
      </c>
      <c r="E2970" s="3">
        <v>100</v>
      </c>
      <c r="F2970" s="3">
        <f>75/5</f>
        <v>15</v>
      </c>
      <c r="G2970" s="4">
        <v>44650</v>
      </c>
    </row>
    <row r="2971" spans="2:10">
      <c r="B2971" s="1" t="s">
        <v>61</v>
      </c>
      <c r="C2971" s="2" t="s">
        <v>18</v>
      </c>
      <c r="D2971" s="2" t="s">
        <v>59</v>
      </c>
      <c r="E2971" s="3">
        <v>100</v>
      </c>
      <c r="F2971" s="3">
        <f>75/5</f>
        <v>15</v>
      </c>
      <c r="G2971" s="4">
        <v>44650</v>
      </c>
    </row>
    <row r="2972" spans="2:10">
      <c r="B2972" s="1" t="s">
        <v>60</v>
      </c>
      <c r="C2972" s="2" t="s">
        <v>5</v>
      </c>
      <c r="D2972" s="2" t="s">
        <v>59</v>
      </c>
      <c r="E2972" s="3">
        <v>29.5</v>
      </c>
      <c r="F2972" s="3">
        <f>E2972-24</f>
        <v>5.5</v>
      </c>
      <c r="G2972" s="4">
        <v>43410</v>
      </c>
    </row>
    <row r="2973" spans="2:10">
      <c r="G2973" s="4"/>
    </row>
    <row r="2974" spans="2:10">
      <c r="B2974" s="1" t="s">
        <v>58</v>
      </c>
      <c r="C2974" s="2" t="s">
        <v>8</v>
      </c>
      <c r="D2974" s="2" t="s">
        <v>57</v>
      </c>
      <c r="E2974" s="3">
        <v>200</v>
      </c>
      <c r="F2974" s="3">
        <v>18.75</v>
      </c>
      <c r="G2974" s="4">
        <v>44055</v>
      </c>
      <c r="I2974" s="1">
        <v>2000</v>
      </c>
      <c r="J2974" s="1">
        <v>7000</v>
      </c>
    </row>
    <row r="2975" spans="2:10">
      <c r="C2975" s="2" t="s">
        <v>18</v>
      </c>
      <c r="D2975" s="2" t="s">
        <v>57</v>
      </c>
      <c r="E2975" s="3">
        <v>65</v>
      </c>
      <c r="F2975" s="3">
        <v>8</v>
      </c>
      <c r="G2975" s="4">
        <v>43802</v>
      </c>
      <c r="I2975" s="1">
        <v>685</v>
      </c>
      <c r="J2975" s="1">
        <v>7000</v>
      </c>
    </row>
    <row r="2976" spans="2:10">
      <c r="C2976" s="2" t="s">
        <v>7</v>
      </c>
      <c r="D2976" s="2" t="s">
        <v>57</v>
      </c>
      <c r="E2976" s="3">
        <v>20</v>
      </c>
      <c r="F2976" s="3">
        <v>5</v>
      </c>
      <c r="G2976" s="4">
        <v>42898</v>
      </c>
      <c r="J2976" s="1">
        <v>7000</v>
      </c>
    </row>
    <row r="2977" spans="2:10">
      <c r="G2977" s="4"/>
    </row>
    <row r="2978" spans="2:10">
      <c r="B2978" s="1" t="s">
        <v>56</v>
      </c>
      <c r="C2978" s="2" t="s">
        <v>55</v>
      </c>
      <c r="D2978" s="2" t="s">
        <v>49</v>
      </c>
      <c r="E2978" s="3">
        <v>100</v>
      </c>
      <c r="F2978" s="3">
        <v>11</v>
      </c>
      <c r="G2978" s="4">
        <v>44515</v>
      </c>
      <c r="I2978" s="1">
        <v>4100</v>
      </c>
      <c r="J2978" s="1">
        <v>4100</v>
      </c>
    </row>
    <row r="2979" spans="2:10">
      <c r="C2979" s="2" t="s">
        <v>18</v>
      </c>
      <c r="D2979" s="2" t="s">
        <v>49</v>
      </c>
      <c r="E2979" s="3">
        <v>60</v>
      </c>
      <c r="F2979" s="3">
        <v>20</v>
      </c>
      <c r="G2979" s="4">
        <v>42964</v>
      </c>
      <c r="J2979" s="1">
        <v>4100</v>
      </c>
    </row>
    <row r="2980" spans="2:10">
      <c r="C2980" s="2" t="s">
        <v>9</v>
      </c>
      <c r="D2980" s="2" t="s">
        <v>54</v>
      </c>
      <c r="E2980" s="3">
        <v>220</v>
      </c>
      <c r="F2980" s="3">
        <v>28</v>
      </c>
      <c r="G2980" s="4">
        <v>44357</v>
      </c>
      <c r="I2980" s="1">
        <v>1900</v>
      </c>
      <c r="J2980" s="1">
        <v>1900</v>
      </c>
    </row>
    <row r="2981" spans="2:10">
      <c r="C2981" s="2" t="s">
        <v>8</v>
      </c>
      <c r="D2981" s="2" t="s">
        <v>54</v>
      </c>
      <c r="E2981" s="3">
        <v>125</v>
      </c>
      <c r="F2981" s="3">
        <v>18.75</v>
      </c>
      <c r="G2981" s="4">
        <v>44131</v>
      </c>
      <c r="I2981" s="1">
        <v>875</v>
      </c>
      <c r="J2981" s="1">
        <v>1900</v>
      </c>
    </row>
    <row r="2982" spans="2:10">
      <c r="G2982" s="4"/>
    </row>
    <row r="2983" spans="2:10">
      <c r="B2983" s="1" t="s">
        <v>53</v>
      </c>
      <c r="C2983" s="2" t="s">
        <v>8</v>
      </c>
      <c r="D2983" s="2" t="s">
        <v>49</v>
      </c>
      <c r="E2983" s="3">
        <v>145</v>
      </c>
      <c r="F2983" s="3">
        <f>85/6</f>
        <v>14.166666666666666</v>
      </c>
      <c r="G2983" s="4">
        <v>43228</v>
      </c>
      <c r="I2983" s="1">
        <v>855</v>
      </c>
      <c r="J2983" s="1">
        <v>4100</v>
      </c>
    </row>
    <row r="2984" spans="2:10">
      <c r="B2984" s="1" t="s">
        <v>52</v>
      </c>
      <c r="C2984" s="2" t="s">
        <v>8</v>
      </c>
      <c r="D2984" s="2" t="s">
        <v>49</v>
      </c>
      <c r="E2984" s="3">
        <v>145</v>
      </c>
      <c r="F2984" s="3">
        <f>85/6</f>
        <v>14.166666666666666</v>
      </c>
      <c r="G2984" s="4">
        <v>43228</v>
      </c>
      <c r="I2984" s="1">
        <v>855</v>
      </c>
      <c r="J2984" s="1">
        <v>4100</v>
      </c>
    </row>
    <row r="2985" spans="2:10">
      <c r="B2985" s="1" t="s">
        <v>51</v>
      </c>
      <c r="C2985" s="2" t="s">
        <v>5</v>
      </c>
      <c r="D2985" s="2" t="s">
        <v>49</v>
      </c>
      <c r="E2985" s="3">
        <v>10.7</v>
      </c>
      <c r="F2985" s="3">
        <v>2.5</v>
      </c>
      <c r="G2985" s="4">
        <v>41076</v>
      </c>
      <c r="J2985" s="1">
        <v>4100</v>
      </c>
    </row>
    <row r="2986" spans="2:10">
      <c r="B2986" s="1" t="s">
        <v>50</v>
      </c>
      <c r="C2986" s="2" t="s">
        <v>5</v>
      </c>
      <c r="D2986" s="2" t="s">
        <v>49</v>
      </c>
      <c r="E2986" s="3">
        <v>10.7</v>
      </c>
      <c r="F2986" s="3">
        <v>2.5</v>
      </c>
      <c r="G2986" s="4">
        <v>41076</v>
      </c>
      <c r="J2986" s="1">
        <v>4100</v>
      </c>
    </row>
    <row r="2987" spans="2:10">
      <c r="G2987" s="4"/>
    </row>
    <row r="2988" spans="2:10">
      <c r="B2988" s="1" t="s">
        <v>48</v>
      </c>
      <c r="C2988" s="2" t="s">
        <v>9</v>
      </c>
      <c r="D2988" s="2" t="s">
        <v>41</v>
      </c>
      <c r="E2988" s="3">
        <v>230</v>
      </c>
      <c r="F2988" s="3">
        <v>60</v>
      </c>
      <c r="G2988" s="4">
        <v>44984</v>
      </c>
      <c r="I2988" s="1">
        <v>2000</v>
      </c>
      <c r="J2988" s="1">
        <v>2000</v>
      </c>
    </row>
    <row r="2989" spans="2:10">
      <c r="C2989" s="2" t="s">
        <v>8</v>
      </c>
      <c r="D2989" s="2" t="s">
        <v>41</v>
      </c>
      <c r="E2989" s="3">
        <v>170</v>
      </c>
      <c r="F2989" s="3">
        <v>22</v>
      </c>
      <c r="G2989" s="4">
        <v>44255</v>
      </c>
      <c r="I2989" s="1">
        <v>830</v>
      </c>
      <c r="J2989" s="1">
        <v>2000</v>
      </c>
    </row>
    <row r="2990" spans="2:10">
      <c r="C2990" s="2" t="s">
        <v>7</v>
      </c>
      <c r="D2990" s="2" t="s">
        <v>2180</v>
      </c>
      <c r="E2990" s="3">
        <v>176</v>
      </c>
      <c r="F2990" s="3">
        <v>13</v>
      </c>
      <c r="G2990" s="4">
        <v>44578</v>
      </c>
    </row>
    <row r="2991" spans="2:10">
      <c r="G2991" s="4"/>
    </row>
    <row r="2992" spans="2:10">
      <c r="B2992" s="1" t="s">
        <v>47</v>
      </c>
      <c r="C2992" s="2" t="s">
        <v>9</v>
      </c>
      <c r="D2992" s="2" t="s">
        <v>41</v>
      </c>
      <c r="E2992" s="3">
        <v>230</v>
      </c>
      <c r="F2992" s="3">
        <f>170/7</f>
        <v>24.285714285714285</v>
      </c>
      <c r="G2992" s="4">
        <v>44984</v>
      </c>
      <c r="I2992" s="1">
        <v>2000</v>
      </c>
      <c r="J2992" s="1">
        <v>2000</v>
      </c>
    </row>
    <row r="2993" spans="2:10">
      <c r="C2993" s="2" t="s">
        <v>8</v>
      </c>
      <c r="D2993" s="2" t="s">
        <v>41</v>
      </c>
      <c r="E2993" s="3">
        <v>170</v>
      </c>
      <c r="F2993" s="3">
        <v>22</v>
      </c>
      <c r="G2993" s="4">
        <v>44255</v>
      </c>
      <c r="I2993" s="1">
        <v>830</v>
      </c>
      <c r="J2993" s="1">
        <v>2000</v>
      </c>
    </row>
    <row r="2994" spans="2:10">
      <c r="B2994" s="1" t="s">
        <v>46</v>
      </c>
      <c r="C2994" s="2" t="s">
        <v>9</v>
      </c>
      <c r="D2994" s="2" t="s">
        <v>41</v>
      </c>
      <c r="E2994" s="3">
        <v>230</v>
      </c>
      <c r="F2994" s="3">
        <f>170/7</f>
        <v>24.285714285714285</v>
      </c>
      <c r="G2994" s="4">
        <v>44984</v>
      </c>
      <c r="I2994" s="1">
        <v>2000</v>
      </c>
      <c r="J2994" s="1">
        <v>2000</v>
      </c>
    </row>
    <row r="2995" spans="2:10">
      <c r="B2995" s="1" t="s">
        <v>45</v>
      </c>
      <c r="C2995" s="2" t="s">
        <v>9</v>
      </c>
      <c r="D2995" s="2" t="s">
        <v>41</v>
      </c>
      <c r="E2995" s="3">
        <v>230</v>
      </c>
      <c r="F2995" s="3">
        <f>170/7</f>
        <v>24.285714285714285</v>
      </c>
      <c r="G2995" s="4">
        <v>44984</v>
      </c>
      <c r="I2995" s="1">
        <v>2000</v>
      </c>
      <c r="J2995" s="1">
        <v>2000</v>
      </c>
    </row>
    <row r="2996" spans="2:10">
      <c r="B2996" s="1" t="s">
        <v>44</v>
      </c>
      <c r="C2996" s="2" t="s">
        <v>18</v>
      </c>
      <c r="D2996" s="2" t="s">
        <v>41</v>
      </c>
      <c r="E2996" s="3">
        <v>100</v>
      </c>
      <c r="F2996" s="3">
        <v>15</v>
      </c>
      <c r="G2996" s="4">
        <v>44025</v>
      </c>
      <c r="J2996" s="1">
        <v>2000</v>
      </c>
    </row>
    <row r="2997" spans="2:10">
      <c r="B2997" s="1" t="s">
        <v>43</v>
      </c>
      <c r="C2997" s="2" t="s">
        <v>7</v>
      </c>
      <c r="D2997" s="2" t="s">
        <v>41</v>
      </c>
      <c r="E2997" s="3">
        <v>42</v>
      </c>
      <c r="F2997" s="3">
        <f>22/3</f>
        <v>7.333333333333333</v>
      </c>
      <c r="G2997" s="4">
        <v>43144</v>
      </c>
      <c r="J2997" s="1">
        <v>2000</v>
      </c>
    </row>
    <row r="2998" spans="2:10">
      <c r="B2998" s="1" t="s">
        <v>42</v>
      </c>
      <c r="C2998" s="2" t="s">
        <v>5</v>
      </c>
      <c r="D2998" s="2" t="s">
        <v>41</v>
      </c>
      <c r="E2998" s="3">
        <v>25</v>
      </c>
      <c r="F2998" s="3">
        <v>5</v>
      </c>
      <c r="G2998" s="4">
        <v>42374</v>
      </c>
      <c r="J2998" s="1">
        <v>2000</v>
      </c>
    </row>
    <row r="2999" spans="2:10">
      <c r="G2999" s="4"/>
    </row>
    <row r="3000" spans="2:10">
      <c r="B3000" s="1" t="s">
        <v>40</v>
      </c>
      <c r="C3000" s="2" t="s">
        <v>18</v>
      </c>
      <c r="D3000" s="2" t="s">
        <v>34</v>
      </c>
      <c r="E3000" s="3">
        <v>230</v>
      </c>
      <c r="F3000" s="3">
        <v>40</v>
      </c>
      <c r="G3000" s="4">
        <v>43634</v>
      </c>
      <c r="I3000" s="1">
        <v>770</v>
      </c>
      <c r="J3000" s="1">
        <v>770</v>
      </c>
    </row>
    <row r="3001" spans="2:10">
      <c r="C3001" s="2" t="s">
        <v>8</v>
      </c>
      <c r="D3001" s="2" t="s">
        <v>15</v>
      </c>
      <c r="E3001" s="3">
        <v>220</v>
      </c>
      <c r="F3001" s="3">
        <v>27</v>
      </c>
      <c r="G3001" s="4">
        <v>44322</v>
      </c>
      <c r="I3001" s="1">
        <v>780</v>
      </c>
      <c r="J3001" s="1">
        <v>780</v>
      </c>
    </row>
    <row r="3002" spans="2:10">
      <c r="G3002" s="4"/>
    </row>
    <row r="3003" spans="2:10">
      <c r="B3003" s="1" t="s">
        <v>39</v>
      </c>
      <c r="C3003" s="2" t="s">
        <v>18</v>
      </c>
      <c r="D3003" s="2" t="s">
        <v>34</v>
      </c>
      <c r="E3003" s="3">
        <v>230</v>
      </c>
      <c r="F3003" s="3">
        <f>110/7</f>
        <v>15.714285714285714</v>
      </c>
      <c r="G3003" s="4">
        <v>43634</v>
      </c>
      <c r="I3003" s="1">
        <v>770</v>
      </c>
      <c r="J3003" s="1">
        <v>770</v>
      </c>
    </row>
    <row r="3004" spans="2:10">
      <c r="C3004" s="2" t="s">
        <v>7</v>
      </c>
      <c r="D3004" s="2" t="s">
        <v>34</v>
      </c>
      <c r="E3004" s="3">
        <v>45</v>
      </c>
      <c r="F3004" s="3">
        <v>11</v>
      </c>
      <c r="G3004" s="4">
        <v>43293</v>
      </c>
      <c r="J3004" s="1">
        <v>770</v>
      </c>
    </row>
    <row r="3005" spans="2:10">
      <c r="C3005" s="2" t="s">
        <v>5</v>
      </c>
      <c r="D3005" s="2" t="s">
        <v>34</v>
      </c>
      <c r="E3005" s="3">
        <v>18</v>
      </c>
      <c r="F3005" s="3">
        <v>3</v>
      </c>
      <c r="G3005" s="4">
        <v>42983</v>
      </c>
      <c r="J3005" s="1">
        <v>770</v>
      </c>
    </row>
    <row r="3006" spans="2:10">
      <c r="G3006" s="4"/>
    </row>
    <row r="3007" spans="2:10">
      <c r="B3007" s="1" t="s">
        <v>38</v>
      </c>
      <c r="C3007" s="2" t="s">
        <v>18</v>
      </c>
      <c r="D3007" s="2" t="s">
        <v>34</v>
      </c>
      <c r="E3007" s="3">
        <v>230</v>
      </c>
      <c r="F3007" s="3">
        <f>110/7</f>
        <v>15.714285714285714</v>
      </c>
      <c r="G3007" s="4">
        <v>43634</v>
      </c>
      <c r="I3007" s="1">
        <v>770</v>
      </c>
      <c r="J3007" s="1">
        <v>770</v>
      </c>
    </row>
    <row r="3008" spans="2:10">
      <c r="C3008" s="2" t="s">
        <v>7</v>
      </c>
      <c r="D3008" s="2" t="s">
        <v>34</v>
      </c>
      <c r="E3008" s="3">
        <v>45</v>
      </c>
      <c r="F3008" s="3">
        <v>11</v>
      </c>
      <c r="G3008" s="4">
        <v>43293</v>
      </c>
      <c r="J3008" s="1">
        <v>770</v>
      </c>
    </row>
    <row r="3009" spans="2:10">
      <c r="B3009" s="1" t="s">
        <v>37</v>
      </c>
      <c r="C3009" s="2" t="s">
        <v>18</v>
      </c>
      <c r="D3009" s="2" t="s">
        <v>34</v>
      </c>
      <c r="E3009" s="3">
        <v>230</v>
      </c>
      <c r="F3009" s="3">
        <f>110/7</f>
        <v>15.714285714285714</v>
      </c>
      <c r="G3009" s="4">
        <v>43634</v>
      </c>
      <c r="I3009" s="1">
        <v>770</v>
      </c>
      <c r="J3009" s="1">
        <v>770</v>
      </c>
    </row>
    <row r="3010" spans="2:10">
      <c r="B3010" s="1" t="s">
        <v>36</v>
      </c>
      <c r="C3010" s="2" t="s">
        <v>18</v>
      </c>
      <c r="D3010" s="2" t="s">
        <v>34</v>
      </c>
      <c r="E3010" s="3">
        <v>230</v>
      </c>
      <c r="F3010" s="3">
        <f>110/7</f>
        <v>15.714285714285714</v>
      </c>
      <c r="G3010" s="4">
        <v>43634</v>
      </c>
      <c r="I3010" s="1">
        <v>770</v>
      </c>
      <c r="J3010" s="1">
        <v>770</v>
      </c>
    </row>
    <row r="3011" spans="2:10">
      <c r="B3011" s="1" t="s">
        <v>35</v>
      </c>
      <c r="C3011" s="2" t="s">
        <v>18</v>
      </c>
      <c r="D3011" s="2" t="s">
        <v>34</v>
      </c>
      <c r="E3011" s="3">
        <v>230</v>
      </c>
      <c r="F3011" s="3">
        <f>110/7</f>
        <v>15.714285714285714</v>
      </c>
      <c r="G3011" s="4">
        <v>43634</v>
      </c>
      <c r="I3011" s="1">
        <v>770</v>
      </c>
      <c r="J3011" s="1">
        <v>770</v>
      </c>
    </row>
    <row r="3012" spans="2:10">
      <c r="C3012" s="2" t="s">
        <v>7</v>
      </c>
      <c r="D3012" s="2" t="s">
        <v>34</v>
      </c>
      <c r="E3012" s="3">
        <v>45</v>
      </c>
      <c r="F3012" s="3">
        <v>6</v>
      </c>
      <c r="G3012" s="4">
        <v>43293</v>
      </c>
      <c r="J3012" s="1">
        <v>770</v>
      </c>
    </row>
    <row r="3013" spans="2:10">
      <c r="C3013" s="2" t="s">
        <v>5</v>
      </c>
      <c r="D3013" s="2" t="s">
        <v>34</v>
      </c>
      <c r="E3013" s="3">
        <v>18</v>
      </c>
      <c r="F3013" s="3">
        <v>5</v>
      </c>
      <c r="G3013" s="4">
        <v>42983</v>
      </c>
      <c r="J3013" s="1">
        <v>770</v>
      </c>
    </row>
    <row r="3014" spans="2:10">
      <c r="B3014" s="1" t="s">
        <v>33</v>
      </c>
      <c r="C3014" s="2" t="s">
        <v>5</v>
      </c>
      <c r="D3014" s="2" t="s">
        <v>31</v>
      </c>
      <c r="E3014" s="3">
        <f>1600/7</f>
        <v>228.57142857142858</v>
      </c>
      <c r="F3014" s="3">
        <v>160</v>
      </c>
      <c r="G3014" s="4">
        <v>45078</v>
      </c>
      <c r="I3014" s="1">
        <v>1000</v>
      </c>
      <c r="J3014" s="1">
        <v>1000</v>
      </c>
    </row>
    <row r="3015" spans="2:10">
      <c r="B3015" s="1" t="s">
        <v>32</v>
      </c>
      <c r="C3015" s="2" t="s">
        <v>5</v>
      </c>
      <c r="D3015" s="2" t="s">
        <v>31</v>
      </c>
      <c r="E3015" s="3">
        <f>1600/7</f>
        <v>228.57142857142858</v>
      </c>
      <c r="F3015" s="3">
        <f>109/2</f>
        <v>54.5</v>
      </c>
      <c r="G3015" s="4">
        <v>45078</v>
      </c>
      <c r="I3015" s="1">
        <v>1000</v>
      </c>
      <c r="J3015" s="1">
        <v>1000</v>
      </c>
    </row>
    <row r="3016" spans="2:10">
      <c r="B3016" s="1" t="s">
        <v>30</v>
      </c>
      <c r="C3016" s="2" t="s">
        <v>9</v>
      </c>
      <c r="D3016" s="2" t="s">
        <v>23</v>
      </c>
      <c r="E3016" s="3">
        <v>222</v>
      </c>
      <c r="F3016" s="3">
        <f>200/21</f>
        <v>9.5238095238095237</v>
      </c>
      <c r="G3016" s="4">
        <v>44194</v>
      </c>
      <c r="I3016" s="1">
        <v>2500</v>
      </c>
      <c r="J3016" s="1">
        <v>2500</v>
      </c>
    </row>
    <row r="3017" spans="2:10">
      <c r="B3017" s="1" t="s">
        <v>29</v>
      </c>
      <c r="C3017" s="2" t="s">
        <v>9</v>
      </c>
      <c r="D3017" s="2" t="s">
        <v>23</v>
      </c>
      <c r="E3017" s="3">
        <v>222</v>
      </c>
      <c r="F3017" s="3">
        <f>200/21</f>
        <v>9.5238095238095237</v>
      </c>
      <c r="G3017" s="4">
        <v>44194</v>
      </c>
      <c r="I3017" s="1">
        <v>2500</v>
      </c>
      <c r="J3017" s="1">
        <v>2500</v>
      </c>
    </row>
    <row r="3018" spans="2:10">
      <c r="C3018" s="2" t="s">
        <v>8</v>
      </c>
      <c r="D3018" s="2" t="s">
        <v>23</v>
      </c>
      <c r="E3018" s="3">
        <v>200</v>
      </c>
      <c r="F3018" s="3">
        <v>13</v>
      </c>
      <c r="G3018" s="4">
        <v>43452</v>
      </c>
      <c r="I3018" s="1">
        <v>1500</v>
      </c>
      <c r="J3018" s="1">
        <v>2500</v>
      </c>
    </row>
    <row r="3019" spans="2:10">
      <c r="C3019" s="2" t="s">
        <v>18</v>
      </c>
      <c r="D3019" s="2" t="s">
        <v>23</v>
      </c>
      <c r="E3019" s="3">
        <v>50</v>
      </c>
      <c r="F3019" s="3">
        <v>5</v>
      </c>
      <c r="G3019" s="4">
        <v>43051</v>
      </c>
      <c r="J3019" s="1">
        <v>2500</v>
      </c>
    </row>
    <row r="3020" spans="2:10">
      <c r="C3020" s="2" t="s">
        <v>7</v>
      </c>
      <c r="D3020" s="2" t="s">
        <v>23</v>
      </c>
      <c r="E3020" s="3">
        <v>30</v>
      </c>
      <c r="F3020" s="3">
        <v>3</v>
      </c>
      <c r="G3020" s="4">
        <v>42936</v>
      </c>
      <c r="J3020" s="1">
        <v>2500</v>
      </c>
    </row>
    <row r="3021" spans="2:10">
      <c r="B3021" s="1" t="s">
        <v>28</v>
      </c>
      <c r="C3021" s="2" t="s">
        <v>9</v>
      </c>
      <c r="D3021" s="2" t="s">
        <v>23</v>
      </c>
      <c r="E3021" s="3">
        <v>222</v>
      </c>
      <c r="F3021" s="3">
        <f>200/21</f>
        <v>9.5238095238095237</v>
      </c>
      <c r="G3021" s="4">
        <v>44194</v>
      </c>
      <c r="I3021" s="1">
        <v>2500</v>
      </c>
      <c r="J3021" s="1">
        <v>2500</v>
      </c>
    </row>
    <row r="3022" spans="2:10">
      <c r="B3022" s="1" t="s">
        <v>27</v>
      </c>
      <c r="C3022" s="2" t="s">
        <v>9</v>
      </c>
      <c r="D3022" s="2" t="s">
        <v>23</v>
      </c>
      <c r="E3022" s="3">
        <v>222</v>
      </c>
      <c r="F3022" s="3">
        <f>200/21</f>
        <v>9.5238095238095237</v>
      </c>
      <c r="G3022" s="4">
        <v>44194</v>
      </c>
      <c r="I3022" s="1">
        <v>2500</v>
      </c>
      <c r="J3022" s="1">
        <v>2500</v>
      </c>
    </row>
    <row r="3023" spans="2:10">
      <c r="C3023" s="2" t="s">
        <v>8</v>
      </c>
      <c r="D3023" s="2" t="s">
        <v>23</v>
      </c>
      <c r="E3023" s="3">
        <v>150</v>
      </c>
      <c r="F3023" s="3">
        <v>50</v>
      </c>
      <c r="G3023" s="4">
        <v>43885</v>
      </c>
      <c r="I3023" s="1">
        <v>1800</v>
      </c>
      <c r="J3023" s="1">
        <v>2500</v>
      </c>
    </row>
    <row r="3024" spans="2:10">
      <c r="G3024" s="4"/>
    </row>
    <row r="3025" spans="2:10">
      <c r="B3025" s="1" t="s">
        <v>26</v>
      </c>
      <c r="C3025" s="2" t="s">
        <v>9</v>
      </c>
      <c r="D3025" s="2" t="s">
        <v>23</v>
      </c>
      <c r="E3025" s="3">
        <v>222</v>
      </c>
      <c r="F3025" s="3">
        <f>200/21</f>
        <v>9.5238095238095237</v>
      </c>
      <c r="G3025" s="4">
        <v>44194</v>
      </c>
      <c r="I3025" s="1">
        <v>2500</v>
      </c>
      <c r="J3025" s="1">
        <v>2500</v>
      </c>
    </row>
    <row r="3026" spans="2:10">
      <c r="C3026" s="2" t="s">
        <v>8</v>
      </c>
      <c r="D3026" s="2" t="s">
        <v>23</v>
      </c>
      <c r="E3026" s="3">
        <v>150</v>
      </c>
      <c r="F3026" s="3">
        <v>50</v>
      </c>
      <c r="G3026" s="4">
        <v>43885</v>
      </c>
      <c r="I3026" s="1">
        <v>1800</v>
      </c>
      <c r="J3026" s="1">
        <v>2500</v>
      </c>
    </row>
    <row r="3027" spans="2:10">
      <c r="G3027" s="4"/>
    </row>
    <row r="3028" spans="2:10">
      <c r="B3028" s="1" t="s">
        <v>25</v>
      </c>
      <c r="C3028" s="2" t="s">
        <v>9</v>
      </c>
      <c r="D3028" s="2" t="s">
        <v>23</v>
      </c>
      <c r="E3028" s="3">
        <v>222</v>
      </c>
      <c r="F3028" s="3">
        <f>200/21</f>
        <v>9.5238095238095237</v>
      </c>
      <c r="G3028" s="4">
        <v>44194</v>
      </c>
      <c r="I3028" s="1">
        <v>2500</v>
      </c>
      <c r="J3028" s="1">
        <v>2500</v>
      </c>
    </row>
    <row r="3029" spans="2:10">
      <c r="C3029" s="2" t="s">
        <v>8</v>
      </c>
      <c r="D3029" s="2" t="s">
        <v>23</v>
      </c>
      <c r="E3029" s="3">
        <v>200</v>
      </c>
      <c r="F3029" s="3">
        <v>13</v>
      </c>
      <c r="G3029" s="4">
        <v>43452</v>
      </c>
      <c r="I3029" s="1">
        <v>1500</v>
      </c>
      <c r="J3029" s="1">
        <v>2500</v>
      </c>
    </row>
    <row r="3030" spans="2:10">
      <c r="C3030" s="2" t="s">
        <v>18</v>
      </c>
      <c r="D3030" s="2" t="s">
        <v>23</v>
      </c>
      <c r="E3030" s="3">
        <v>50</v>
      </c>
      <c r="F3030" s="3">
        <v>5</v>
      </c>
      <c r="G3030" s="4">
        <v>43051</v>
      </c>
      <c r="J3030" s="1">
        <v>2500</v>
      </c>
    </row>
    <row r="3031" spans="2:10">
      <c r="C3031" s="2" t="s">
        <v>7</v>
      </c>
      <c r="D3031" s="2" t="s">
        <v>23</v>
      </c>
      <c r="E3031" s="3">
        <v>30</v>
      </c>
      <c r="F3031" s="3">
        <v>3</v>
      </c>
      <c r="G3031" s="4">
        <v>42936</v>
      </c>
      <c r="J3031" s="1">
        <v>2500</v>
      </c>
    </row>
    <row r="3032" spans="2:10">
      <c r="G3032" s="4"/>
    </row>
    <row r="3033" spans="2:10">
      <c r="B3033" s="1" t="s">
        <v>24</v>
      </c>
      <c r="C3033" s="2" t="s">
        <v>9</v>
      </c>
      <c r="D3033" s="2" t="s">
        <v>23</v>
      </c>
      <c r="E3033" s="3">
        <v>222</v>
      </c>
      <c r="F3033" s="3">
        <f>200/21</f>
        <v>9.5238095238095237</v>
      </c>
      <c r="G3033" s="4">
        <v>44194</v>
      </c>
      <c r="I3033" s="1">
        <v>2500</v>
      </c>
      <c r="J3033" s="1">
        <v>2500</v>
      </c>
    </row>
    <row r="3034" spans="2:10">
      <c r="C3034" s="2" t="s">
        <v>8</v>
      </c>
      <c r="D3034" s="2" t="s">
        <v>23</v>
      </c>
      <c r="E3034" s="3">
        <v>200</v>
      </c>
      <c r="F3034" s="3">
        <v>30</v>
      </c>
      <c r="G3034" s="4">
        <v>43452</v>
      </c>
      <c r="I3034" s="1">
        <v>1500</v>
      </c>
      <c r="J3034" s="1">
        <v>2500</v>
      </c>
    </row>
    <row r="3036" spans="2:10">
      <c r="B3036" s="1" t="s">
        <v>22</v>
      </c>
      <c r="C3036" s="2" t="s">
        <v>8</v>
      </c>
      <c r="D3036" s="2" t="s">
        <v>15</v>
      </c>
      <c r="E3036" s="3">
        <v>220</v>
      </c>
      <c r="F3036" s="3">
        <v>50</v>
      </c>
      <c r="G3036" s="4">
        <v>44502</v>
      </c>
      <c r="I3036" s="1">
        <v>794</v>
      </c>
      <c r="J3036" s="1">
        <v>794</v>
      </c>
    </row>
    <row r="3037" spans="2:10">
      <c r="C3037" s="2" t="s">
        <v>8</v>
      </c>
      <c r="D3037" s="2" t="s">
        <v>15</v>
      </c>
      <c r="E3037" s="3">
        <v>220</v>
      </c>
      <c r="F3037" s="3">
        <v>26.666666666666668</v>
      </c>
      <c r="G3037" s="4">
        <v>44322</v>
      </c>
      <c r="I3037" s="1">
        <v>780</v>
      </c>
      <c r="J3037" s="1">
        <v>780</v>
      </c>
    </row>
    <row r="3038" spans="2:10">
      <c r="B3038" s="1" t="s">
        <v>21</v>
      </c>
      <c r="C3038" s="2" t="s">
        <v>8</v>
      </c>
      <c r="D3038" s="2" t="s">
        <v>15</v>
      </c>
      <c r="E3038" s="3">
        <v>220</v>
      </c>
      <c r="F3038" s="3">
        <v>30</v>
      </c>
      <c r="G3038" s="4">
        <v>44502</v>
      </c>
      <c r="I3038" s="1">
        <v>794</v>
      </c>
      <c r="J3038" s="1">
        <v>794</v>
      </c>
    </row>
    <row r="3039" spans="2:10">
      <c r="G3039" s="4"/>
    </row>
    <row r="3040" spans="2:10">
      <c r="B3040" s="1" t="s">
        <v>20</v>
      </c>
      <c r="C3040" s="2" t="s">
        <v>8</v>
      </c>
      <c r="D3040" s="2" t="s">
        <v>15</v>
      </c>
      <c r="E3040" s="3">
        <v>220</v>
      </c>
      <c r="F3040" s="3">
        <v>50</v>
      </c>
      <c r="G3040" s="4">
        <v>44502</v>
      </c>
      <c r="I3040" s="1">
        <v>794</v>
      </c>
      <c r="J3040" s="1">
        <v>794</v>
      </c>
    </row>
    <row r="3041" spans="2:10">
      <c r="C3041" s="2" t="s">
        <v>8</v>
      </c>
      <c r="D3041" s="2" t="s">
        <v>15</v>
      </c>
      <c r="E3041" s="3">
        <v>220</v>
      </c>
      <c r="F3041" s="3">
        <v>60</v>
      </c>
      <c r="G3041" s="4">
        <v>44322</v>
      </c>
      <c r="I3041" s="1">
        <v>780</v>
      </c>
      <c r="J3041" s="1">
        <v>780</v>
      </c>
    </row>
    <row r="3042" spans="2:10">
      <c r="G3042" s="4"/>
    </row>
    <row r="3043" spans="2:10">
      <c r="B3043" s="1" t="s">
        <v>19</v>
      </c>
      <c r="C3043" s="2" t="s">
        <v>8</v>
      </c>
      <c r="D3043" s="2" t="s">
        <v>15</v>
      </c>
      <c r="E3043" s="3">
        <v>220</v>
      </c>
      <c r="F3043" s="3">
        <v>26.666666666666668</v>
      </c>
      <c r="G3043" s="4">
        <v>44322</v>
      </c>
      <c r="I3043" s="1">
        <v>780</v>
      </c>
      <c r="J3043" s="1">
        <v>780</v>
      </c>
    </row>
    <row r="3044" spans="2:10">
      <c r="C3044" s="2" t="s">
        <v>18</v>
      </c>
      <c r="D3044" s="2" t="s">
        <v>15</v>
      </c>
      <c r="E3044" s="3">
        <v>60</v>
      </c>
      <c r="F3044" s="3">
        <v>10</v>
      </c>
      <c r="G3044" s="4">
        <v>43528</v>
      </c>
    </row>
    <row r="3045" spans="2:10">
      <c r="C3045" s="2" t="s">
        <v>7</v>
      </c>
      <c r="D3045" s="2" t="s">
        <v>15</v>
      </c>
      <c r="E3045" s="3">
        <v>28</v>
      </c>
      <c r="F3045" s="3">
        <v>4</v>
      </c>
      <c r="G3045" s="4">
        <v>43031</v>
      </c>
    </row>
    <row r="3046" spans="2:10">
      <c r="C3046" s="2" t="s">
        <v>5</v>
      </c>
      <c r="D3046" s="2" t="s">
        <v>15</v>
      </c>
      <c r="E3046" s="3">
        <v>10</v>
      </c>
      <c r="F3046" s="3">
        <v>2</v>
      </c>
      <c r="G3046" s="4">
        <v>42508</v>
      </c>
    </row>
    <row r="3047" spans="2:10">
      <c r="C3047" s="2" t="s">
        <v>4</v>
      </c>
      <c r="D3047" s="2" t="s">
        <v>15</v>
      </c>
      <c r="E3047" s="3">
        <v>1.8</v>
      </c>
      <c r="F3047" s="3">
        <v>1</v>
      </c>
      <c r="G3047" s="4">
        <v>41976</v>
      </c>
    </row>
    <row r="3048" spans="2:10">
      <c r="G3048" s="4"/>
    </row>
    <row r="3049" spans="2:10">
      <c r="B3049" s="1" t="s">
        <v>17</v>
      </c>
      <c r="C3049" s="2" t="s">
        <v>7</v>
      </c>
      <c r="D3049" s="2" t="s">
        <v>15</v>
      </c>
      <c r="E3049" s="3">
        <v>28</v>
      </c>
      <c r="F3049" s="3">
        <v>4</v>
      </c>
      <c r="G3049" s="4">
        <v>43031</v>
      </c>
    </row>
    <row r="3050" spans="2:10">
      <c r="C3050" s="2" t="s">
        <v>5</v>
      </c>
      <c r="D3050" s="2" t="s">
        <v>15</v>
      </c>
      <c r="E3050" s="3">
        <v>10</v>
      </c>
      <c r="F3050" s="3">
        <v>2</v>
      </c>
      <c r="G3050" s="4">
        <v>42508</v>
      </c>
    </row>
    <row r="3051" spans="2:10">
      <c r="C3051" s="2" t="s">
        <v>4</v>
      </c>
      <c r="D3051" s="2" t="s">
        <v>15</v>
      </c>
      <c r="E3051" s="3">
        <v>1.8</v>
      </c>
      <c r="F3051" s="3">
        <v>0.4</v>
      </c>
      <c r="G3051" s="4">
        <v>41976</v>
      </c>
    </row>
    <row r="3052" spans="2:10">
      <c r="G3052" s="4"/>
    </row>
    <row r="3053" spans="2:10">
      <c r="B3053" s="1" t="s">
        <v>16</v>
      </c>
      <c r="C3053" s="2" t="s">
        <v>5</v>
      </c>
      <c r="D3053" s="2" t="s">
        <v>15</v>
      </c>
      <c r="E3053" s="3">
        <v>10</v>
      </c>
      <c r="F3053" s="3">
        <v>2</v>
      </c>
      <c r="G3053" s="4">
        <v>42508</v>
      </c>
    </row>
    <row r="3054" spans="2:10">
      <c r="B3054" s="1" t="s">
        <v>14</v>
      </c>
      <c r="C3054" s="2" t="s">
        <v>9</v>
      </c>
      <c r="D3054" s="2" t="s">
        <v>3</v>
      </c>
      <c r="E3054" s="3">
        <v>90</v>
      </c>
      <c r="F3054" s="3">
        <v>20</v>
      </c>
      <c r="G3054" s="4">
        <v>44721</v>
      </c>
      <c r="I3054" s="1">
        <v>2200</v>
      </c>
      <c r="J3054" s="1">
        <v>2200</v>
      </c>
    </row>
    <row r="3055" spans="2:10">
      <c r="G3055" s="4"/>
    </row>
    <row r="3056" spans="2:10">
      <c r="B3056" s="1" t="s">
        <v>13</v>
      </c>
      <c r="C3056" s="2" t="s">
        <v>9</v>
      </c>
      <c r="D3056" s="2" t="s">
        <v>3</v>
      </c>
      <c r="E3056" s="3">
        <v>90</v>
      </c>
      <c r="F3056" s="3">
        <v>10</v>
      </c>
      <c r="G3056" s="4">
        <v>44721</v>
      </c>
      <c r="I3056" s="1">
        <v>2200</v>
      </c>
      <c r="J3056" s="1">
        <v>2200</v>
      </c>
    </row>
    <row r="3057" spans="2:10">
      <c r="C3057" s="2" t="s">
        <v>7</v>
      </c>
      <c r="D3057" s="2" t="s">
        <v>3</v>
      </c>
      <c r="E3057" s="3">
        <v>25</v>
      </c>
      <c r="F3057" s="3">
        <v>3.75</v>
      </c>
      <c r="G3057" s="4">
        <v>43697</v>
      </c>
      <c r="J3057" s="1">
        <v>2200</v>
      </c>
    </row>
    <row r="3058" spans="2:10">
      <c r="G3058" s="4"/>
    </row>
    <row r="3059" spans="2:10">
      <c r="B3059" s="1" t="s">
        <v>12</v>
      </c>
      <c r="C3059" s="2" t="s">
        <v>9</v>
      </c>
      <c r="D3059" s="2" t="s">
        <v>3</v>
      </c>
      <c r="E3059" s="3">
        <v>90</v>
      </c>
      <c r="F3059" s="3">
        <v>10</v>
      </c>
      <c r="G3059" s="4">
        <v>44721</v>
      </c>
      <c r="I3059" s="1">
        <v>2200</v>
      </c>
      <c r="J3059" s="1">
        <v>2200</v>
      </c>
    </row>
    <row r="3060" spans="2:10">
      <c r="C3060" s="2" t="s">
        <v>7</v>
      </c>
      <c r="D3060" s="2" t="s">
        <v>3</v>
      </c>
      <c r="E3060" s="3">
        <v>25</v>
      </c>
      <c r="F3060" s="3">
        <v>3.75</v>
      </c>
      <c r="G3060" s="4">
        <v>43697</v>
      </c>
      <c r="J3060" s="1">
        <v>2200</v>
      </c>
    </row>
    <row r="3061" spans="2:10">
      <c r="C3061" s="2" t="s">
        <v>5</v>
      </c>
      <c r="D3061" s="2" t="s">
        <v>3</v>
      </c>
      <c r="E3061" s="3">
        <v>10</v>
      </c>
      <c r="F3061" s="3">
        <v>2.5</v>
      </c>
      <c r="G3061" s="4">
        <v>43456</v>
      </c>
      <c r="J3061" s="1">
        <v>2200</v>
      </c>
    </row>
    <row r="3062" spans="2:10">
      <c r="C3062" s="2" t="s">
        <v>5</v>
      </c>
      <c r="D3062" s="2" t="s">
        <v>3</v>
      </c>
      <c r="E3062" s="3">
        <v>10.5</v>
      </c>
      <c r="F3062" s="3">
        <v>2</v>
      </c>
      <c r="G3062" s="4">
        <v>42828</v>
      </c>
      <c r="J3062" s="1">
        <v>2200</v>
      </c>
    </row>
    <row r="3063" spans="2:10">
      <c r="C3063" s="2" t="s">
        <v>4</v>
      </c>
      <c r="D3063" s="2" t="s">
        <v>3</v>
      </c>
      <c r="E3063" s="3">
        <v>2</v>
      </c>
      <c r="F3063" s="3">
        <f>+E3063/3</f>
        <v>0.66666666666666663</v>
      </c>
      <c r="G3063" s="4">
        <v>42521</v>
      </c>
      <c r="J3063" s="1">
        <v>2200</v>
      </c>
    </row>
    <row r="3064" spans="2:10">
      <c r="G3064" s="4"/>
    </row>
    <row r="3065" spans="2:10">
      <c r="B3065" s="1" t="s">
        <v>11</v>
      </c>
      <c r="C3065" s="2" t="s">
        <v>9</v>
      </c>
      <c r="D3065" s="2" t="s">
        <v>3</v>
      </c>
      <c r="E3065" s="3">
        <v>90</v>
      </c>
      <c r="F3065" s="3">
        <v>10</v>
      </c>
      <c r="G3065" s="4">
        <v>44721</v>
      </c>
      <c r="I3065" s="1">
        <v>2200</v>
      </c>
      <c r="J3065" s="1">
        <v>2200</v>
      </c>
    </row>
    <row r="3066" spans="2:10">
      <c r="C3066" s="2" t="s">
        <v>8</v>
      </c>
      <c r="D3066" s="2" t="s">
        <v>3</v>
      </c>
      <c r="E3066" s="3">
        <v>210</v>
      </c>
      <c r="F3066" s="3">
        <v>110</v>
      </c>
      <c r="G3066" s="4">
        <v>44432</v>
      </c>
      <c r="I3066" s="1">
        <v>1000</v>
      </c>
      <c r="J3066" s="1">
        <v>2200</v>
      </c>
    </row>
    <row r="3067" spans="2:10">
      <c r="G3067" s="4"/>
    </row>
    <row r="3068" spans="2:10">
      <c r="B3068" s="1" t="s">
        <v>10</v>
      </c>
      <c r="C3068" s="2" t="s">
        <v>9</v>
      </c>
      <c r="D3068" s="2" t="s">
        <v>3</v>
      </c>
      <c r="E3068" s="3">
        <v>90</v>
      </c>
      <c r="F3068" s="3">
        <v>10</v>
      </c>
      <c r="G3068" s="4">
        <v>44721</v>
      </c>
      <c r="I3068" s="1">
        <v>2200</v>
      </c>
      <c r="J3068" s="1">
        <v>2200</v>
      </c>
    </row>
    <row r="3069" spans="2:10">
      <c r="C3069" s="2" t="s">
        <v>8</v>
      </c>
      <c r="D3069" s="2" t="s">
        <v>3</v>
      </c>
      <c r="E3069" s="3">
        <v>210</v>
      </c>
      <c r="F3069" s="3">
        <v>33.333333333333336</v>
      </c>
      <c r="G3069" s="4">
        <v>44432</v>
      </c>
      <c r="I3069" s="1">
        <v>1000</v>
      </c>
      <c r="J3069" s="1">
        <v>2200</v>
      </c>
    </row>
    <row r="3070" spans="2:10">
      <c r="C3070" s="2" t="s">
        <v>7</v>
      </c>
      <c r="D3070" s="2" t="s">
        <v>3</v>
      </c>
      <c r="E3070" s="3">
        <v>25</v>
      </c>
      <c r="F3070" s="3">
        <v>3.75</v>
      </c>
      <c r="G3070" s="4">
        <v>43697</v>
      </c>
      <c r="J3070" s="1">
        <v>2200</v>
      </c>
    </row>
    <row r="3071" spans="2:10">
      <c r="C3071" s="2" t="s">
        <v>5</v>
      </c>
      <c r="D3071" s="2" t="s">
        <v>3</v>
      </c>
      <c r="E3071" s="3">
        <v>10</v>
      </c>
      <c r="F3071" s="3">
        <v>5</v>
      </c>
      <c r="G3071" s="4">
        <v>43456</v>
      </c>
      <c r="J3071" s="1">
        <v>2200</v>
      </c>
    </row>
    <row r="3072" spans="2:10">
      <c r="G3072" s="4"/>
    </row>
    <row r="3073" spans="2:10">
      <c r="B3073" s="1" t="s">
        <v>6</v>
      </c>
      <c r="C3073" s="2" t="s">
        <v>5</v>
      </c>
      <c r="D3073" s="2" t="s">
        <v>3</v>
      </c>
      <c r="E3073" s="3">
        <v>10.5</v>
      </c>
      <c r="F3073" s="3">
        <v>2</v>
      </c>
      <c r="G3073" s="4">
        <v>42828</v>
      </c>
      <c r="J3073" s="1">
        <v>2200</v>
      </c>
    </row>
    <row r="3074" spans="2:10">
      <c r="C3074" s="2" t="s">
        <v>4</v>
      </c>
      <c r="D3074" s="2" t="s">
        <v>3</v>
      </c>
      <c r="E3074" s="3">
        <v>2</v>
      </c>
      <c r="F3074" s="3">
        <f>+E3074/3</f>
        <v>0.66666666666666663</v>
      </c>
      <c r="G3074" s="4">
        <v>42521</v>
      </c>
      <c r="J3074" s="1">
        <v>2200</v>
      </c>
    </row>
    <row r="3075" spans="2:10">
      <c r="G3075" s="4"/>
    </row>
    <row r="3076" spans="2:10">
      <c r="B3076" s="1" t="s">
        <v>2</v>
      </c>
      <c r="C3076" s="2" t="s">
        <v>1</v>
      </c>
      <c r="D3076" s="2" t="s">
        <v>0</v>
      </c>
      <c r="E3076" s="3">
        <v>300</v>
      </c>
      <c r="F3076" s="3">
        <v>50</v>
      </c>
      <c r="G3076" s="4">
        <v>45044</v>
      </c>
      <c r="I3076" s="1">
        <v>28700</v>
      </c>
      <c r="J3076" s="1">
        <v>28700</v>
      </c>
    </row>
    <row r="3077" spans="2:10">
      <c r="B3077" s="1" t="s">
        <v>4512</v>
      </c>
      <c r="C3077" s="2" t="s">
        <v>8</v>
      </c>
      <c r="D3077" s="2" t="s">
        <v>2186</v>
      </c>
      <c r="E3077" s="3">
        <v>220</v>
      </c>
      <c r="F3077" s="3">
        <f>140/7</f>
        <v>20</v>
      </c>
      <c r="G3077" s="4">
        <v>44287</v>
      </c>
    </row>
    <row r="3078" spans="2:10">
      <c r="B3078" s="1" t="s">
        <v>4514</v>
      </c>
      <c r="C3078" s="2" t="s">
        <v>8</v>
      </c>
      <c r="D3078" s="2" t="s">
        <v>2186</v>
      </c>
      <c r="E3078" s="3">
        <v>220</v>
      </c>
      <c r="F3078" s="3">
        <f>140/7</f>
        <v>20</v>
      </c>
      <c r="G3078" s="4">
        <v>44287</v>
      </c>
    </row>
    <row r="3079" spans="2:10">
      <c r="B3079" s="1" t="s">
        <v>4515</v>
      </c>
      <c r="C3079" s="2" t="s">
        <v>8</v>
      </c>
      <c r="D3079" s="2" t="s">
        <v>2186</v>
      </c>
      <c r="E3079" s="3">
        <v>220</v>
      </c>
      <c r="F3079" s="3">
        <f>140/7</f>
        <v>20</v>
      </c>
      <c r="G3079" s="4">
        <v>44287</v>
      </c>
    </row>
    <row r="3080" spans="2:10">
      <c r="B3080" s="1" t="s">
        <v>4516</v>
      </c>
      <c r="C3080" s="2" t="s">
        <v>8</v>
      </c>
      <c r="D3080" s="2" t="s">
        <v>2186</v>
      </c>
      <c r="E3080" s="3">
        <v>220</v>
      </c>
      <c r="F3080" s="3">
        <f>140/7</f>
        <v>20</v>
      </c>
      <c r="G3080" s="4">
        <v>44287</v>
      </c>
    </row>
    <row r="3081" spans="2:10">
      <c r="B3081" s="1" t="s">
        <v>4517</v>
      </c>
      <c r="C3081" s="2" t="s">
        <v>8</v>
      </c>
      <c r="D3081" s="2" t="s">
        <v>2186</v>
      </c>
      <c r="E3081" s="3">
        <v>220</v>
      </c>
      <c r="F3081" s="3">
        <f>140/7</f>
        <v>20</v>
      </c>
      <c r="G3081" s="4">
        <v>44287</v>
      </c>
    </row>
    <row r="3082" spans="2:10">
      <c r="B3082" s="1" t="s">
        <v>4519</v>
      </c>
      <c r="C3082" s="2" t="s">
        <v>8</v>
      </c>
      <c r="D3082" s="2" t="s">
        <v>2186</v>
      </c>
      <c r="E3082" s="3">
        <v>200</v>
      </c>
      <c r="F3082" s="3">
        <v>40</v>
      </c>
      <c r="G3082" s="4">
        <v>44237</v>
      </c>
    </row>
    <row r="3083" spans="2:10">
      <c r="B3083" s="1" t="s">
        <v>4520</v>
      </c>
      <c r="C3083" s="2" t="s">
        <v>8</v>
      </c>
      <c r="D3083" s="2" t="s">
        <v>2186</v>
      </c>
      <c r="E3083" s="3">
        <v>200</v>
      </c>
      <c r="F3083" s="3">
        <v>40</v>
      </c>
      <c r="G3083" s="4">
        <v>44237</v>
      </c>
    </row>
    <row r="3084" spans="2:10">
      <c r="C3084" s="2" t="s">
        <v>18</v>
      </c>
      <c r="D3084" s="2" t="s">
        <v>2186</v>
      </c>
      <c r="E3084" s="3">
        <v>100</v>
      </c>
      <c r="F3084" s="3">
        <v>100</v>
      </c>
      <c r="G3084" s="4">
        <v>44158</v>
      </c>
    </row>
    <row r="3085" spans="2:10">
      <c r="B3085" s="1" t="s">
        <v>4521</v>
      </c>
      <c r="C3085" s="2" t="s">
        <v>8</v>
      </c>
      <c r="D3085" s="2" t="s">
        <v>2186</v>
      </c>
      <c r="E3085" s="3">
        <v>200</v>
      </c>
      <c r="F3085" s="3">
        <f>160/8</f>
        <v>20</v>
      </c>
      <c r="G3085" s="4">
        <v>44237</v>
      </c>
    </row>
    <row r="3086" spans="2:10">
      <c r="B3086" s="1" t="s">
        <v>4522</v>
      </c>
      <c r="C3086" s="2" t="s">
        <v>8</v>
      </c>
      <c r="D3086" s="2" t="s">
        <v>2186</v>
      </c>
      <c r="E3086" s="3">
        <v>200</v>
      </c>
      <c r="F3086" s="3">
        <f>160/8</f>
        <v>20</v>
      </c>
      <c r="G3086" s="4">
        <v>44237</v>
      </c>
    </row>
    <row r="3087" spans="2:10">
      <c r="B3087" s="1" t="s">
        <v>4523</v>
      </c>
      <c r="C3087" s="2" t="s">
        <v>8</v>
      </c>
      <c r="D3087" s="2" t="s">
        <v>2186</v>
      </c>
      <c r="E3087" s="3">
        <v>200</v>
      </c>
      <c r="F3087" s="3">
        <f>160/8</f>
        <v>20</v>
      </c>
      <c r="G3087" s="4">
        <v>44237</v>
      </c>
    </row>
    <row r="3088" spans="2:10">
      <c r="B3088" s="1" t="s">
        <v>4524</v>
      </c>
      <c r="C3088" s="2" t="s">
        <v>8</v>
      </c>
      <c r="D3088" s="2" t="s">
        <v>2186</v>
      </c>
      <c r="E3088" s="3">
        <v>200</v>
      </c>
      <c r="F3088" s="3">
        <f>160/8</f>
        <v>20</v>
      </c>
      <c r="G3088" s="4">
        <v>44237</v>
      </c>
    </row>
    <row r="3089" spans="2:10">
      <c r="B3089" s="1" t="s">
        <v>4550</v>
      </c>
      <c r="C3089" s="2" t="s">
        <v>5</v>
      </c>
      <c r="D3089" s="2" t="s">
        <v>4043</v>
      </c>
      <c r="E3089" s="3">
        <v>7.5</v>
      </c>
      <c r="F3089" s="3">
        <v>7.5</v>
      </c>
      <c r="G3089" s="4">
        <v>38919</v>
      </c>
    </row>
    <row r="3090" spans="2:10">
      <c r="C3090" s="2" t="s">
        <v>18</v>
      </c>
      <c r="D3090" s="2" t="s">
        <v>4043</v>
      </c>
      <c r="E3090" s="3">
        <v>36.799999999999997</v>
      </c>
      <c r="F3090" s="3">
        <f>E3090/2</f>
        <v>18.399999999999999</v>
      </c>
      <c r="G3090" s="4">
        <v>39506</v>
      </c>
    </row>
    <row r="3091" spans="2:10">
      <c r="B3091" s="1" t="s">
        <v>4551</v>
      </c>
      <c r="C3091" s="2" t="s">
        <v>7</v>
      </c>
      <c r="D3091" s="2" t="s">
        <v>4043</v>
      </c>
      <c r="E3091" s="3">
        <v>10.5</v>
      </c>
      <c r="F3091" s="3">
        <v>10.5</v>
      </c>
      <c r="G3091" s="4">
        <v>39044</v>
      </c>
    </row>
    <row r="3092" spans="2:10">
      <c r="C3092" s="2" t="s">
        <v>18</v>
      </c>
      <c r="D3092" s="2" t="s">
        <v>4043</v>
      </c>
      <c r="E3092" s="3">
        <v>36.799999999999997</v>
      </c>
      <c r="F3092" s="3">
        <f>E3092/2</f>
        <v>18.399999999999999</v>
      </c>
      <c r="G3092" s="4">
        <v>39506</v>
      </c>
    </row>
    <row r="3093" spans="2:10">
      <c r="B3093" s="1" t="s">
        <v>4552</v>
      </c>
      <c r="C3093" s="2" t="s">
        <v>8</v>
      </c>
      <c r="D3093" s="2" t="s">
        <v>4043</v>
      </c>
      <c r="E3093" s="3">
        <v>90</v>
      </c>
      <c r="F3093" s="3">
        <f>45/3</f>
        <v>15</v>
      </c>
      <c r="G3093" s="4">
        <v>40354</v>
      </c>
      <c r="I3093" s="1">
        <v>645</v>
      </c>
      <c r="J3093" s="1">
        <v>32500</v>
      </c>
    </row>
    <row r="3094" spans="2:10">
      <c r="B3094" s="1" t="s">
        <v>4554</v>
      </c>
      <c r="C3094" s="2" t="s">
        <v>9</v>
      </c>
      <c r="D3094" s="2" t="s">
        <v>4043</v>
      </c>
      <c r="E3094" s="3">
        <v>50</v>
      </c>
      <c r="F3094" s="3">
        <v>50</v>
      </c>
      <c r="G3094" s="4">
        <v>44321</v>
      </c>
    </row>
    <row r="3095" spans="2:10">
      <c r="B3095" s="1" t="s">
        <v>4558</v>
      </c>
      <c r="C3095" s="2" t="s">
        <v>513</v>
      </c>
      <c r="D3095" s="2" t="s">
        <v>4043</v>
      </c>
      <c r="E3095" s="3">
        <v>56</v>
      </c>
      <c r="F3095" s="3">
        <f>E3095/2</f>
        <v>28</v>
      </c>
      <c r="G3095" s="4">
        <v>41183</v>
      </c>
    </row>
    <row r="3096" spans="2:10">
      <c r="B3096" s="1" t="s">
        <v>4568</v>
      </c>
      <c r="C3096" s="2" t="s">
        <v>5</v>
      </c>
      <c r="D3096" s="2" t="s">
        <v>2071</v>
      </c>
      <c r="E3096" s="3">
        <v>18</v>
      </c>
      <c r="F3096" s="3">
        <v>3</v>
      </c>
      <c r="G3096" s="4">
        <v>44866</v>
      </c>
    </row>
    <row r="3097" spans="2:10">
      <c r="B3097" s="1" t="s">
        <v>4575</v>
      </c>
      <c r="C3097" s="2" t="s">
        <v>7</v>
      </c>
      <c r="D3097" s="2" t="s">
        <v>2181</v>
      </c>
      <c r="E3097" s="3">
        <f>1300/7</f>
        <v>185.71428571428572</v>
      </c>
      <c r="F3097" s="3">
        <v>96</v>
      </c>
      <c r="G3097" s="4">
        <v>44648</v>
      </c>
    </row>
    <row r="3098" spans="2:10">
      <c r="B3098" s="1" t="s">
        <v>4576</v>
      </c>
      <c r="C3098" s="2" t="s">
        <v>7</v>
      </c>
      <c r="D3098" s="2" t="s">
        <v>2181</v>
      </c>
      <c r="E3098" s="3">
        <f>1300/7</f>
        <v>185.71428571428572</v>
      </c>
      <c r="F3098" s="3">
        <v>30</v>
      </c>
      <c r="G3098" s="4">
        <v>44648</v>
      </c>
    </row>
    <row r="3099" spans="2:10">
      <c r="B3099" s="1" t="s">
        <v>4577</v>
      </c>
      <c r="C3099" s="2" t="s">
        <v>7</v>
      </c>
      <c r="D3099" s="2" t="s">
        <v>2181</v>
      </c>
      <c r="E3099" s="3">
        <f>1300/7</f>
        <v>185.71428571428572</v>
      </c>
      <c r="F3099" s="3">
        <v>30</v>
      </c>
      <c r="G3099" s="4">
        <v>44648</v>
      </c>
    </row>
    <row r="3100" spans="2:10">
      <c r="B3100" s="1" t="s">
        <v>4587</v>
      </c>
      <c r="C3100" s="2" t="s">
        <v>7</v>
      </c>
      <c r="D3100" s="2" t="s">
        <v>2180</v>
      </c>
      <c r="E3100" s="3">
        <f>176</f>
        <v>176</v>
      </c>
      <c r="F3100" s="3">
        <f>150/12</f>
        <v>12.5</v>
      </c>
      <c r="G3100" s="4">
        <v>44578</v>
      </c>
    </row>
    <row r="3101" spans="2:10">
      <c r="B3101" s="1" t="s">
        <v>4588</v>
      </c>
      <c r="C3101" s="2" t="s">
        <v>7</v>
      </c>
      <c r="D3101" s="2" t="s">
        <v>2180</v>
      </c>
      <c r="E3101" s="3">
        <f>176</f>
        <v>176</v>
      </c>
      <c r="F3101" s="3">
        <f>150/12</f>
        <v>12.5</v>
      </c>
      <c r="G3101" s="4">
        <v>44578</v>
      </c>
    </row>
    <row r="3102" spans="2:10">
      <c r="B3102" s="1" t="s">
        <v>4589</v>
      </c>
      <c r="C3102" s="2" t="s">
        <v>7</v>
      </c>
      <c r="D3102" s="2" t="s">
        <v>2180</v>
      </c>
      <c r="E3102" s="3">
        <f>176</f>
        <v>176</v>
      </c>
      <c r="F3102" s="3">
        <f>150/12</f>
        <v>12.5</v>
      </c>
      <c r="G3102" s="4">
        <v>44578</v>
      </c>
    </row>
    <row r="3103" spans="2:10">
      <c r="G3103" s="4"/>
    </row>
    <row r="3104" spans="2:10">
      <c r="B3104" s="1" t="s">
        <v>4591</v>
      </c>
      <c r="C3104" s="2" t="s">
        <v>7</v>
      </c>
      <c r="D3104" s="2" t="s">
        <v>2180</v>
      </c>
      <c r="E3104" s="3">
        <f>176</f>
        <v>176</v>
      </c>
      <c r="F3104" s="3">
        <f>150/12</f>
        <v>12.5</v>
      </c>
      <c r="G3104" s="4">
        <v>44578</v>
      </c>
    </row>
    <row r="3105" spans="2:10">
      <c r="B3105" s="1" t="s">
        <v>4592</v>
      </c>
      <c r="C3105" s="2" t="s">
        <v>7</v>
      </c>
      <c r="D3105" s="2" t="s">
        <v>2180</v>
      </c>
      <c r="E3105" s="3">
        <f>176</f>
        <v>176</v>
      </c>
      <c r="F3105" s="3">
        <f>150/12</f>
        <v>12.5</v>
      </c>
      <c r="G3105" s="4">
        <v>44578</v>
      </c>
    </row>
    <row r="3106" spans="2:10">
      <c r="B3106" s="1" t="s">
        <v>4594</v>
      </c>
      <c r="C3106" s="2" t="s">
        <v>5</v>
      </c>
      <c r="D3106" s="2" t="s">
        <v>2180</v>
      </c>
      <c r="E3106" s="3">
        <v>20</v>
      </c>
      <c r="F3106" s="3">
        <f>15/6</f>
        <v>2.5</v>
      </c>
      <c r="G3106" s="4">
        <v>44044</v>
      </c>
    </row>
    <row r="3107" spans="2:10">
      <c r="C3107" s="2" t="s">
        <v>5</v>
      </c>
      <c r="D3107" s="2" t="s">
        <v>2180</v>
      </c>
      <c r="E3107" s="3">
        <v>20</v>
      </c>
      <c r="F3107" s="3">
        <f>12/4</f>
        <v>3</v>
      </c>
      <c r="G3107" s="4">
        <v>43647</v>
      </c>
    </row>
    <row r="3108" spans="2:10">
      <c r="C3108" s="2" t="s">
        <v>4</v>
      </c>
      <c r="D3108" s="2" t="s">
        <v>2180</v>
      </c>
      <c r="E3108" s="3">
        <v>3</v>
      </c>
      <c r="F3108" s="3">
        <v>1</v>
      </c>
      <c r="G3108" s="4">
        <v>42979</v>
      </c>
    </row>
    <row r="3109" spans="2:10">
      <c r="B3109" s="1" t="s">
        <v>4660</v>
      </c>
      <c r="C3109" s="2" t="s">
        <v>18</v>
      </c>
      <c r="D3109" s="2" t="s">
        <v>2178</v>
      </c>
      <c r="E3109" s="3">
        <v>200</v>
      </c>
      <c r="F3109" s="3">
        <v>12</v>
      </c>
      <c r="G3109" s="4">
        <v>44557</v>
      </c>
      <c r="I3109" s="1">
        <v>1300</v>
      </c>
      <c r="J3109" s="1">
        <v>1300</v>
      </c>
    </row>
    <row r="3110" spans="2:10">
      <c r="B3110" s="1" t="s">
        <v>4661</v>
      </c>
      <c r="C3110" s="2" t="s">
        <v>18</v>
      </c>
      <c r="D3110" s="2" t="s">
        <v>2178</v>
      </c>
      <c r="E3110" s="3">
        <v>200</v>
      </c>
      <c r="F3110" s="3">
        <v>12</v>
      </c>
      <c r="G3110" s="4">
        <v>44557</v>
      </c>
      <c r="I3110" s="1">
        <v>1300</v>
      </c>
      <c r="J3110" s="1">
        <v>1300</v>
      </c>
    </row>
    <row r="3111" spans="2:10">
      <c r="B3111" s="1" t="s">
        <v>4662</v>
      </c>
      <c r="C3111" s="2" t="s">
        <v>18</v>
      </c>
      <c r="D3111" s="2" t="s">
        <v>2178</v>
      </c>
      <c r="E3111" s="3">
        <v>200</v>
      </c>
      <c r="F3111" s="3">
        <v>12</v>
      </c>
      <c r="G3111" s="4">
        <v>44557</v>
      </c>
      <c r="I3111" s="1">
        <v>1300</v>
      </c>
      <c r="J3111" s="1">
        <v>1300</v>
      </c>
    </row>
    <row r="3112" spans="2:10">
      <c r="B3112" s="1" t="s">
        <v>4663</v>
      </c>
      <c r="C3112" s="2" t="s">
        <v>18</v>
      </c>
      <c r="D3112" s="2" t="s">
        <v>2178</v>
      </c>
      <c r="E3112" s="3">
        <v>200</v>
      </c>
      <c r="F3112" s="3">
        <v>12</v>
      </c>
      <c r="G3112" s="4">
        <v>44557</v>
      </c>
      <c r="I3112" s="1">
        <v>1300</v>
      </c>
      <c r="J3112" s="1">
        <v>1300</v>
      </c>
    </row>
    <row r="3113" spans="2:10">
      <c r="B3113" s="1" t="s">
        <v>4664</v>
      </c>
      <c r="C3113" s="2" t="s">
        <v>18</v>
      </c>
      <c r="D3113" s="2" t="s">
        <v>2178</v>
      </c>
      <c r="E3113" s="3">
        <v>200</v>
      </c>
      <c r="F3113" s="3">
        <v>12</v>
      </c>
      <c r="G3113" s="4">
        <v>44557</v>
      </c>
      <c r="I3113" s="1">
        <v>1300</v>
      </c>
      <c r="J3113" s="1">
        <v>1300</v>
      </c>
    </row>
    <row r="3114" spans="2:10">
      <c r="C3114" s="2" t="s">
        <v>7</v>
      </c>
      <c r="D3114" s="2" t="s">
        <v>2178</v>
      </c>
      <c r="E3114" s="3">
        <v>40</v>
      </c>
      <c r="F3114" s="3">
        <v>40</v>
      </c>
      <c r="G3114" s="4">
        <v>43962</v>
      </c>
      <c r="J3114" s="1">
        <v>1300</v>
      </c>
    </row>
    <row r="3115" spans="2:10">
      <c r="B3115" s="1" t="s">
        <v>4665</v>
      </c>
      <c r="C3115" s="2" t="s">
        <v>18</v>
      </c>
      <c r="D3115" s="2" t="s">
        <v>2178</v>
      </c>
      <c r="E3115" s="3">
        <v>200</v>
      </c>
      <c r="F3115" s="3">
        <v>12</v>
      </c>
      <c r="G3115" s="4">
        <v>44557</v>
      </c>
      <c r="I3115" s="1">
        <v>1300</v>
      </c>
      <c r="J3115" s="1">
        <v>1300</v>
      </c>
    </row>
  </sheetData>
  <hyperlinks>
    <hyperlink ref="J301" r:id="rId1" xr:uid="{A05CDC27-286A-B746-9B5F-5B1E1B4E390C}"/>
    <hyperlink ref="J302"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G12" sqref="G12"/>
    </sheetView>
  </sheetViews>
  <sheetFormatPr baseColWidth="10" defaultRowHeight="16"/>
  <cols>
    <col min="1" max="1" width="5.33203125" bestFit="1" customWidth="1"/>
    <col min="2" max="2" width="16.33203125" customWidth="1"/>
    <col min="7" max="7" width="21.83203125" customWidth="1"/>
  </cols>
  <sheetData>
    <row r="1" spans="1:16">
      <c r="A1" t="s">
        <v>1203</v>
      </c>
    </row>
    <row r="2" spans="1:16">
      <c r="B2" t="s">
        <v>4666</v>
      </c>
    </row>
    <row r="4" spans="1:16">
      <c r="B4" t="s">
        <v>4089</v>
      </c>
      <c r="D4" s="75">
        <f>SUM(D5:D280)</f>
        <v>149235.5</v>
      </c>
    </row>
    <row r="5" spans="1:16">
      <c r="B5" t="str">
        <f>Companies!B10</f>
        <v>OpenAI</v>
      </c>
      <c r="C5" t="str">
        <f>Companies!C10</f>
        <v>Private</v>
      </c>
      <c r="D5">
        <f>Companies!D10</f>
        <v>28700</v>
      </c>
      <c r="E5" t="str">
        <f>Companies!E10</f>
        <v>N/A</v>
      </c>
      <c r="F5">
        <f>Companies!F10</f>
        <v>300</v>
      </c>
      <c r="G5" t="str">
        <f>Companies!H10</f>
        <v>GPT4, ChatGPT, Whisper, Code Interpreter, CoPilot</v>
      </c>
      <c r="H5"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t="str">
        <f>Companies!J10</f>
        <v>Tool</v>
      </c>
      <c r="J5" t="str">
        <f>Companies!K10</f>
        <v>Language Model</v>
      </c>
      <c r="K5">
        <f>Companies!L10</f>
        <v>2015</v>
      </c>
      <c r="L5">
        <f>Companies!M10</f>
        <v>0</v>
      </c>
      <c r="M5" t="str">
        <f>Companies!N10</f>
        <v>Wisdom Ventures, Thrive Capital, SVA, Sequoia Capital, K2 Global, a16z</v>
      </c>
      <c r="N5" t="str">
        <f>Companies!O10</f>
        <v>N/A</v>
      </c>
      <c r="O5" t="str">
        <f>Companies!P10</f>
        <v>10B at 19B</v>
      </c>
      <c r="P5" t="str">
        <f>Companies!Q10</f>
        <v>Microsoft</v>
      </c>
    </row>
    <row r="6" spans="1:16">
      <c r="B6" t="str">
        <f>Companies!B17</f>
        <v>SenseTime</v>
      </c>
      <c r="C6" t="str">
        <f>Companies!C17</f>
        <v>20 HK</v>
      </c>
      <c r="D6">
        <f>Companies!D17</f>
        <v>11000</v>
      </c>
      <c r="E6" t="str">
        <f>Companies!E17</f>
        <v>IPO</v>
      </c>
      <c r="F6">
        <f>Companies!F17</f>
        <v>740</v>
      </c>
      <c r="G6" t="str">
        <f>Companies!H17</f>
        <v>Surveillance</v>
      </c>
      <c r="H6" t="str">
        <f>Companies!I17</f>
        <v>Li Xu, Xiagang Wang, Bing Xu</v>
      </c>
      <c r="I6" t="str">
        <f>Companies!J17</f>
        <v>Enterprise</v>
      </c>
      <c r="J6" t="str">
        <f>Companies!K17</f>
        <v>Surveillance</v>
      </c>
      <c r="K6">
        <f>Companies!L17</f>
        <v>41913</v>
      </c>
      <c r="L6" t="str">
        <f>Companies!M17</f>
        <v>Chinese</v>
      </c>
      <c r="M6" t="str">
        <f>Companies!N17</f>
        <v>IPO</v>
      </c>
      <c r="N6" t="str">
        <f>Companies!O17</f>
        <v>Series D: 5B valuation</v>
      </c>
      <c r="O6">
        <f>Companies!P17</f>
        <v>1000</v>
      </c>
      <c r="P6" t="str">
        <f>Companies!Q17</f>
        <v>Softbank</v>
      </c>
    </row>
    <row r="7" spans="1:16">
      <c r="B7" t="str">
        <f>Companies!B20</f>
        <v>Scale</v>
      </c>
      <c r="C7" t="str">
        <f>Companies!C20</f>
        <v>Private</v>
      </c>
      <c r="D7">
        <f>Companies!D20</f>
        <v>7000</v>
      </c>
      <c r="E7" t="str">
        <f>Companies!E20</f>
        <v>Series E</v>
      </c>
      <c r="F7">
        <f>Companies!F20</f>
        <v>325</v>
      </c>
      <c r="G7" t="str">
        <f>Companies!H20</f>
        <v>Labeling</v>
      </c>
      <c r="H7" t="str">
        <f>Companies!I20</f>
        <v>Alexandr Wang</v>
      </c>
      <c r="I7" t="str">
        <f>Companies!J20</f>
        <v>Tool</v>
      </c>
      <c r="J7" t="str">
        <f>Companies!K20</f>
        <v>MLOps</v>
      </c>
      <c r="K7">
        <f>Companies!L20</f>
        <v>42522</v>
      </c>
      <c r="L7" t="str">
        <f>Companies!M20</f>
        <v>Lucy Guo co-founder</v>
      </c>
      <c r="M7" t="str">
        <f>Companies!N20</f>
        <v>Tiger, Coatue, Y Combinator, Wellington, Index, Human Capital, Greenoaks, Founders Fund, Durable Capital, Dragoneer</v>
      </c>
      <c r="N7" t="str">
        <f>Companies!O20</f>
        <v>Series D: 3.5B valuation</v>
      </c>
      <c r="O7">
        <f>Companies!P20</f>
        <v>155</v>
      </c>
      <c r="P7" t="str">
        <f>Companies!Q20</f>
        <v>Tiger, Bradley Horowitz</v>
      </c>
    </row>
    <row r="8" spans="1:16">
      <c r="B8" t="str">
        <f>Companies!B21</f>
        <v>Gong.io</v>
      </c>
      <c r="C8" t="str">
        <f>Companies!C21</f>
        <v>Private</v>
      </c>
      <c r="D8">
        <f>Companies!D21</f>
        <v>7000</v>
      </c>
      <c r="E8" t="str">
        <f>Companies!E21</f>
        <v>Series E</v>
      </c>
      <c r="F8">
        <f>Companies!F21</f>
        <v>250</v>
      </c>
      <c r="G8" t="str">
        <f>Companies!H21</f>
        <v>Revenue cycle management, transcription</v>
      </c>
      <c r="H8" t="str">
        <f>Companies!I21</f>
        <v>Eilon Reshef</v>
      </c>
      <c r="I8" t="str">
        <f>Companies!J21</f>
        <v>Enterprise</v>
      </c>
      <c r="J8" t="str">
        <f>Companies!K21</f>
        <v>Sales</v>
      </c>
      <c r="K8">
        <f>Companies!L21</f>
        <v>2015</v>
      </c>
      <c r="L8" t="str">
        <f>Companies!M21</f>
        <v>178m ARR</v>
      </c>
      <c r="M8" t="str">
        <f>Companies!N21</f>
        <v>Franklin Templeton, Tiger, Thrive, Sequoia, Salesforce, Coatue</v>
      </c>
      <c r="N8" t="str">
        <f>Companies!O21</f>
        <v>Series D</v>
      </c>
      <c r="O8">
        <f>Companies!P21</f>
        <v>200</v>
      </c>
      <c r="P8" t="str">
        <f>Companies!Q21</f>
        <v>Coatue, Wing, Thrive, Sequoia, Salesforce, Norwest, NextWorld, Index, Battery</v>
      </c>
    </row>
    <row r="9" spans="1:16">
      <c r="B9" t="str">
        <f>Companies!B23</f>
        <v>SambaNova Systems</v>
      </c>
      <c r="C9" t="str">
        <f>Companies!C23</f>
        <v>Private</v>
      </c>
      <c r="D9">
        <f>Companies!D23</f>
        <v>4400</v>
      </c>
      <c r="E9" t="str">
        <f>Companies!E23</f>
        <v>Series D</v>
      </c>
      <c r="F9">
        <f>Companies!F23</f>
        <v>676</v>
      </c>
      <c r="G9" t="str">
        <f>Companies!H23</f>
        <v>GAI for enterprise and government, Hardware</v>
      </c>
      <c r="H9" t="str">
        <f>Companies!I23</f>
        <v>Christopher Ré, Kunle Olukotun, Rodrigo Liang</v>
      </c>
      <c r="I9" t="str">
        <f>Companies!J23</f>
        <v>Enterprise</v>
      </c>
      <c r="J9" t="str">
        <f>Companies!K23</f>
        <v>Platform</v>
      </c>
      <c r="K9">
        <f>Companies!L23</f>
        <v>2017</v>
      </c>
      <c r="L9">
        <f>Companies!M23</f>
        <v>0</v>
      </c>
      <c r="M9" t="str">
        <f>Companies!N23</f>
        <v>SoftBank, Walden International, Temasek, Intel, Google, GIC, Celesta, BlackRock</v>
      </c>
      <c r="N9" t="str">
        <f>Companies!O23</f>
        <v>Series C at 2.3B</v>
      </c>
      <c r="O9">
        <f>Companies!P23</f>
        <v>250</v>
      </c>
      <c r="P9" t="str">
        <f>Companies!Q23</f>
        <v>BlackRock, Walden International, Redline Capital, Intel, Google, Celesta</v>
      </c>
    </row>
    <row r="10" spans="1:16">
      <c r="B10" t="str">
        <f>Companies!B24</f>
        <v>UBTech Robotics</v>
      </c>
      <c r="C10" t="str">
        <f>Companies!C24</f>
        <v>Private</v>
      </c>
      <c r="D10">
        <f>Companies!D24</f>
        <v>4200</v>
      </c>
      <c r="E10" t="str">
        <f>Companies!E24</f>
        <v>Series C</v>
      </c>
      <c r="F10">
        <f>Companies!F24</f>
        <v>820</v>
      </c>
      <c r="G10" t="str">
        <f>Companies!H24</f>
        <v>Chinese AI/robotics</v>
      </c>
      <c r="H10" t="str">
        <f>Companies!I24</f>
        <v>James Zhou</v>
      </c>
      <c r="I10" t="str">
        <f>Companies!J24</f>
        <v>Enterprise</v>
      </c>
      <c r="J10" t="str">
        <f>Companies!K24</f>
        <v>Robotics</v>
      </c>
      <c r="K10">
        <f>Companies!L24</f>
        <v>2012</v>
      </c>
      <c r="L10">
        <f>Companies!M24</f>
        <v>0</v>
      </c>
      <c r="M10" t="str">
        <f>Companies!N24</f>
        <v>Tencent, Telstra Ventures, Minsheng Securities, Haier, Green Pine, CreditEase, CDH Investments</v>
      </c>
      <c r="N10" t="str">
        <f>Companies!O24</f>
        <v>Series B at 900m</v>
      </c>
      <c r="O10">
        <f>Companies!P24</f>
        <v>100</v>
      </c>
      <c r="P10" t="str">
        <f>Companies!Q24</f>
        <v>CDH Investments, CITIC Securities, Qiming Venture Partners</v>
      </c>
    </row>
    <row r="11" spans="1:16">
      <c r="B11" t="str">
        <f>Companies!B25</f>
        <v>Anthropic</v>
      </c>
      <c r="C11" t="str">
        <f>Companies!C25</f>
        <v>Private</v>
      </c>
      <c r="D11">
        <f>Companies!D25</f>
        <v>4100</v>
      </c>
      <c r="E11" t="str">
        <f>Companies!E25</f>
        <v>Series C</v>
      </c>
      <c r="F11">
        <f>Companies!F25</f>
        <v>450</v>
      </c>
      <c r="G11" t="str">
        <f>Companies!H25</f>
        <v>Claude</v>
      </c>
      <c r="H11" t="str">
        <f>Companies!I25</f>
        <v>Dario Amodei, Tom Brown</v>
      </c>
      <c r="I11" t="str">
        <f>Companies!J25</f>
        <v>Tool</v>
      </c>
      <c r="J11" t="str">
        <f>Companies!K25</f>
        <v>Language Model</v>
      </c>
      <c r="K11">
        <f>Companies!L25</f>
        <v>2021</v>
      </c>
      <c r="L11" t="str">
        <f>Companies!M25</f>
        <v>Public benefit corp, EA-coded</v>
      </c>
      <c r="M11" t="str">
        <f>Companies!N25</f>
        <v>Spark, Zoom, Sound, Salesforce, Menlo, Google</v>
      </c>
      <c r="N11" t="str">
        <f>Companies!O25</f>
        <v>One-Off</v>
      </c>
      <c r="O11">
        <f>Companies!P25</f>
        <v>300</v>
      </c>
      <c r="P11" t="str">
        <f>Companies!Q25</f>
        <v>Google</v>
      </c>
    </row>
    <row r="12" spans="1:16">
      <c r="B12" t="str">
        <f>Companies!B27</f>
        <v>Inflection AI</v>
      </c>
      <c r="C12" t="str">
        <f>Companies!C27</f>
        <v>Private</v>
      </c>
      <c r="D12">
        <f>Companies!D27</f>
        <v>4000</v>
      </c>
      <c r="E12" t="str">
        <f>Companies!E27</f>
        <v>Series A</v>
      </c>
      <c r="F12">
        <f>Companies!F27</f>
        <v>1300</v>
      </c>
      <c r="G12" t="str">
        <f>Companies!H27</f>
        <v>Pi</v>
      </c>
      <c r="H12" t="str">
        <f>Companies!I27</f>
        <v>Reid Hoffman, Mustafa Suleyman</v>
      </c>
      <c r="I12" t="str">
        <f>Companies!J27</f>
        <v>Consumer</v>
      </c>
      <c r="J12" t="str">
        <f>Companies!K27</f>
        <v>Chatbot</v>
      </c>
      <c r="K12">
        <f>Companies!L27</f>
        <v>2022</v>
      </c>
      <c r="L12" t="str">
        <f>Companies!M27</f>
        <v>Said they wanted to raise $600m in March 2023, hasn’t materialized</v>
      </c>
      <c r="M12" t="str">
        <f>Companies!N27</f>
        <v>Microsoft, Reid Hoffman, Bill Gates, Eric Schmidt, NVIDIA</v>
      </c>
      <c r="N12" t="str">
        <f>Companies!O27</f>
        <v>Series A</v>
      </c>
      <c r="O12">
        <f>Companies!P27</f>
        <v>225</v>
      </c>
      <c r="P12" t="str">
        <f>Companies!Q27</f>
        <v>Greylock</v>
      </c>
    </row>
    <row r="13" spans="1:16">
      <c r="B13" t="str">
        <f>Companies!B30</f>
        <v>MEGVII</v>
      </c>
      <c r="C13" t="str">
        <f>Companies!C30</f>
        <v>Private</v>
      </c>
      <c r="D13">
        <f>Companies!D30</f>
        <v>3300</v>
      </c>
      <c r="E13" t="str">
        <f>Companies!E30</f>
        <v>Series D</v>
      </c>
      <c r="F13">
        <f>Companies!F30</f>
        <v>750</v>
      </c>
      <c r="G13" t="str">
        <f>Companies!H30</f>
        <v>AI Engine, Brain++, Face++, surveillance</v>
      </c>
      <c r="H13" t="str">
        <f>Companies!I30</f>
        <v>Qi Yin, Wenbin Tang, Yang Mu</v>
      </c>
      <c r="I13" t="str">
        <f>Companies!J30</f>
        <v>Enterprise</v>
      </c>
      <c r="J13" t="str">
        <f>Companies!K30</f>
        <v>Surveillance</v>
      </c>
      <c r="K13">
        <f>Companies!L30</f>
        <v>2011</v>
      </c>
      <c r="L13" t="str">
        <f>Companies!M30</f>
        <v>IPO soon</v>
      </c>
      <c r="M13" t="str">
        <f>Companies!N30</f>
        <v>Bank of China Group Investment, Macquarie, ICBC, Alibaba, ADIA</v>
      </c>
      <c r="N13" t="str">
        <f>Companies!O30</f>
        <v>Series C</v>
      </c>
      <c r="O13">
        <f>Companies!P30</f>
        <v>460</v>
      </c>
      <c r="P13" t="str">
        <f>Companies!Q30</f>
        <v>Foxconn, Ant, Sunshine Insurance, SK Group, Russia-China Investment Fund, China Reform Holdings</v>
      </c>
    </row>
    <row r="14" spans="1:16">
      <c r="B14" t="str">
        <f>Companies!B31</f>
        <v>Dataiku</v>
      </c>
      <c r="C14" t="str">
        <f>Companies!C31</f>
        <v>Private</v>
      </c>
      <c r="D14">
        <f>Companies!D31</f>
        <v>3500</v>
      </c>
      <c r="E14" t="str">
        <f>Companies!E31</f>
        <v>Series F</v>
      </c>
      <c r="F14">
        <f>Companies!F31</f>
        <v>200</v>
      </c>
      <c r="G14" t="str">
        <f>Companies!H31</f>
        <v>Data Science/ML platform</v>
      </c>
      <c r="H14" t="str">
        <f>Companies!I31</f>
        <v>Clément Stenac, Florian Douetteau, Marc Batty, Thomas Cabrol</v>
      </c>
      <c r="I14" t="str">
        <f>Companies!J31</f>
        <v>Enterprise</v>
      </c>
      <c r="J14" t="str">
        <f>Companies!K31</f>
        <v>Platform</v>
      </c>
      <c r="K14">
        <f>Companies!L31</f>
        <v>2013</v>
      </c>
      <c r="L14">
        <f>Companies!M31</f>
        <v>0</v>
      </c>
      <c r="M14" t="str">
        <f>Companies!N31</f>
        <v>Wellington, Insight Partners, Eurazeo, Olivier Pomel</v>
      </c>
      <c r="N14" t="str">
        <f>Companies!O31</f>
        <v>Series E</v>
      </c>
      <c r="O14" t="str">
        <f>Companies!P31</f>
        <v>400 at 4.2B</v>
      </c>
      <c r="P14" t="str">
        <f>Companies!Q31</f>
        <v>Tiger, Snowflake, Lightrock, Insight, ICONIQ, FirstMark, Eurazeo, Dawn Capital, CapitalG, Battery, Olivier Pomel</v>
      </c>
    </row>
    <row r="15" spans="1:16">
      <c r="B15" t="str">
        <f>Companies!B33</f>
        <v>4Paradigm</v>
      </c>
      <c r="C15" t="str">
        <f>Companies!C33</f>
        <v>Private</v>
      </c>
      <c r="D15">
        <f>Companies!D33</f>
        <v>3500</v>
      </c>
      <c r="E15" t="str">
        <f>Companies!E33</f>
        <v>Series D</v>
      </c>
      <c r="F15">
        <f>Companies!F33</f>
        <v>700</v>
      </c>
      <c r="G15" t="str">
        <f>Companies!H33</f>
        <v>Chinese AI/ML Platform</v>
      </c>
      <c r="H15" t="str">
        <f>Companies!I33</f>
        <v>Feng Tian, Qiang Yang, Shiwei Hu, Wenyuan Dai, Yuqiang Chen</v>
      </c>
      <c r="I15" t="str">
        <f>Companies!J33</f>
        <v>Enterprise</v>
      </c>
      <c r="J15" t="str">
        <f>Companies!K33</f>
        <v>MLOps</v>
      </c>
      <c r="K15">
        <f>Companies!L33</f>
        <v>2014</v>
      </c>
      <c r="L15" t="str">
        <f>Companies!M33</f>
        <v>IPO Soon</v>
      </c>
      <c r="M15" t="str">
        <f>Companies!N33</f>
        <v>Primavera Capital, HOPU, Boyu, Sequoia Capital China, Mubadala, Junci Investment, Jinyi Capital, Haitong, Goldman Sachs, FountainVest, CITIC, China Securities, China Reform, China Jianyin, Chinda Development Bank</v>
      </c>
      <c r="N15" t="str">
        <f>Companies!O33</f>
        <v>Series C</v>
      </c>
      <c r="O15" t="str">
        <f>Companies!P33</f>
        <v>230 at 1.8B</v>
      </c>
      <c r="P15" t="str">
        <f>Companies!Q33</f>
        <v>Lenovo, Green Pine, Co-Stone Venture, Cisco, CITIC, Capikris Foundation, Songhe Capital, Cornerstone Capital</v>
      </c>
    </row>
    <row r="16" spans="1:16">
      <c r="B16" t="str">
        <f>Companies!B34</f>
        <v>SymphonyAI</v>
      </c>
      <c r="C16" t="str">
        <f>Companies!C34</f>
        <v>Private</v>
      </c>
      <c r="D16">
        <f>Companies!D34</f>
        <v>3000</v>
      </c>
      <c r="E16" t="str">
        <f>Companies!E34</f>
        <v>N/A</v>
      </c>
      <c r="F16" t="str">
        <f>Companies!F34</f>
        <v>N/A</v>
      </c>
      <c r="G16" t="str">
        <f>Companies!H34</f>
        <v>Vertical focused, eg AML</v>
      </c>
      <c r="H16" t="str">
        <f>Companies!I34</f>
        <v>Romesh Wadhwani</v>
      </c>
      <c r="I16" t="str">
        <f>Companies!J34</f>
        <v>Enterprise</v>
      </c>
      <c r="J16" t="str">
        <f>Companies!K34</f>
        <v>Analytics</v>
      </c>
      <c r="K16">
        <f>Companies!L34</f>
        <v>2017</v>
      </c>
      <c r="L16" t="str">
        <f>Companies!M34</f>
        <v>Self-funded by Romesh Wadhwani, &gt;220m in revenue</v>
      </c>
      <c r="M16" t="str">
        <f>Companies!N34</f>
        <v>N/A</v>
      </c>
      <c r="N16" t="str">
        <f>Companies!O34</f>
        <v>N/A</v>
      </c>
      <c r="O16" t="str">
        <f>Companies!P34</f>
        <v>N/A</v>
      </c>
      <c r="P16" t="str">
        <f>Companies!Q34</f>
        <v>N/A</v>
      </c>
    </row>
    <row r="17" spans="2:16">
      <c r="B17" t="str">
        <f>Companies!B35</f>
        <v>Stability AI</v>
      </c>
      <c r="C17" t="str">
        <f>Companies!C35</f>
        <v>Private</v>
      </c>
      <c r="D17">
        <f>Companies!D35</f>
        <v>3000</v>
      </c>
      <c r="E17" t="str">
        <f>Companies!E35</f>
        <v>Seed</v>
      </c>
      <c r="F17">
        <f>Companies!F35</f>
        <v>100</v>
      </c>
      <c r="G17" t="str">
        <f>Companies!H35</f>
        <v>Stable Diffusion</v>
      </c>
      <c r="H17" t="str">
        <f>Companies!I35</f>
        <v>Emad Mostaque</v>
      </c>
      <c r="I17" t="str">
        <f>Companies!J35</f>
        <v>Consumer</v>
      </c>
      <c r="J17" t="str">
        <f>Companies!K35</f>
        <v>Content</v>
      </c>
      <c r="K17">
        <f>Companies!L35</f>
        <v>2019</v>
      </c>
      <c r="L17" t="str">
        <f>Companies!M35</f>
        <v>CEO is sketchy</v>
      </c>
      <c r="M17" t="str">
        <f>Companies!N35</f>
        <v>Coatue, Fourth Revolution, Kadmos, Lightspeed, O'Shaughnessy</v>
      </c>
      <c r="N17" t="str">
        <f>Companies!O35</f>
        <v>N/A</v>
      </c>
      <c r="O17" t="str">
        <f>Companies!P35</f>
        <v>N/A</v>
      </c>
      <c r="P17" t="str">
        <f>Companies!Q35</f>
        <v>N/A</v>
      </c>
    </row>
    <row r="18" spans="2:16">
      <c r="B18" t="str">
        <f>Companies!B38</f>
        <v>Shield AI</v>
      </c>
      <c r="C18" t="str">
        <f>Companies!C38</f>
        <v>Private</v>
      </c>
      <c r="D18">
        <f>Companies!D38</f>
        <v>2200</v>
      </c>
      <c r="E18" t="str">
        <f>Companies!E38</f>
        <v>Series E</v>
      </c>
      <c r="F18">
        <f>Companies!F38</f>
        <v>90</v>
      </c>
      <c r="G18" t="str">
        <f>Companies!H38</f>
        <v>AI Pilot</v>
      </c>
      <c r="H18" t="str">
        <f>Companies!I38</f>
        <v>Andrew Reiter, Brandon Tseng, Ryan Tseng</v>
      </c>
      <c r="I18" t="str">
        <f>Companies!J38</f>
        <v>Defense</v>
      </c>
      <c r="J18" t="str">
        <f>Companies!K38</f>
        <v>Aircraft</v>
      </c>
      <c r="K18">
        <f>Companies!L38</f>
        <v>2015</v>
      </c>
      <c r="L18">
        <f>Companies!M38</f>
        <v>0</v>
      </c>
      <c r="M18" t="str">
        <f>Companies!N38</f>
        <v>Snowpoint, SVB, Riot, Point72, Homebrew, Disruptive, Breyer, a16z</v>
      </c>
      <c r="N18" t="str">
        <f>Companies!O38</f>
        <v>Series D</v>
      </c>
      <c r="O18" t="str">
        <f>Companies!P38</f>
        <v>210 at 1B</v>
      </c>
      <c r="P18" t="str">
        <f>Companies!Q38</f>
        <v>Disruptive, Point72, Breyer, a16z</v>
      </c>
    </row>
    <row r="19" spans="2:16">
      <c r="B19" t="str">
        <f>Companies!B40</f>
        <v>Moveworks</v>
      </c>
      <c r="C19" t="str">
        <f>Companies!C40</f>
        <v>Private</v>
      </c>
      <c r="D19">
        <f>Companies!D40</f>
        <v>2100</v>
      </c>
      <c r="E19" t="str">
        <f>Companies!E40</f>
        <v>Series C</v>
      </c>
      <c r="F19">
        <f>Companies!F40</f>
        <v>200</v>
      </c>
      <c r="G19" t="str">
        <f>Companies!H40</f>
        <v>Conversational Bots</v>
      </c>
      <c r="H19" t="str">
        <f>Companies!I40</f>
        <v>Bhavin Shah</v>
      </c>
      <c r="I19" t="str">
        <f>Companies!J40</f>
        <v>Enterprise</v>
      </c>
      <c r="J19" t="str">
        <f>Companies!K40</f>
        <v>Employee Experience</v>
      </c>
      <c r="K19">
        <f>Companies!L40</f>
        <v>2016</v>
      </c>
      <c r="L19">
        <f>Companies!M40</f>
        <v>0</v>
      </c>
      <c r="M19" t="str">
        <f>Companies!N40</f>
        <v>Tiger, Alkeon</v>
      </c>
      <c r="N19" t="str">
        <f>Companies!O40</f>
        <v>Series B</v>
      </c>
      <c r="O19">
        <f>Companies!P40</f>
        <v>75</v>
      </c>
      <c r="P19" t="str">
        <f>Companies!Q40</f>
        <v>Sapphire Ventures, Kleiner Perkins, ICONIQ Capital, Lightspeed, Comerica Bank's Technology, Bain, John Thompson</v>
      </c>
    </row>
    <row r="20" spans="2:16">
      <c r="B20" t="str">
        <f>Companies!B41</f>
        <v>Cohere</v>
      </c>
      <c r="C20" t="str">
        <f>Companies!C41</f>
        <v>Private</v>
      </c>
      <c r="D20">
        <f>Companies!D41</f>
        <v>2000</v>
      </c>
      <c r="E20" t="str">
        <f>Companies!E41</f>
        <v>Series C</v>
      </c>
      <c r="F20">
        <f>Companies!F41</f>
        <v>270</v>
      </c>
      <c r="G20" t="str">
        <f>Companies!H41</f>
        <v>Command</v>
      </c>
      <c r="H20" t="str">
        <f>Companies!I41</f>
        <v>Aidan Gomez, Nick Frosst</v>
      </c>
      <c r="I20" t="str">
        <f>Companies!J41</f>
        <v>Tool</v>
      </c>
      <c r="J20" t="str">
        <f>Companies!K41</f>
        <v>Language Model</v>
      </c>
      <c r="K20">
        <f>Companies!L41</f>
        <v>2019</v>
      </c>
      <c r="L20" t="str">
        <f>Companies!M41</f>
        <v>Wanted higher valuation</v>
      </c>
      <c r="M20" t="str">
        <f>Companies!N41</f>
        <v>Inovia, Thomvest, SentinelOne, Schroders, Salesforce, Oracle, Nvidia, Mirae, Index, DTCP</v>
      </c>
      <c r="N20" t="str">
        <f>Companies!O41</f>
        <v>Series B</v>
      </c>
      <c r="O20">
        <f>Companies!P41</f>
        <v>130</v>
      </c>
      <c r="P20" t="str">
        <f>Companies!Q41</f>
        <v>Tiger, Section32, Radical Ventures, Index Ventures, Geoff Hinton, Raqel Urtasun, Fei-Fei Li, Pieter Abbeel</v>
      </c>
    </row>
    <row r="21" spans="2:16">
      <c r="B21" t="str">
        <f>Companies!B43</f>
        <v>Hugging Face</v>
      </c>
      <c r="C21" t="str">
        <f>Companies!C43</f>
        <v>Private</v>
      </c>
      <c r="D21">
        <f>Companies!D43</f>
        <v>2000</v>
      </c>
      <c r="E21" t="str">
        <f>Companies!E43</f>
        <v>Series C</v>
      </c>
      <c r="F21">
        <f>Companies!F43</f>
        <v>100</v>
      </c>
      <c r="G21" t="str">
        <f>Companies!H43</f>
        <v>HuggingChat</v>
      </c>
      <c r="H21" t="str">
        <f>Companies!I43</f>
        <v>Clement Delangue</v>
      </c>
      <c r="I21" t="str">
        <f>Companies!J43</f>
        <v>Tool</v>
      </c>
      <c r="J21" t="str">
        <f>Companies!K43</f>
        <v>MLOps</v>
      </c>
      <c r="K21">
        <f>Companies!L43</f>
        <v>2016</v>
      </c>
      <c r="L21" t="str">
        <f>Companies!M43</f>
        <v>OpenAssistant</v>
      </c>
      <c r="M21" t="str">
        <f>Companies!N43</f>
        <v>Lux Capital, Thirty Five Ventures, SVA, Sequoia Capital, Cygni Capital, Coatue, Betaworks, Rich Kleiman, Olivier Pomel, Kevin Durant, AIX Ventures, Addition, A.Capital</v>
      </c>
      <c r="N21" t="str">
        <f>Companies!O43</f>
        <v>Series B</v>
      </c>
      <c r="O21">
        <f>Companies!P43</f>
        <v>40</v>
      </c>
      <c r="P21" t="str">
        <f>Companies!Q43</f>
        <v>Addition, Rich Kleiman, Richard Socher, Paul St. John, Olivier Pomel, Lux Capital, Kevin Durant, Florian Douetteau, Dev Ittycheria, Betaworks, Augusto Marietti, Alex Wang, A. Capital</v>
      </c>
    </row>
    <row r="22" spans="2:16">
      <c r="B22" t="str">
        <f>Companies!B44</f>
        <v>Xiaoice (fka Bombax)</v>
      </c>
      <c r="C22" t="str">
        <f>Companies!C44</f>
        <v>Private</v>
      </c>
      <c r="D22">
        <f>Companies!D44</f>
        <v>2000</v>
      </c>
      <c r="E22" t="str">
        <f>Companies!E44</f>
        <v>Series B</v>
      </c>
      <c r="F22">
        <f>Companies!F44</f>
        <v>138</v>
      </c>
      <c r="G22" t="str">
        <f>Companies!H44</f>
        <v>Digital humans, chatbot</v>
      </c>
      <c r="H22">
        <f>Companies!I44</f>
        <v>0</v>
      </c>
      <c r="I22" t="str">
        <f>Companies!J44</f>
        <v>Enterprise</v>
      </c>
      <c r="J22" t="str">
        <f>Companies!K44</f>
        <v>Avatars</v>
      </c>
      <c r="K22">
        <f>Companies!L44</f>
        <v>2014</v>
      </c>
      <c r="L22" t="str">
        <f>Companies!M44</f>
        <v>Microsoft spinout? 660m users WW?</v>
      </c>
      <c r="M22" t="str">
        <f>Companies!N44</f>
        <v>N/A</v>
      </c>
      <c r="N22" t="str">
        <f>Companies!O44</f>
        <v>Series A</v>
      </c>
      <c r="O22" t="str">
        <f>Companies!P44</f>
        <v>N/A</v>
      </c>
      <c r="P22" t="str">
        <f>Companies!Q44</f>
        <v>Hillhouse, Wuyuan Capital, Northern Light Venture, Neumann Advisors, NetEase, IDG Capital, GGV Capital, 5Y Capital</v>
      </c>
    </row>
    <row r="23" spans="2:16">
      <c r="B23" t="str">
        <f>Companies!B45</f>
        <v>Squirrel AI Learning</v>
      </c>
      <c r="C23" t="str">
        <f>Companies!C45</f>
        <v>Private</v>
      </c>
      <c r="D23">
        <f>Companies!D45</f>
        <v>2000</v>
      </c>
      <c r="E23" t="str">
        <f>Companies!E45</f>
        <v>Series C</v>
      </c>
      <c r="F23">
        <f>Companies!F45</f>
        <v>50</v>
      </c>
      <c r="G23">
        <f>Companies!H45</f>
        <v>0</v>
      </c>
      <c r="H23" t="str">
        <f>Companies!I45</f>
        <v>Derek Li, Jason Wei Zhou, Wei Cui</v>
      </c>
      <c r="I23" t="str">
        <f>Companies!J45</f>
        <v>Consumer</v>
      </c>
      <c r="J23" t="str">
        <f>Companies!K45</f>
        <v>Education</v>
      </c>
      <c r="K23">
        <f>Companies!L45</f>
        <v>2014</v>
      </c>
      <c r="L23">
        <f>Companies!M45</f>
        <v>0</v>
      </c>
      <c r="M23" t="str">
        <f>Companies!N45</f>
        <v>SIG China, CITIC, NGP</v>
      </c>
      <c r="N23" t="str">
        <f>Companies!O45</f>
        <v>Series B</v>
      </c>
      <c r="O23">
        <f>Companies!P45</f>
        <v>150</v>
      </c>
      <c r="P23" t="str">
        <f>Companies!Q45</f>
        <v>SIG China, Tiantu Capital, NGP Capital, China-ASEAN etst Investment Cooperation Fund</v>
      </c>
    </row>
    <row r="24" spans="2:16">
      <c r="B24" t="str">
        <f>Companies!B48</f>
        <v>EightFold AI</v>
      </c>
      <c r="C24" t="str">
        <f>Companies!C48</f>
        <v>Private</v>
      </c>
      <c r="D24">
        <f>Companies!D48</f>
        <v>1900</v>
      </c>
      <c r="E24" t="str">
        <f>Companies!E48</f>
        <v>Series E</v>
      </c>
      <c r="F24">
        <f>Companies!F48</f>
        <v>220</v>
      </c>
      <c r="G24" t="str">
        <f>Companies!H48</f>
        <v>Upskilling, Internal placements</v>
      </c>
      <c r="H24" t="str">
        <f>Companies!I48</f>
        <v>Ashutosh Garg, Varun Kacholia</v>
      </c>
      <c r="I24" t="str">
        <f>Companies!J48</f>
        <v>Enterprise</v>
      </c>
      <c r="J24" t="str">
        <f>Companies!K48</f>
        <v>Recruiting</v>
      </c>
      <c r="K24">
        <f>Companies!L48</f>
        <v>2016</v>
      </c>
      <c r="L24">
        <f>Companies!M48</f>
        <v>0</v>
      </c>
      <c r="M24" t="str">
        <f>Companies!N48</f>
        <v>SoftBank, Lightspeed, IVP, General Catalyst, Foundation, Capital One</v>
      </c>
      <c r="N24" t="str">
        <f>Companies!O48</f>
        <v>Series D</v>
      </c>
      <c r="O24" t="str">
        <f>Companies!P48</f>
        <v>125 at 875m</v>
      </c>
      <c r="P24" t="str">
        <f>Companies!Q48</f>
        <v>General Catalyst, Lightspeed, IVP, Foundation, Capital One</v>
      </c>
    </row>
    <row r="25" spans="2:16">
      <c r="B25" t="str">
        <f>Companies!B49</f>
        <v>Jasper</v>
      </c>
      <c r="C25" t="str">
        <f>Companies!C49</f>
        <v>Private</v>
      </c>
      <c r="D25">
        <f>Companies!D49</f>
        <v>1500</v>
      </c>
      <c r="E25" t="str">
        <f>Companies!E49</f>
        <v>Series A</v>
      </c>
      <c r="F25">
        <f>Companies!F49</f>
        <v>125</v>
      </c>
      <c r="G25" t="str">
        <f>Companies!H49</f>
        <v>Writing</v>
      </c>
      <c r="H25" t="str">
        <f>Companies!I49</f>
        <v>John Morgan, Dave Rogenmoser</v>
      </c>
      <c r="I25" t="str">
        <f>Companies!J49</f>
        <v>Consumer</v>
      </c>
      <c r="J25" t="str">
        <f>Companies!K49</f>
        <v>Content</v>
      </c>
      <c r="K25">
        <f>Companies!L49</f>
        <v>2021</v>
      </c>
      <c r="L25" t="str">
        <f>Companies!M49</f>
        <v>Uses GPT3.5</v>
      </c>
      <c r="M25" t="str">
        <f>Companies!N49</f>
        <v>Coatue, Insight Partners, Foundation Capital, Bessemer, IVP, HubSpot, Founders Circle</v>
      </c>
      <c r="N25" t="str">
        <f>Companies!O49</f>
        <v>Seed</v>
      </c>
      <c r="O25">
        <f>Companies!P49</f>
        <v>6</v>
      </c>
      <c r="P25" t="str">
        <f>Companies!Q49</f>
        <v>AAF, Foundation, Four Cities</v>
      </c>
    </row>
    <row r="26" spans="2:16">
      <c r="B26" t="str">
        <f>Companies!B50</f>
        <v>Builder.ai</v>
      </c>
      <c r="C26" t="str">
        <f>Companies!C50</f>
        <v>Private</v>
      </c>
      <c r="D26">
        <f>Companies!D50</f>
        <v>1500</v>
      </c>
      <c r="E26" t="str">
        <f>Companies!E50</f>
        <v>Series D</v>
      </c>
      <c r="F26">
        <f>Companies!F50</f>
        <v>250</v>
      </c>
      <c r="G26" t="str">
        <f>Companies!H50</f>
        <v>No-code app development</v>
      </c>
      <c r="H26" t="str">
        <f>Companies!I50</f>
        <v>Sachin Dev Duggal, Saurabh Dhoot</v>
      </c>
      <c r="I26" t="str">
        <f>Companies!J50</f>
        <v>Enterprise</v>
      </c>
      <c r="J26" t="str">
        <f>Companies!K50</f>
        <v>Programming</v>
      </c>
      <c r="K26">
        <f>Companies!L50</f>
        <v>2016</v>
      </c>
      <c r="L26" t="str">
        <f>Companies!M50</f>
        <v>MSFT partnership</v>
      </c>
      <c r="M26" t="str">
        <f>Companies!N50</f>
        <v>Qatar, Jungle Ventures, Insight Partners, ICONIQ Capital, Blue Lion Global</v>
      </c>
      <c r="N26" t="str">
        <f>Companies!O50</f>
        <v>Series C</v>
      </c>
      <c r="O26">
        <f>Companies!P50</f>
        <v>100</v>
      </c>
      <c r="P26" t="str">
        <f>Companies!Q50</f>
        <v>Insight Partners, WndrCo, Jungle Ventures, IFC, Blue Lion, Revo Capital, Nikesh Arora</v>
      </c>
    </row>
    <row r="27" spans="2:16">
      <c r="B27" t="str">
        <f>Companies!B51</f>
        <v>Runway</v>
      </c>
      <c r="C27" t="str">
        <f>Companies!C51</f>
        <v>Private</v>
      </c>
      <c r="D27">
        <f>Companies!D51</f>
        <v>1400</v>
      </c>
      <c r="E27" t="str">
        <f>Companies!E51</f>
        <v>Series D</v>
      </c>
      <c r="F27">
        <f>Companies!F51</f>
        <v>100</v>
      </c>
      <c r="G27" t="str">
        <f>Companies!H51</f>
        <v>Text-to-Video</v>
      </c>
      <c r="H27" t="str">
        <f>Companies!I51</f>
        <v>Cristobal Valenzuela, Anastasis Germanidis</v>
      </c>
      <c r="I27" t="str">
        <f>Companies!J51</f>
        <v>Consumer</v>
      </c>
      <c r="J27" t="str">
        <f>Companies!K51</f>
        <v>Video</v>
      </c>
      <c r="K27">
        <f>Companies!L51</f>
        <v>43101</v>
      </c>
      <c r="L27" t="str">
        <f>Companies!M51</f>
        <v>Text-to-video, text-to-speech. Hundreds of thousands of users - Coatue</v>
      </c>
      <c r="M27" t="str">
        <f>Companies!N51</f>
        <v>Rogue VC, Google</v>
      </c>
      <c r="N27" t="str">
        <f>Companies!O51</f>
        <v>Series C</v>
      </c>
      <c r="O27">
        <f>Companies!P51</f>
        <v>50</v>
      </c>
      <c r="P27" t="str">
        <f>Companies!Q51</f>
        <v>Lux, Madrona, Felicis, Compound, Coatue, Amplify</v>
      </c>
    </row>
    <row r="28" spans="2:16">
      <c r="B28" t="str">
        <f>Companies!B52</f>
        <v>K Health</v>
      </c>
      <c r="C28" t="str">
        <f>Companies!C52</f>
        <v>Private</v>
      </c>
      <c r="D28">
        <f>Companies!D52</f>
        <v>1300</v>
      </c>
      <c r="E28" t="str">
        <f>Companies!E52</f>
        <v>Series E</v>
      </c>
      <c r="F28">
        <f>Companies!F52</f>
        <v>132</v>
      </c>
      <c r="G28" t="str">
        <f>Companies!H52</f>
        <v>Healthcare app</v>
      </c>
      <c r="H28" t="str">
        <f>Companies!I52</f>
        <v>Allon Bloch</v>
      </c>
      <c r="I28" t="str">
        <f>Companies!J52</f>
        <v>Consumer</v>
      </c>
      <c r="J28" t="str">
        <f>Companies!K52</f>
        <v>Healthcare</v>
      </c>
      <c r="K28">
        <f>Companies!L52</f>
        <v>2016</v>
      </c>
      <c r="L28">
        <f>Companies!M52</f>
        <v>0</v>
      </c>
      <c r="M28" t="str">
        <f>Companies!N52</f>
        <v>Valor Equity Partners, PICO Venture Partners, GGV Capital, Primary Ventures, Max Ventures, Marcy Venture Partners, LTS Investments, Kaiser Permanente, Counterpart Advisors, BoxGroup, Bienville Capital, Atreides Ventures, 14W</v>
      </c>
      <c r="N28" t="str">
        <f>Companies!O52</f>
        <v>Series D</v>
      </c>
      <c r="O28">
        <f>Companies!P52</f>
        <v>42</v>
      </c>
      <c r="P28" t="str">
        <f>Companies!Q52</f>
        <v>Valor Equity Partners, PICO Venture Partners, Max Ventures, Marcy Venture Partners, Atreides Management, 14W</v>
      </c>
    </row>
    <row r="29" spans="2:16">
      <c r="B29" t="str">
        <f>Companies!B53</f>
        <v>Paradox</v>
      </c>
      <c r="C29" t="str">
        <f>Companies!C53</f>
        <v>Private</v>
      </c>
      <c r="D29">
        <f>Companies!D53</f>
        <v>1300</v>
      </c>
      <c r="E29" t="str">
        <f>Companies!E53</f>
        <v>Series C</v>
      </c>
      <c r="F29">
        <f>Companies!F53</f>
        <v>200</v>
      </c>
      <c r="G29" t="str">
        <f>Companies!H53</f>
        <v>Olivia, AI recruiter, onboarding</v>
      </c>
      <c r="H29" t="str">
        <f>Companies!I53</f>
        <v>Aaron Matos</v>
      </c>
      <c r="I29" t="str">
        <f>Companies!J53</f>
        <v>Enterprise</v>
      </c>
      <c r="J29" t="str">
        <f>Companies!K53</f>
        <v>Recruiting</v>
      </c>
      <c r="K29">
        <f>Companies!L53</f>
        <v>2016</v>
      </c>
      <c r="L29">
        <f>Companies!M53</f>
        <v>0</v>
      </c>
      <c r="M29" t="str">
        <f>Companies!N53</f>
        <v>Thoma Bravo, Stripes, Sapphire, Workday, Willoughby Capital, Twilio, Principia Growth, Indeed, Geodesic Capital, DLA Piper, Brighton Park, Blue Cloud</v>
      </c>
      <c r="N29" t="str">
        <f>Companies!O53</f>
        <v>Series B</v>
      </c>
      <c r="O29">
        <f>Companies!P53</f>
        <v>40</v>
      </c>
      <c r="P29" t="str">
        <f>Companies!Q53</f>
        <v>Brighton Park</v>
      </c>
    </row>
    <row r="30" spans="2:16">
      <c r="B30" t="str">
        <f>Companies!B56</f>
        <v>Ada.cx (Toronto)</v>
      </c>
      <c r="C30" t="str">
        <f>Companies!C56</f>
        <v>Private</v>
      </c>
      <c r="D30">
        <f>Companies!D56</f>
        <v>1100</v>
      </c>
      <c r="E30" t="str">
        <f>Companies!E56</f>
        <v>Series C</v>
      </c>
      <c r="F30">
        <f>Companies!F56</f>
        <v>130</v>
      </c>
      <c r="G30" t="str">
        <f>Companies!H56</f>
        <v>CX Chatbots</v>
      </c>
      <c r="H30" t="str">
        <f>Companies!I56</f>
        <v>David Hariri, Mike Murchison</v>
      </c>
      <c r="I30" t="str">
        <f>Companies!J56</f>
        <v>Enterprise</v>
      </c>
      <c r="J30" t="str">
        <f>Companies!K56</f>
        <v>Customer Service</v>
      </c>
      <c r="K30">
        <f>Companies!L56</f>
        <v>2016</v>
      </c>
      <c r="L30">
        <f>Companies!M56</f>
        <v>0</v>
      </c>
      <c r="M30" t="str">
        <f>Companies!N56</f>
        <v>Spark Capital, Tiger, Version One, Giant Ventures, FirstMark, Burst Capital, Bessemer, Accel</v>
      </c>
      <c r="N30" t="str">
        <f>Companies!O56</f>
        <v>Series B</v>
      </c>
      <c r="O30">
        <f>Companies!P56</f>
        <v>44</v>
      </c>
      <c r="P30" t="str">
        <f>Companies!Q56</f>
        <v>Accel, Version One, Ramen Ventures, Leaders Fund, FirstMark, Burst Capital, Bessemer, Accel</v>
      </c>
    </row>
    <row r="31" spans="2:16">
      <c r="B31" t="str">
        <f>Companies!B57</f>
        <v>Weights and Biases</v>
      </c>
      <c r="C31" t="str">
        <f>Companies!C57</f>
        <v>Private</v>
      </c>
      <c r="D31">
        <f>Companies!D57</f>
        <v>1000</v>
      </c>
      <c r="E31" t="str">
        <f>Companies!E57</f>
        <v>Series C</v>
      </c>
      <c r="F31">
        <f>Companies!F57</f>
        <v>135</v>
      </c>
      <c r="G31" t="str">
        <f>Companies!H57</f>
        <v>Model Tool Platform</v>
      </c>
      <c r="H31" t="str">
        <f>Companies!I57</f>
        <v>Lukas Biewald, Chris Pelt, Shawn Lewis</v>
      </c>
      <c r="I31" t="str">
        <f>Companies!J57</f>
        <v>Tool</v>
      </c>
      <c r="J31" t="str">
        <f>Companies!K57</f>
        <v>MLOps</v>
      </c>
      <c r="K31">
        <f>Companies!L57</f>
        <v>2017</v>
      </c>
      <c r="L31" t="str">
        <f>Companies!M57</f>
        <v>OpenAI is a customer</v>
      </c>
      <c r="M31" t="str">
        <f>Companies!N57</f>
        <v>Nvidia, Coatue, Bond, Insight Partners, Felicis</v>
      </c>
      <c r="N31" t="str">
        <f>Companies!O57</f>
        <v>Series B</v>
      </c>
      <c r="O31">
        <f>Companies!P57</f>
        <v>45</v>
      </c>
      <c r="P31" t="str">
        <f>Companies!Q57</f>
        <v>Insight Partners, Bloomberg Beta, Richard Socher, Jeff Hammerbacher, Nat Friedman, Trinity Ventures, Pieter Abbeel, Coatue, Tom Preston-Werner</v>
      </c>
    </row>
    <row r="32" spans="2:16">
      <c r="B32" t="str">
        <f>Companies!B58</f>
        <v>Character AI</v>
      </c>
      <c r="C32" t="str">
        <f>Companies!C58</f>
        <v>Private</v>
      </c>
      <c r="D32">
        <f>Companies!D58</f>
        <v>1000</v>
      </c>
      <c r="E32" t="str">
        <f>Companies!E58</f>
        <v>Series A</v>
      </c>
      <c r="F32">
        <f>Companies!F58</f>
        <v>150</v>
      </c>
      <c r="G32" t="str">
        <f>Companies!H58</f>
        <v>Character.ai</v>
      </c>
      <c r="H32" t="str">
        <f>Companies!I58</f>
        <v>Noam Shazeer</v>
      </c>
      <c r="I32" t="str">
        <f>Companies!J58</f>
        <v>Consumer</v>
      </c>
      <c r="J32" t="str">
        <f>Companies!K58</f>
        <v>Chatbot</v>
      </c>
      <c r="K32">
        <f>Companies!L58</f>
        <v>2021</v>
      </c>
      <c r="L32" t="str">
        <f>Companies!M58</f>
        <v>Noam invented transformers</v>
      </c>
      <c r="M32" t="str">
        <f>Companies!N58</f>
        <v>Andreessen Horowitz, A.Capital, Elad Gil, Nat Friedman, SVA</v>
      </c>
      <c r="N32" t="str">
        <f>Companies!O58</f>
        <v>Seed</v>
      </c>
      <c r="O32" t="str">
        <f>Companies!P58</f>
        <v>N/A</v>
      </c>
      <c r="P32" t="str">
        <f>Companies!Q58</f>
        <v>A.Capital, SVA, Paul Buchheit, Nat Friedman, Elad Gil</v>
      </c>
    </row>
    <row r="33" spans="2:16">
      <c r="B33" t="str">
        <f>Companies!B59</f>
        <v>Adept AI</v>
      </c>
      <c r="C33" t="str">
        <f>Companies!C59</f>
        <v>Private</v>
      </c>
      <c r="D33">
        <f>Companies!D59</f>
        <v>1000</v>
      </c>
      <c r="E33" t="str">
        <f>Companies!E59</f>
        <v>Series B</v>
      </c>
      <c r="F33">
        <f>Companies!F59</f>
        <v>350</v>
      </c>
      <c r="G33" t="str">
        <f>Companies!H59</f>
        <v>N/A</v>
      </c>
      <c r="H33" t="str">
        <f>Companies!I59</f>
        <v>David Luan</v>
      </c>
      <c r="I33" t="str">
        <f>Companies!J59</f>
        <v>Enterprise</v>
      </c>
      <c r="J33" t="str">
        <f>Companies!K59</f>
        <v>Assistant</v>
      </c>
      <c r="K33">
        <f>Companies!L59</f>
        <v>2022</v>
      </c>
      <c r="L33" t="str">
        <f>Companies!M59</f>
        <v>Pre-product…</v>
      </c>
      <c r="M33" t="str">
        <f>Companies!N59</f>
        <v>Spark Capital, General Catalyst, PSP Growth, NVDA, MSFT, Greylock, Frontiers Capital, Caterina Fake, Atlassian, Addition, A.Capital, SVA, Workday</v>
      </c>
      <c r="N33" t="str">
        <f>Companies!O59</f>
        <v>Series A</v>
      </c>
      <c r="O33">
        <f>Companies!P59</f>
        <v>65</v>
      </c>
      <c r="P33" t="str">
        <f>Companies!Q59</f>
        <v>Greylock, Andrej Karpathy, Addition, Chris Re, Howie Liu, Joe Morrissey, Root Ventures, Sarah Meyohas, Scott Belsky</v>
      </c>
    </row>
    <row r="34" spans="2:16">
      <c r="B34" t="str">
        <f>Companies!B60</f>
        <v>Midjourney</v>
      </c>
      <c r="C34" t="str">
        <f>Companies!C60</f>
        <v>Private</v>
      </c>
      <c r="D34">
        <f>Companies!D60</f>
        <v>1000</v>
      </c>
      <c r="E34" t="str">
        <f>Companies!E60</f>
        <v>Self-Funded</v>
      </c>
      <c r="F34">
        <f>Companies!F60</f>
        <v>0</v>
      </c>
      <c r="G34" t="str">
        <f>Companies!H60</f>
        <v>Discord Bot</v>
      </c>
      <c r="H34" t="str">
        <f>Companies!I60</f>
        <v>David Holz</v>
      </c>
      <c r="I34" t="str">
        <f>Companies!J60</f>
        <v>Consumer</v>
      </c>
      <c r="J34" t="str">
        <f>Companies!K60</f>
        <v>Content</v>
      </c>
      <c r="K34">
        <f>Companies!L60</f>
        <v>44754</v>
      </c>
      <c r="L34" t="str">
        <f>Companies!M60</f>
        <v>No outside investors, only 9 employees</v>
      </c>
      <c r="M34" t="str">
        <f>Companies!N60</f>
        <v>N/A</v>
      </c>
      <c r="N34" t="str">
        <f>Companies!O60</f>
        <v>N/A</v>
      </c>
      <c r="O34" t="str">
        <f>Companies!P60</f>
        <v>N/A</v>
      </c>
      <c r="P34" t="str">
        <f>Companies!Q60</f>
        <v>N/A</v>
      </c>
    </row>
    <row r="35" spans="2:16">
      <c r="B35" t="str">
        <f>Companies!B63</f>
        <v>AnyVision/Oosto</v>
      </c>
      <c r="C35" t="str">
        <f>Companies!C63</f>
        <v>Private</v>
      </c>
      <c r="D35">
        <f>Companies!D63</f>
        <v>1000</v>
      </c>
      <c r="E35" t="str">
        <f>Companies!E63</f>
        <v>Series C</v>
      </c>
      <c r="F35">
        <f>Companies!F63</f>
        <v>235</v>
      </c>
      <c r="G35" t="str">
        <f>Companies!H63</f>
        <v>CV, security</v>
      </c>
      <c r="H35" t="str">
        <f>Companies!I63</f>
        <v>Eylon Etshtein, Neil Robertson, Shlomo Benartzi</v>
      </c>
      <c r="I35" t="str">
        <f>Companies!J63</f>
        <v>Enterprise</v>
      </c>
      <c r="J35" t="str">
        <f>Companies!K63</f>
        <v>Surveillance</v>
      </c>
      <c r="K35">
        <f>Companies!L63</f>
        <v>2015</v>
      </c>
      <c r="L35">
        <f>Companies!M63</f>
        <v>0</v>
      </c>
      <c r="M35" t="str">
        <f>Companies!N63</f>
        <v>SoftBank, Eldridge, Qualcomm, Lightspeed</v>
      </c>
      <c r="N35" t="str">
        <f>Companies!O63</f>
        <v>Series B</v>
      </c>
      <c r="O35">
        <f>Companies!P63</f>
        <v>43</v>
      </c>
      <c r="P35" t="str">
        <f>Companies!Q63</f>
        <v>Qualcomm, Lightspeed, Eldridge, DJF, Bosch</v>
      </c>
    </row>
    <row r="36" spans="2:16">
      <c r="B36" t="str">
        <f>Companies!B64</f>
        <v>Glean</v>
      </c>
      <c r="C36" t="str">
        <f>Companies!C64</f>
        <v>Private</v>
      </c>
      <c r="D36">
        <f>Companies!D64</f>
        <v>1000</v>
      </c>
      <c r="E36" t="str">
        <f>Companies!E64</f>
        <v>Series C</v>
      </c>
      <c r="F36">
        <f>Companies!F64</f>
        <v>100</v>
      </c>
      <c r="G36" t="str">
        <f>Companies!H64</f>
        <v>Enterprise Search</v>
      </c>
      <c r="H36" t="str">
        <f>Companies!I64</f>
        <v>Arvind Jain</v>
      </c>
      <c r="I36" t="str">
        <f>Companies!J64</f>
        <v>Enterprise</v>
      </c>
      <c r="J36" t="str">
        <f>Companies!K64</f>
        <v>Business Intelligence</v>
      </c>
      <c r="K36">
        <f>Companies!L64</f>
        <v>2019</v>
      </c>
      <c r="L36" t="str">
        <f>Companies!M64</f>
        <v>Seems overhyped</v>
      </c>
      <c r="M36" t="str">
        <f>Companies!N64</f>
        <v>Sequoia, Slack Fund, Lightspeed, Kleiner Perkins, General Catalyst</v>
      </c>
      <c r="N36" t="str">
        <f>Companies!O64</f>
        <v>Series B</v>
      </c>
      <c r="O36">
        <f>Companies!P64</f>
        <v>40</v>
      </c>
      <c r="P36" t="str">
        <f>Companies!Q64</f>
        <v>General Catalyst, Slack, Lightpseed, Kleiner Perkins</v>
      </c>
    </row>
    <row r="37" spans="2:16">
      <c r="B37" t="str">
        <f>Companies!B65</f>
        <v>People.ai</v>
      </c>
      <c r="C37" t="str">
        <f>Companies!C65</f>
        <v>Private</v>
      </c>
      <c r="D37">
        <f>Companies!D65</f>
        <v>1000</v>
      </c>
      <c r="E37" t="str">
        <f>Companies!E65</f>
        <v>Series D</v>
      </c>
      <c r="F37">
        <f>Companies!F65</f>
        <v>100</v>
      </c>
      <c r="G37" t="str">
        <f>Companies!H65</f>
        <v>Revenue/Sales Management</v>
      </c>
      <c r="H37" t="str">
        <f>Companies!I65</f>
        <v>Oleg Rogynskyy</v>
      </c>
      <c r="I37" t="str">
        <f>Companies!J65</f>
        <v>Enterprise</v>
      </c>
      <c r="J37" t="str">
        <f>Companies!K65</f>
        <v>CRM</v>
      </c>
      <c r="K37">
        <f>Companies!L65</f>
        <v>2016</v>
      </c>
      <c r="L37">
        <f>Companies!M65</f>
        <v>0</v>
      </c>
      <c r="M37" t="str">
        <f>Companies!N65</f>
        <v>Mubadala Capital, Akkadian Ventures, Sand Hill Angels, Lightspeed Venture Partners, ICONIQ, Gaingels</v>
      </c>
      <c r="N37" t="str">
        <f>Companies!O65</f>
        <v>Series C</v>
      </c>
      <c r="O37">
        <f>Companies!P65</f>
        <v>60</v>
      </c>
      <c r="P37" t="str">
        <f>Companies!Q65</f>
        <v>ICONIQ, Y Combinator, Maropost Ventures, GGV Capital, Frontline Ventures, a16z, Lightspeed Venture Partners, John Thompson, Godfrey Sullivan, Frank Slootman</v>
      </c>
    </row>
    <row r="38" spans="2:16">
      <c r="B38" t="str">
        <f>Companies!B66</f>
        <v>Tecton</v>
      </c>
      <c r="C38" t="str">
        <f>Companies!C66</f>
        <v>Private</v>
      </c>
      <c r="D38">
        <f>Companies!D66</f>
        <v>1000</v>
      </c>
      <c r="E38" t="str">
        <f>Companies!E66</f>
        <v>Series C</v>
      </c>
      <c r="F38">
        <f>Companies!F66</f>
        <v>100</v>
      </c>
      <c r="G38" t="str">
        <f>Companies!H66</f>
        <v>Feature Store</v>
      </c>
      <c r="H38" t="str">
        <f>Companies!I66</f>
        <v>Michael Del Balso, Kevin Stumpf</v>
      </c>
      <c r="I38" t="str">
        <f>Companies!J66</f>
        <v>Tool</v>
      </c>
      <c r="J38" t="str">
        <f>Companies!K66</f>
        <v>MLOps</v>
      </c>
      <c r="K38">
        <f>Companies!L66</f>
        <v>2019</v>
      </c>
      <c r="L38" t="str">
        <f>Companies!M66</f>
        <v>Original Uber AI team</v>
      </c>
      <c r="M38" t="str">
        <f>Companies!N66</f>
        <v>Kleiner Perkins, Tiger, Snowflake, Sequoia, Databricks, Bain, a16z</v>
      </c>
      <c r="N38" t="str">
        <f>Companies!O66</f>
        <v>Series B</v>
      </c>
      <c r="O38">
        <f>Companies!P66</f>
        <v>35</v>
      </c>
      <c r="P38" t="str">
        <f>Companies!Q66</f>
        <v>Sequoia, a16z</v>
      </c>
    </row>
    <row r="39" spans="2:16">
      <c r="B39" t="str">
        <f>Companies!B67</f>
        <v>Parametrix AI</v>
      </c>
      <c r="C39" t="str">
        <f>Companies!C67</f>
        <v>Private</v>
      </c>
      <c r="D39">
        <f>Companies!D67</f>
        <v>1000</v>
      </c>
      <c r="E39" t="str">
        <f>Companies!E67</f>
        <v>Series B</v>
      </c>
      <c r="F39">
        <f>Companies!F67</f>
        <v>100</v>
      </c>
      <c r="G39" t="str">
        <f>Companies!H67</f>
        <v>Crazy video game NPC thingy</v>
      </c>
      <c r="H39" t="str">
        <f>Companies!I67</f>
        <v>Liu Yongsheng</v>
      </c>
      <c r="I39" t="str">
        <f>Companies!J67</f>
        <v>Consumer</v>
      </c>
      <c r="J39" t="str">
        <f>Companies!K67</f>
        <v>Game, NPC world</v>
      </c>
      <c r="K39">
        <f>Companies!L67</f>
        <v>43466</v>
      </c>
      <c r="L39" t="str">
        <f>Companies!M67</f>
        <v>Chinese</v>
      </c>
      <c r="M39" t="str">
        <f>Companies!N67</f>
        <v>Sequoia China, Gaorong, 5Y</v>
      </c>
      <c r="N39" t="str">
        <f>Companies!O67</f>
        <v>Series A</v>
      </c>
      <c r="O39">
        <f>Companies!P67</f>
        <v>30</v>
      </c>
      <c r="P39" t="str">
        <f>Companies!Q67</f>
        <v>5Y, Gaorong</v>
      </c>
    </row>
    <row r="40" spans="2:16">
      <c r="B40" t="str">
        <f>Companies!B68</f>
        <v>Anyscale</v>
      </c>
      <c r="C40" t="str">
        <f>Companies!C68</f>
        <v>Private</v>
      </c>
      <c r="D40">
        <f>Companies!D68</f>
        <v>1000</v>
      </c>
      <c r="E40" t="str">
        <f>Companies!E68</f>
        <v>Series C</v>
      </c>
      <c r="F40">
        <f>Companies!F68</f>
        <v>99</v>
      </c>
      <c r="G40" t="str">
        <f>Companies!H68</f>
        <v>Platform</v>
      </c>
      <c r="H40" t="str">
        <f>Companies!I68</f>
        <v>Ion Stoica, Michael Jordan, Philipp Moritz, Robert Nishihara</v>
      </c>
      <c r="I40" t="str">
        <f>Companies!J68</f>
        <v>Tool</v>
      </c>
      <c r="J40" t="str">
        <f>Companies!K68</f>
        <v>MLOps</v>
      </c>
      <c r="K40">
        <f>Companies!L68</f>
        <v>2019</v>
      </c>
      <c r="L40" t="str">
        <f>Companies!M68</f>
        <v>Team who created Ray</v>
      </c>
      <c r="M40" t="str">
        <f>Companies!N68</f>
        <v>Intel, Addition, Foundation, Sancus</v>
      </c>
      <c r="N40" t="str">
        <f>Companies!O68</f>
        <v>Series C-1</v>
      </c>
      <c r="O40">
        <f>Companies!P68</f>
        <v>100</v>
      </c>
      <c r="P40" t="str">
        <f>Companies!Q68</f>
        <v>a16z, Addition, NEA, Intel, Foundation</v>
      </c>
    </row>
    <row r="41" spans="2:16">
      <c r="B41" t="str">
        <f>Companies!B69</f>
        <v>Synthesia</v>
      </c>
      <c r="C41" t="str">
        <f>Companies!C69</f>
        <v>Private</v>
      </c>
      <c r="D41">
        <f>Companies!D69</f>
        <v>1000</v>
      </c>
      <c r="E41" t="str">
        <f>Companies!E69</f>
        <v>Series C</v>
      </c>
      <c r="F41">
        <f>Companies!F69</f>
        <v>90</v>
      </c>
      <c r="G41">
        <f>Companies!H69</f>
        <v>0</v>
      </c>
      <c r="H41" t="str">
        <f>Companies!I69</f>
        <v>Lourdes Agapito, Matthias Niessner, Steffen Tjerrild, Victor Riperbelli</v>
      </c>
      <c r="I41" t="str">
        <f>Companies!J69</f>
        <v>Enterprise</v>
      </c>
      <c r="J41" t="str">
        <f>Companies!K69</f>
        <v>Video</v>
      </c>
      <c r="K41">
        <f>Companies!L69</f>
        <v>2017</v>
      </c>
      <c r="L41">
        <f>Companies!M69</f>
        <v>0</v>
      </c>
      <c r="M41" t="str">
        <f>Companies!N69</f>
        <v>Accel, nVentures, Kleiner Perkins, Google Ventures, FirstMark, Olivier Pomel, Amjad Masad, Alex Wang</v>
      </c>
      <c r="N41" t="str">
        <f>Companies!O69</f>
        <v>Series B</v>
      </c>
      <c r="O41">
        <f>Companies!P69</f>
        <v>50</v>
      </c>
      <c r="P41" t="str">
        <f>Companies!Q69</f>
        <v>Kleiner Perkins, Seedcap, s16vc, MMC Ventures, LDV Capital, Google Ventures, FirstMark</v>
      </c>
    </row>
    <row r="42" spans="2:16">
      <c r="B42" t="str">
        <f>Companies!B70</f>
        <v>Snorkel AI</v>
      </c>
      <c r="C42" t="str">
        <f>Companies!C70</f>
        <v>Private</v>
      </c>
      <c r="D42">
        <f>Companies!D70</f>
        <v>1000</v>
      </c>
      <c r="E42" t="str">
        <f>Companies!E70</f>
        <v>Series C</v>
      </c>
      <c r="F42">
        <f>Companies!F70</f>
        <v>85</v>
      </c>
      <c r="G42" t="str">
        <f>Companies!H70</f>
        <v>Snorkel Flow: Data Labeling</v>
      </c>
      <c r="H42" t="str">
        <f>Companies!I70</f>
        <v>Lee Fixel</v>
      </c>
      <c r="I42" t="str">
        <f>Companies!J70</f>
        <v>Enterprise</v>
      </c>
      <c r="J42" t="str">
        <f>Companies!K70</f>
        <v>MLOps</v>
      </c>
      <c r="K42">
        <f>Companies!L70</f>
        <v>2019</v>
      </c>
      <c r="L42" t="str">
        <f>Companies!M70</f>
        <v>Quiet</v>
      </c>
      <c r="M42" t="str">
        <f>Companies!N70</f>
        <v>BlackRock, Addition, Lightspeed, Greylock, Google Ventures, Nepenthe, Stonebridge, Walden</v>
      </c>
      <c r="N42" t="str">
        <f>Companies!O70</f>
        <v>Series B</v>
      </c>
      <c r="O42">
        <f>Companies!P70</f>
        <v>35</v>
      </c>
      <c r="P42" t="str">
        <f>Companies!Q70</f>
        <v>Lightspeed, Nepenthe, In-Q-Tel, Greylock, Google, Boston Trust Walden, Blackrock</v>
      </c>
    </row>
    <row r="43" spans="2:16">
      <c r="B43" t="str">
        <f>Companies!B71</f>
        <v>Typeface</v>
      </c>
      <c r="C43" t="str">
        <f>Companies!C71</f>
        <v>Private</v>
      </c>
      <c r="D43">
        <f>Companies!D71</f>
        <v>1000</v>
      </c>
      <c r="E43" t="str">
        <f>Companies!E71</f>
        <v>Series B</v>
      </c>
      <c r="F43">
        <f>Companies!F71</f>
        <v>100</v>
      </c>
      <c r="G43">
        <f>Companies!H71</f>
        <v>0</v>
      </c>
      <c r="H43" t="str">
        <f>Companies!I71</f>
        <v>Abhay Parasnis</v>
      </c>
      <c r="I43" t="str">
        <f>Companies!J71</f>
        <v>Enterprise</v>
      </c>
      <c r="J43" t="str">
        <f>Companies!K71</f>
        <v>Content</v>
      </c>
      <c r="K43">
        <f>Companies!L71</f>
        <v>2022</v>
      </c>
      <c r="L43">
        <f>Companies!M71</f>
        <v>0</v>
      </c>
      <c r="M43" t="str">
        <f>Companies!N71</f>
        <v>Salesforce, Lightspeed, Madrona, GV, Menlo, Microsoft</v>
      </c>
      <c r="N43" t="str">
        <f>Companies!O71</f>
        <v>Series A</v>
      </c>
      <c r="O43">
        <f>Companies!P71</f>
        <v>65</v>
      </c>
      <c r="P43" t="str">
        <f>Companies!Q71</f>
        <v>Lightspeed, GV, M12, Menlo Ventures</v>
      </c>
    </row>
    <row r="44" spans="2:16">
      <c r="B44" t="str">
        <f>Companies!B72</f>
        <v>Observe.AI</v>
      </c>
      <c r="C44" t="str">
        <f>Companies!C72</f>
        <v>Private</v>
      </c>
      <c r="D44">
        <f>Companies!D72</f>
        <v>800</v>
      </c>
      <c r="E44" t="str">
        <f>Companies!E72</f>
        <v>Series C</v>
      </c>
      <c r="F44">
        <f>Companies!F72</f>
        <v>125</v>
      </c>
      <c r="G44" t="str">
        <f>Companies!H72</f>
        <v>Call center</v>
      </c>
      <c r="H44" t="str">
        <f>Companies!I72</f>
        <v>Sharath Keshava Narayana, Swapnil Jain</v>
      </c>
      <c r="I44" t="str">
        <f>Companies!J72</f>
        <v>Enterprise</v>
      </c>
      <c r="J44" t="str">
        <f>Companies!K72</f>
        <v>Call Centers</v>
      </c>
      <c r="K44">
        <f>Companies!L72</f>
        <v>2017</v>
      </c>
      <c r="L44">
        <f>Companies!M72</f>
        <v>0</v>
      </c>
      <c r="M44" t="str">
        <f>Companies!N72</f>
        <v>Softbank, Zoom, Steadview, Scale, NGP Capital, Nexus Venture Partners, Next47, Menlo Ventures, Emergent Ventures</v>
      </c>
      <c r="N44" t="str">
        <f>Companies!O72</f>
        <v>Series B</v>
      </c>
      <c r="O44">
        <f>Companies!P72</f>
        <v>54</v>
      </c>
      <c r="P44" t="str">
        <f>Companies!Q72</f>
        <v>Menlo Ventures, Scale Venture Partners, NGP Capital, Next47, Emergent Ventures, Bossanova Investimentos</v>
      </c>
    </row>
    <row r="45" spans="2:16">
      <c r="B45" t="str">
        <f>Companies!B73</f>
        <v>OpenSpace</v>
      </c>
      <c r="C45" t="str">
        <f>Companies!C73</f>
        <v>Private</v>
      </c>
      <c r="D45">
        <f>Companies!D73</f>
        <v>800</v>
      </c>
      <c r="E45" t="str">
        <f>Companies!E73</f>
        <v>Series D</v>
      </c>
      <c r="F45">
        <f>Companies!F73</f>
        <v>111</v>
      </c>
      <c r="G45" t="str">
        <f>Companies!H73</f>
        <v>Construction CV analytics</v>
      </c>
      <c r="H45" t="str">
        <f>Companies!I73</f>
        <v>Jeevan Kalanithi, Michael Fleischman, Philip DeCamp</v>
      </c>
      <c r="I45" t="str">
        <f>Companies!J73</f>
        <v>Enterprise</v>
      </c>
      <c r="J45" t="str">
        <f>Companies!K73</f>
        <v>Construction</v>
      </c>
      <c r="K45">
        <f>Companies!L73</f>
        <v>2017</v>
      </c>
      <c r="L45">
        <f>Companies!M73</f>
        <v>0</v>
      </c>
      <c r="M45" t="str">
        <f>Companies!N73</f>
        <v>PSP Growth, Taronga, GreenPoint, Sino Group, Nine Four Ventures, Navitas, Mirae, Menlo, Lux, JLL Spark, Harmonic Growth, Fischer Homes, BlackRock, Alpaca VC, Alkeon</v>
      </c>
      <c r="N45" t="str">
        <f>Companies!O73</f>
        <v>Series C</v>
      </c>
      <c r="O45">
        <f>Companies!P73</f>
        <v>55</v>
      </c>
      <c r="P45" t="str">
        <f>Companies!Q73</f>
        <v>Alkeon, Zigg, PSP, New World Development, Navitas, Menlo, Lux, JLL, GreenPoint</v>
      </c>
    </row>
    <row r="46" spans="2:16">
      <c r="B46" t="str">
        <f>Companies!B74</f>
        <v>Shift Technology</v>
      </c>
      <c r="C46" t="str">
        <f>Companies!C74</f>
        <v>Private</v>
      </c>
      <c r="D46">
        <f>Companies!D74</f>
        <v>794</v>
      </c>
      <c r="E46" t="str">
        <f>Companies!E74</f>
        <v>Series D</v>
      </c>
      <c r="F46">
        <f>Companies!F74</f>
        <v>220</v>
      </c>
      <c r="G46" t="str">
        <f>Companies!H74</f>
        <v>Underwriting, compliance, claims, etc.</v>
      </c>
      <c r="H46" t="str">
        <f>Companies!I74</f>
        <v>David Durrleman, Eric Sibony, Jeremy Jawish</v>
      </c>
      <c r="I46" t="str">
        <f>Companies!J74</f>
        <v>Enterprise</v>
      </c>
      <c r="J46" t="str">
        <f>Companies!K74</f>
        <v>Insurance</v>
      </c>
      <c r="K46">
        <f>Companies!L74</f>
        <v>2013</v>
      </c>
      <c r="L46">
        <f>Companies!M74</f>
        <v>0</v>
      </c>
      <c r="M46" t="str">
        <f>Companies!N74</f>
        <v>Guidewire, Advent, General Catalyst, Bessemer, Alma Mundi, Accel</v>
      </c>
      <c r="N46" t="str">
        <f>Companies!O74</f>
        <v>Series D</v>
      </c>
      <c r="O46" t="str">
        <f>Companies!P74</f>
        <v>220 at 780</v>
      </c>
      <c r="P46" t="str">
        <f>Companies!Q74</f>
        <v>Advent, IRIS, Guidewire, General Catalyst, Bessemer, Avenir, Accel</v>
      </c>
    </row>
    <row r="47" spans="2:16">
      <c r="B47" t="str">
        <f>Companies!B75</f>
        <v>Meero</v>
      </c>
      <c r="C47" t="str">
        <f>Companies!C75</f>
        <v>Private</v>
      </c>
      <c r="D47">
        <f>Companies!D75</f>
        <v>770</v>
      </c>
      <c r="E47" t="str">
        <f>Companies!E75</f>
        <v>Series C</v>
      </c>
      <c r="F47">
        <f>Companies!F75</f>
        <v>230</v>
      </c>
      <c r="G47" t="str">
        <f>Companies!H75</f>
        <v>Photography</v>
      </c>
      <c r="H47" t="str">
        <f>Companies!I75</f>
        <v>Guillaume Lestrade, Thomas Rebaud</v>
      </c>
      <c r="I47" t="str">
        <f>Companies!J75</f>
        <v>Enterprise</v>
      </c>
      <c r="J47" t="str">
        <f>Companies!K75</f>
        <v>Photos</v>
      </c>
      <c r="K47">
        <f>Companies!L75</f>
        <v>2016</v>
      </c>
      <c r="L47">
        <f>Companies!M75</f>
        <v>0</v>
      </c>
      <c r="M47" t="str">
        <f>Companies!N75</f>
        <v>Prime Ventures, Eurazeo, Avenir, White Star, Idinvest, GR Capital, Global Founders Capital, Cascade, Alven, Aglae</v>
      </c>
      <c r="N47" t="str">
        <f>Companies!O75</f>
        <v>Series B</v>
      </c>
      <c r="O47">
        <f>Companies!P75</f>
        <v>45</v>
      </c>
      <c r="P47" t="str">
        <f>Companies!Q75</f>
        <v>White Star, Idinvest, Alven, Global Founders Capital, Aglae, Nicolas Douay, Jeremy Yap</v>
      </c>
    </row>
    <row r="48" spans="2:16">
      <c r="B48" t="str">
        <f>Companies!B76</f>
        <v>Pinecone</v>
      </c>
      <c r="C48" t="str">
        <f>Companies!C76</f>
        <v>Private</v>
      </c>
      <c r="D48">
        <f>Companies!D76</f>
        <v>750</v>
      </c>
      <c r="E48" t="str">
        <f>Companies!E76</f>
        <v>Series B</v>
      </c>
      <c r="F48">
        <f>Companies!F76</f>
        <v>100</v>
      </c>
      <c r="G48" t="str">
        <f>Companies!H76</f>
        <v>Vector Database</v>
      </c>
      <c r="H48" t="str">
        <f>Companies!I76</f>
        <v>Edo Liberty</v>
      </c>
      <c r="I48" t="str">
        <f>Companies!J76</f>
        <v>Tool</v>
      </c>
      <c r="J48" t="str">
        <f>Companies!K76</f>
        <v>Vector Store</v>
      </c>
      <c r="K48">
        <f>Companies!L76</f>
        <v>2019</v>
      </c>
      <c r="L48" t="str">
        <f>Companies!M76</f>
        <v>Popular VectorDB</v>
      </c>
      <c r="M48" t="str">
        <f>Companies!N76</f>
        <v>a16z, ICONIQ, Menlo, Wing Venture</v>
      </c>
      <c r="N48" t="str">
        <f>Companies!O76</f>
        <v>Series A</v>
      </c>
      <c r="O48">
        <f>Companies!P76</f>
        <v>28</v>
      </c>
      <c r="P48" t="str">
        <f>Companies!Q76</f>
        <v>Wing, Tiger, Menlo</v>
      </c>
    </row>
    <row r="49" spans="2:16">
      <c r="B49" t="str">
        <f>Companies!B77</f>
        <v>OctoML</v>
      </c>
      <c r="C49" t="str">
        <f>Companies!C77</f>
        <v>Private</v>
      </c>
      <c r="D49">
        <f>Companies!D77</f>
        <v>750</v>
      </c>
      <c r="E49" t="str">
        <f>Companies!E77</f>
        <v>Series C</v>
      </c>
      <c r="F49">
        <f>Companies!F77</f>
        <v>85</v>
      </c>
      <c r="G49" t="str">
        <f>Companies!H77</f>
        <v>ML Platform</v>
      </c>
      <c r="H49" t="str">
        <f>Companies!I77</f>
        <v>Luis Ceze</v>
      </c>
      <c r="I49" t="str">
        <f>Companies!J77</f>
        <v>Tool</v>
      </c>
      <c r="J49" t="str">
        <f>Companies!K77</f>
        <v>MLOps</v>
      </c>
      <c r="K49">
        <f>Companies!L77</f>
        <v>43670</v>
      </c>
      <c r="L49" t="str">
        <f>Companies!M77</f>
        <v>Built on Apache TVM</v>
      </c>
      <c r="M49" t="str">
        <f>Companies!N77</f>
        <v>Tiger, Madrona, Amplify, Addition</v>
      </c>
      <c r="N49" t="str">
        <f>Companies!O77</f>
        <v>Series B</v>
      </c>
      <c r="O49">
        <f>Companies!P77</f>
        <v>28</v>
      </c>
      <c r="P49" t="str">
        <f>Companies!Q77</f>
        <v>Addition, Amplify, Madrona</v>
      </c>
    </row>
    <row r="50" spans="2:16">
      <c r="B50" t="str">
        <f>Companies!B78</f>
        <v>Weka</v>
      </c>
      <c r="C50" t="str">
        <f>Companies!C78</f>
        <v>Private</v>
      </c>
      <c r="D50">
        <f>Companies!D78</f>
        <v>615</v>
      </c>
      <c r="E50" t="str">
        <f>Companies!E78</f>
        <v>Series D</v>
      </c>
      <c r="F50">
        <f>Companies!F78</f>
        <v>135</v>
      </c>
      <c r="G50" t="str">
        <f>Companies!H78</f>
        <v>Data Platform</v>
      </c>
      <c r="H50" t="str">
        <f>Companies!I78</f>
        <v>Liran Zvibel, Maor BenDayan</v>
      </c>
      <c r="I50" t="str">
        <f>Companies!J78</f>
        <v>Enterprise</v>
      </c>
      <c r="J50" t="str">
        <f>Companies!K78</f>
        <v>MLOps</v>
      </c>
      <c r="K50">
        <f>Companies!L78</f>
        <v>2013</v>
      </c>
      <c r="L50">
        <f>Companies!M78</f>
        <v>0</v>
      </c>
      <c r="M50" t="str">
        <f>Companies!N78</f>
        <v>Generation, Samsung, Qualcomm, NVIDIA, Norwest, MoreTech Ventures, Mirae, Micron, Lumir, Key 1, Hewlett Packard Enterprise, Gemini Israel, Celesta, Atreides, 10D</v>
      </c>
      <c r="N50" t="str">
        <f>Companies!O78</f>
        <v>Series C</v>
      </c>
      <c r="O50">
        <f>Companies!P78</f>
        <v>73</v>
      </c>
      <c r="P50" t="str">
        <f>Companies!Q78</f>
        <v>Hitachi, NVIDIA, MoreTech, Micron, Key 1, Ibex, HPE, Cisco</v>
      </c>
    </row>
    <row r="51" spans="2:16">
      <c r="B51" t="str">
        <f>Companies!B79</f>
        <v>AI21 Labs</v>
      </c>
      <c r="C51" t="str">
        <f>Companies!C79</f>
        <v>Private</v>
      </c>
      <c r="D51">
        <f>Companies!D79</f>
        <v>600</v>
      </c>
      <c r="E51" t="str">
        <f>Companies!E79</f>
        <v>Series B</v>
      </c>
      <c r="F51">
        <f>Companies!F79</f>
        <v>64</v>
      </c>
      <c r="G51" t="str">
        <f>Companies!H79</f>
        <v>Jurassic-2</v>
      </c>
      <c r="H51" t="str">
        <f>Companies!I79</f>
        <v>Ori Goshen</v>
      </c>
      <c r="I51" t="str">
        <f>Companies!J79</f>
        <v>Tool</v>
      </c>
      <c r="J51" t="str">
        <f>Companies!K79</f>
        <v>Language Model</v>
      </c>
      <c r="K51">
        <f>Companies!L79</f>
        <v>2017</v>
      </c>
      <c r="L51" t="str">
        <f>Companies!M79</f>
        <v>API</v>
      </c>
      <c r="M51" t="str">
        <f>Companies!N79</f>
        <v>Ahren Innovation, Pitango VC, TPY Capital, Walden Catalyst</v>
      </c>
      <c r="N51" t="str">
        <f>Companies!O79</f>
        <v>Series B</v>
      </c>
      <c r="O51">
        <f>Companies!P79</f>
        <v>20</v>
      </c>
      <c r="P51" t="str">
        <f>Companies!Q79</f>
        <v>Walden Catalyst</v>
      </c>
    </row>
    <row r="52" spans="2:16">
      <c r="B52" t="str">
        <f>Companies!B80</f>
        <v>Descript</v>
      </c>
      <c r="C52" t="str">
        <f>Companies!C80</f>
        <v>Private</v>
      </c>
      <c r="D52">
        <f>Companies!D80</f>
        <v>550</v>
      </c>
      <c r="E52" t="str">
        <f>Companies!E80</f>
        <v>Series C</v>
      </c>
      <c r="F52">
        <f>Companies!F80</f>
        <v>50</v>
      </c>
      <c r="G52" t="str">
        <f>Companies!H80</f>
        <v>Video Editor</v>
      </c>
      <c r="H52" t="str">
        <f>Companies!I80</f>
        <v>Andrew Mason</v>
      </c>
      <c r="I52" t="str">
        <f>Companies!J80</f>
        <v>Consumer</v>
      </c>
      <c r="J52" t="str">
        <f>Companies!K80</f>
        <v>Video</v>
      </c>
      <c r="K52">
        <f>Companies!L80</f>
        <v>2017</v>
      </c>
      <c r="L52" t="str">
        <f>Companies!M80</f>
        <v>Not an AI company</v>
      </c>
      <c r="M52" t="str">
        <f>Companies!N80</f>
        <v>OpenAI, Spark, Redpoint, Daniel Gross, a16z</v>
      </c>
      <c r="N52" t="str">
        <f>Companies!O80</f>
        <v>Series B</v>
      </c>
      <c r="O52">
        <f>Companies!P80</f>
        <v>30</v>
      </c>
      <c r="P52" t="str">
        <f>Companies!Q80</f>
        <v>Spark Capital, Redpoint, a16z, HubSpot Ventures</v>
      </c>
    </row>
    <row r="53" spans="2:16">
      <c r="B53" t="str">
        <f>Companies!B81</f>
        <v>Vianai</v>
      </c>
      <c r="C53" t="str">
        <f>Companies!C81</f>
        <v>Private</v>
      </c>
      <c r="D53">
        <f>Companies!D81</f>
        <v>500</v>
      </c>
      <c r="E53" t="str">
        <f>Companies!E81</f>
        <v>Series B</v>
      </c>
      <c r="F53">
        <f>Companies!F81</f>
        <v>140</v>
      </c>
      <c r="G53" t="str">
        <f>Companies!H81</f>
        <v>VianOps, ML Monitoring</v>
      </c>
      <c r="H53" t="str">
        <f>Companies!I81</f>
        <v>Vishal Sikka</v>
      </c>
      <c r="I53" t="str">
        <f>Companies!J81</f>
        <v>Enterprise</v>
      </c>
      <c r="J53" t="str">
        <f>Companies!K81</f>
        <v>MLOps</v>
      </c>
      <c r="K53">
        <f>Companies!L81</f>
        <v>2019</v>
      </c>
      <c r="L53" t="str">
        <f>Companies!M81</f>
        <v>Seems like a zero</v>
      </c>
      <c r="M53" t="str">
        <f>Companies!N81</f>
        <v>Softbank, Jim Davidson, Jerry Yang, Henry Kravis, George Roberts</v>
      </c>
      <c r="N53" t="str">
        <f>Companies!O81</f>
        <v>Seed</v>
      </c>
      <c r="O53">
        <f>Companies!P81</f>
        <v>50</v>
      </c>
      <c r="P53" t="str">
        <f>Companies!Q81</f>
        <v>N/A</v>
      </c>
    </row>
    <row r="54" spans="2:16">
      <c r="B54" t="str">
        <f>Companies!B82</f>
        <v>Petuum</v>
      </c>
      <c r="C54" t="str">
        <f>Companies!C82</f>
        <v>Private</v>
      </c>
      <c r="D54">
        <f>Companies!D82</f>
        <v>500</v>
      </c>
      <c r="E54" t="str">
        <f>Companies!E82</f>
        <v>Series B</v>
      </c>
      <c r="F54">
        <f>Companies!F82</f>
        <v>93</v>
      </c>
      <c r="G54" t="str">
        <f>Companies!H82</f>
        <v>No-Code ML Automation</v>
      </c>
      <c r="H54" t="str">
        <f>Companies!I82</f>
        <v>Eric Xing, Ning Li, Qirong Ho</v>
      </c>
      <c r="I54" t="str">
        <f>Companies!J82</f>
        <v>Enterprise</v>
      </c>
      <c r="J54" t="str">
        <f>Companies!K82</f>
        <v>Automation</v>
      </c>
      <c r="K54">
        <f>Companies!L82</f>
        <v>2016</v>
      </c>
      <c r="L54" t="str">
        <f>Companies!M82</f>
        <v>Seems dead</v>
      </c>
      <c r="M54" t="str">
        <f>Companies!N82</f>
        <v>Softbank, Advantech</v>
      </c>
      <c r="N54" t="str">
        <f>Companies!O82</f>
        <v>Series A</v>
      </c>
      <c r="O54">
        <f>Companies!P82</f>
        <v>15</v>
      </c>
      <c r="P54" t="str">
        <f>Companies!Q82</f>
        <v>Advantech Capital, Tencent, Oriza Ventures, Northern Light Venture Capital</v>
      </c>
    </row>
    <row r="55" spans="2:16">
      <c r="B55" t="str">
        <f>Companies!B84</f>
        <v>Aisera</v>
      </c>
      <c r="C55" t="str">
        <f>Companies!C84</f>
        <v>Private</v>
      </c>
      <c r="D55">
        <f>Companies!D84</f>
        <v>500</v>
      </c>
      <c r="E55" t="str">
        <f>Companies!E84</f>
        <v>Series D</v>
      </c>
      <c r="F55">
        <f>Companies!F84</f>
        <v>90</v>
      </c>
      <c r="G55" t="str">
        <f>Companies!H84</f>
        <v>Service desk for customers and employees</v>
      </c>
      <c r="H55" t="str">
        <f>Companies!I84</f>
        <v>Christos Tryfonas, Muddu Sudhakar</v>
      </c>
      <c r="I55" t="str">
        <f>Companies!J84</f>
        <v>Enterprise</v>
      </c>
      <c r="J55" t="str">
        <f>Companies!K84</f>
        <v>Service</v>
      </c>
      <c r="K55">
        <f>Companies!L84</f>
        <v>2017</v>
      </c>
      <c r="L55">
        <f>Companies!M84</f>
        <v>0</v>
      </c>
      <c r="M55" t="str">
        <f>Companies!N84</f>
        <v>Thoma Bravo, Goldman Sachs, Zoom, World Innovation Lab, Webb Investment Network, True Ventures, Silicon Valley Bank, Sherpalo Ventures, Norwest Venture Partners, Menlo Ventures, Khosla Ventures, Icon Ventures, First Round Capital</v>
      </c>
      <c r="N55" t="str">
        <f>Companies!O84</f>
        <v>Series C</v>
      </c>
      <c r="O55">
        <f>Companies!P84</f>
        <v>40</v>
      </c>
      <c r="P55" t="str">
        <f>Companies!Q84</f>
        <v>Icon Ventures, World Innovation Lab, Webb Investment Network, True Ventures, Sherpalo Ventures, Norwest Venture Partners, Menlo Ventures, Khosla Ventures, First Round Capital</v>
      </c>
    </row>
    <row r="56" spans="2:16">
      <c r="B56" t="str">
        <f>Companies!B85</f>
        <v>Supremind</v>
      </c>
      <c r="C56" t="str">
        <f>Companies!C85</f>
        <v>Private</v>
      </c>
      <c r="D56">
        <f>Companies!D85</f>
        <v>500</v>
      </c>
      <c r="E56" t="str">
        <f>Companies!E85</f>
        <v>Series C</v>
      </c>
      <c r="F56">
        <f>Companies!F85</f>
        <v>80</v>
      </c>
      <c r="G56">
        <f>Companies!H85</f>
        <v>0</v>
      </c>
      <c r="H56">
        <f>Companies!I85</f>
        <v>0</v>
      </c>
      <c r="I56" t="str">
        <f>Companies!J85</f>
        <v>Enterprise</v>
      </c>
      <c r="J56" t="str">
        <f>Companies!K85</f>
        <v>Big Surveillance</v>
      </c>
      <c r="K56">
        <f>Companies!L85</f>
        <v>43497</v>
      </c>
      <c r="L56" t="str">
        <f>Companies!M85</f>
        <v>Chinese</v>
      </c>
      <c r="M56" t="str">
        <f>Companies!N85</f>
        <v>ZJ Innopark, Linear Capital, Guochuang Zhongding</v>
      </c>
      <c r="N56" t="str">
        <f>Companies!O85</f>
        <v>Seed</v>
      </c>
      <c r="O56">
        <f>Companies!P85</f>
        <v>14</v>
      </c>
      <c r="P56" t="str">
        <f>Companies!Q85</f>
        <v>Creo Capital, Redpoint Ventures China, Linear Venture, Peihua Capital</v>
      </c>
    </row>
    <row r="57" spans="2:16">
      <c r="B57" t="str">
        <f>Companies!B86</f>
        <v>Zhipu</v>
      </c>
      <c r="C57" t="str">
        <f>Companies!C86</f>
        <v>Private</v>
      </c>
      <c r="D57">
        <f>Companies!D86</f>
        <v>500</v>
      </c>
      <c r="E57" t="str">
        <f>Companies!E86</f>
        <v>Series B</v>
      </c>
      <c r="F57" t="str">
        <f>Companies!F86</f>
        <v>N/A</v>
      </c>
      <c r="G57" t="str">
        <f>Companies!H86</f>
        <v>ChatGLM, GLM-130B, CodeGeeX, CogView</v>
      </c>
      <c r="H57">
        <f>Companies!I86</f>
        <v>0</v>
      </c>
      <c r="I57" t="str">
        <f>Companies!J86</f>
        <v>Enterprise</v>
      </c>
      <c r="J57" t="str">
        <f>Companies!K86</f>
        <v>LLM</v>
      </c>
      <c r="K57">
        <f>Companies!L86</f>
        <v>2019</v>
      </c>
      <c r="L57" t="str">
        <f>Companies!M86</f>
        <v>Pretty crazy</v>
      </c>
      <c r="M57" t="str">
        <f>Companies!N86</f>
        <v>Qiming Venture Partners</v>
      </c>
      <c r="N57" t="str">
        <f>Companies!O86</f>
        <v>N/A</v>
      </c>
      <c r="O57" t="str">
        <f>Companies!P86</f>
        <v>N/A</v>
      </c>
      <c r="P57" t="str">
        <f>Companies!Q86</f>
        <v>N/A</v>
      </c>
    </row>
    <row r="58" spans="2:16">
      <c r="B58" t="str">
        <f>Companies!B88</f>
        <v>Primer</v>
      </c>
      <c r="C58" t="str">
        <f>Companies!C88</f>
        <v>Private</v>
      </c>
      <c r="D58">
        <f>Companies!D88</f>
        <v>500</v>
      </c>
      <c r="E58" t="str">
        <f>Companies!E88</f>
        <v>Series D</v>
      </c>
      <c r="F58">
        <f>Companies!F88</f>
        <v>69</v>
      </c>
      <c r="G58" t="str">
        <f>Companies!H88</f>
        <v>Seems to be DoD/Gov service</v>
      </c>
      <c r="H58" t="str">
        <f>Companies!I88</f>
        <v>Sean Gourley</v>
      </c>
      <c r="I58" t="str">
        <f>Companies!J88</f>
        <v>Enterprise</v>
      </c>
      <c r="J58" t="str">
        <f>Companies!K88</f>
        <v>Government</v>
      </c>
      <c r="K58">
        <f>Companies!L88</f>
        <v>2015</v>
      </c>
      <c r="L58">
        <f>Companies!M88</f>
        <v>0</v>
      </c>
      <c r="M58" t="str">
        <f>Companies!N88</f>
        <v>Addition, US Innovative Technology Fund</v>
      </c>
      <c r="N58" t="str">
        <f>Companies!O88</f>
        <v>Series C</v>
      </c>
      <c r="O58">
        <f>Companies!P88</f>
        <v>110</v>
      </c>
      <c r="P58" t="str">
        <f>Companies!Q88</f>
        <v>Addition, Steadfast, Sands, Hank Crumpton, Lux, DCVC, Amplify</v>
      </c>
    </row>
    <row r="59" spans="2:16">
      <c r="B59" t="str">
        <f>Companies!B89</f>
        <v>CloudFactory</v>
      </c>
      <c r="C59" t="str">
        <f>Companies!C89</f>
        <v>Private</v>
      </c>
      <c r="D59">
        <f>Companies!D89</f>
        <v>400</v>
      </c>
      <c r="E59" t="str">
        <f>Companies!E89</f>
        <v>Series C</v>
      </c>
      <c r="F59">
        <f>Companies!F89</f>
        <v>65</v>
      </c>
      <c r="G59" t="str">
        <f>Companies!H89</f>
        <v>Labeling</v>
      </c>
      <c r="H59" t="str">
        <f>Companies!I89</f>
        <v>Mark Sears, Tom Puskarich</v>
      </c>
      <c r="I59" t="str">
        <f>Companies!J89</f>
        <v>Enterprise</v>
      </c>
      <c r="J59" t="str">
        <f>Companies!K89</f>
        <v>Labeling</v>
      </c>
      <c r="K59">
        <f>Companies!L89</f>
        <v>2010</v>
      </c>
      <c r="L59">
        <f>Companies!M89</f>
        <v>0</v>
      </c>
      <c r="M59" t="str">
        <f>Companies!N89</f>
        <v>Weatherford Capital, FTV Capital</v>
      </c>
      <c r="N59" t="str">
        <f>Companies!O89</f>
        <v>Series B</v>
      </c>
      <c r="O59">
        <f>Companies!P89</f>
        <v>7.3</v>
      </c>
      <c r="P59" t="str">
        <f>Companies!Q89</f>
        <v>The Social Entrepreneurs Fund, Sovereign's Capital, Dolma Impact Fund</v>
      </c>
    </row>
    <row r="60" spans="2:16">
      <c r="B60" t="str">
        <f>Companies!B90</f>
        <v>ArteraAI (artera.com)</v>
      </c>
      <c r="C60" t="str">
        <f>Companies!C90</f>
        <v>Private</v>
      </c>
      <c r="D60">
        <f>Companies!D90</f>
        <v>400</v>
      </c>
      <c r="E60" t="str">
        <f>Companies!E90</f>
        <v>Series A</v>
      </c>
      <c r="F60">
        <f>Companies!F90</f>
        <v>90</v>
      </c>
      <c r="G60" t="str">
        <f>Companies!H90</f>
        <v>Diagnostics</v>
      </c>
      <c r="H60" t="str">
        <f>Companies!I90</f>
        <v>Andre Esteva</v>
      </c>
      <c r="I60" t="str">
        <f>Companies!J90</f>
        <v>Enterprise</v>
      </c>
      <c r="J60" t="str">
        <f>Companies!K90</f>
        <v>Healthcare</v>
      </c>
      <c r="K60">
        <f>Companies!L90</f>
        <v>2021</v>
      </c>
      <c r="L60" t="str">
        <f>Companies!M90</f>
        <v>Not really AI?</v>
      </c>
      <c r="M60" t="str">
        <f>Companies!N90</f>
        <v>Coatue, Breyer Capital, J&amp;J, Koch Disruptive Technologies, Walden Catalyst, Time Ventures, TheFactory, Steve Blank, Michael Driscoll, Marc Benioff, Lip-Bu Tan, Jim Breyer, Jeff Dean, Dennis Wong, Clarence So, Chris Re, Amarjit Gill</v>
      </c>
      <c r="N60" t="str">
        <f>Companies!O90</f>
        <v>N/A</v>
      </c>
      <c r="O60" t="str">
        <f>Companies!P90</f>
        <v>N/A</v>
      </c>
      <c r="P60" t="str">
        <f>Companies!Q90</f>
        <v>N/A</v>
      </c>
    </row>
    <row r="61" spans="2:16">
      <c r="B61" t="str">
        <f>Companies!B91</f>
        <v>Ada Health</v>
      </c>
      <c r="C61" t="str">
        <f>Companies!C91</f>
        <v>Private</v>
      </c>
      <c r="D61">
        <f>Companies!D91</f>
        <v>300</v>
      </c>
      <c r="E61" t="str">
        <f>Companies!E91</f>
        <v>Series B</v>
      </c>
      <c r="F61">
        <f>Companies!F91</f>
        <v>120</v>
      </c>
      <c r="G61" t="str">
        <f>Companies!H91</f>
        <v>Symptom Checker</v>
      </c>
      <c r="H61" t="str">
        <f>Companies!I91</f>
        <v>Claire Novorol, Daniel Nathrath, Martin Hirsch</v>
      </c>
      <c r="I61" t="str">
        <f>Companies!J91</f>
        <v>Enterprise</v>
      </c>
      <c r="J61" t="str">
        <f>Companies!K91</f>
        <v>Health</v>
      </c>
      <c r="K61">
        <f>Companies!L91</f>
        <v>2011</v>
      </c>
      <c r="L61">
        <f>Companies!M91</f>
        <v>0</v>
      </c>
      <c r="M61" t="str">
        <f>Companies!N91</f>
        <v>Leaps by Bayer, Bertelsmann, Farallon, Red River West, Vitruvian Partners, Samsung Catalyst Fund, Mutschler Ventures, Inteligo, F4</v>
      </c>
      <c r="N61" t="str">
        <f>Companies!O91</f>
        <v>Series A</v>
      </c>
      <c r="O61">
        <f>Companies!P91</f>
        <v>50</v>
      </c>
      <c r="P61" t="str">
        <f>Companies!Q91</f>
        <v>Vitruvian Partners, June Fund, Cumberland VC</v>
      </c>
    </row>
    <row r="62" spans="2:16">
      <c r="B62" t="str">
        <f>Companies!B92</f>
        <v>Climavision</v>
      </c>
      <c r="C62" t="str">
        <f>Companies!C92</f>
        <v>Private</v>
      </c>
      <c r="D62">
        <f>Companies!D92</f>
        <v>300</v>
      </c>
      <c r="E62" t="str">
        <f>Companies!E92</f>
        <v>Series A</v>
      </c>
      <c r="F62">
        <f>Companies!F92</f>
        <v>100</v>
      </c>
      <c r="G62" t="str">
        <f>Companies!H92</f>
        <v>Forecasting. "Dalton AI"</v>
      </c>
      <c r="H62" t="str">
        <f>Companies!I92</f>
        <v>Chris Goode</v>
      </c>
      <c r="I62" t="str">
        <f>Companies!J92</f>
        <v>Enterprise</v>
      </c>
      <c r="J62" t="str">
        <f>Companies!K92</f>
        <v>Weather</v>
      </c>
      <c r="K62">
        <f>Companies!L92</f>
        <v>2020</v>
      </c>
      <c r="L62">
        <f>Companies!M92</f>
        <v>0</v>
      </c>
      <c r="M62" t="str">
        <f>Companies!N92</f>
        <v>The Rise Fund</v>
      </c>
      <c r="N62" t="str">
        <f>Companies!O92</f>
        <v>N/A</v>
      </c>
      <c r="O62" t="str">
        <f>Companies!P92</f>
        <v>N/A</v>
      </c>
      <c r="P62" t="str">
        <f>Companies!Q92</f>
        <v>N/A</v>
      </c>
    </row>
    <row r="63" spans="2:16">
      <c r="B63" t="str">
        <f>Companies!B93</f>
        <v>Rossum</v>
      </c>
      <c r="C63" t="str">
        <f>Companies!C93</f>
        <v>Private</v>
      </c>
      <c r="D63">
        <f>Companies!D93</f>
        <v>300</v>
      </c>
      <c r="E63" t="str">
        <f>Companies!E93</f>
        <v>Series A</v>
      </c>
      <c r="F63">
        <f>Companies!F93</f>
        <v>86.399999999999991</v>
      </c>
      <c r="G63" t="str">
        <f>Companies!H93</f>
        <v>Document intake</v>
      </c>
      <c r="H63" t="str">
        <f>Companies!I93</f>
        <v>Petr Baudis, Tomas Gogar, Tomas Tunys</v>
      </c>
      <c r="I63" t="str">
        <f>Companies!J93</f>
        <v>Enterprise</v>
      </c>
      <c r="J63" t="str">
        <f>Companies!K93</f>
        <v>Document</v>
      </c>
      <c r="K63">
        <f>Companies!L93</f>
        <v>2017</v>
      </c>
      <c r="L63" t="str">
        <f>Companies!M93</f>
        <v>KYC, AP, Supply Chain</v>
      </c>
      <c r="M63" t="str">
        <f>Companies!N93</f>
        <v>General Catalyst, Verissimo Ventures, Seedcamp, MITON, LocalGlobe, Dig Ventures, Elad Gil</v>
      </c>
      <c r="N63" t="str">
        <f>Companies!O93</f>
        <v>Seed</v>
      </c>
      <c r="O63">
        <f>Companies!P93</f>
        <v>8.5</v>
      </c>
      <c r="P63" t="str">
        <f>Companies!Q93</f>
        <v>LocalGlobe, Vijay Pandurangan, StartupYard, Seedcamp, Ryan Petersen, MITON, Michael Stoppelman, Elad Gil</v>
      </c>
    </row>
    <row r="64" spans="2:16">
      <c r="B64" t="str">
        <f>Companies!B94</f>
        <v>PolyAI</v>
      </c>
      <c r="C64" t="str">
        <f>Companies!C94</f>
        <v>Private</v>
      </c>
      <c r="D64">
        <f>Companies!D94</f>
        <v>260</v>
      </c>
      <c r="E64" t="str">
        <f>Companies!E94</f>
        <v>Series A</v>
      </c>
      <c r="F64">
        <f>Companies!F94</f>
        <v>40</v>
      </c>
      <c r="G64" t="str">
        <f>Companies!H94</f>
        <v>Customer Service</v>
      </c>
      <c r="H64">
        <f>Companies!I94</f>
        <v>0</v>
      </c>
      <c r="I64" t="str">
        <f>Companies!J94</f>
        <v>Enterprise</v>
      </c>
      <c r="J64" t="str">
        <f>Companies!K94</f>
        <v>Customer Service</v>
      </c>
      <c r="K64">
        <f>Companies!L94</f>
        <v>2017</v>
      </c>
      <c r="L64">
        <f>Companies!M94</f>
        <v>0</v>
      </c>
      <c r="M64" t="str">
        <f>Companies!N94</f>
        <v>Georgian, Twilio, Point72 Ventures, Khosla Ventures, Amadeus Capital Partners</v>
      </c>
      <c r="N64" t="str">
        <f>Companies!O94</f>
        <v>Series A</v>
      </c>
      <c r="O64">
        <f>Companies!P94</f>
        <v>14</v>
      </c>
      <c r="P64" t="str">
        <f>Companies!Q94</f>
        <v>Khosla Ventures, Sands Capital Ventures, Point72 Ventures, Passion Capital, Entrepreneur First, Amadeus Capital Partners</v>
      </c>
    </row>
    <row r="65" spans="2:16">
      <c r="B65" t="str">
        <f>Companies!B95</f>
        <v>Tome</v>
      </c>
      <c r="C65" t="str">
        <f>Companies!C95</f>
        <v>Private</v>
      </c>
      <c r="D65">
        <f>Companies!D95</f>
        <v>257</v>
      </c>
      <c r="E65" t="str">
        <f>Companies!E95</f>
        <v>Series B</v>
      </c>
      <c r="F65">
        <f>Companies!F95</f>
        <v>43</v>
      </c>
      <c r="G65" t="str">
        <f>Companies!H95</f>
        <v>Powerpoint</v>
      </c>
      <c r="H65">
        <f>Companies!I95</f>
        <v>0</v>
      </c>
      <c r="I65" t="str">
        <f>Companies!J95</f>
        <v>Enterprise</v>
      </c>
      <c r="J65" t="str">
        <f>Companies!K95</f>
        <v>Content</v>
      </c>
      <c r="K65" t="str">
        <f>Companies!L95</f>
        <v>2020</v>
      </c>
      <c r="L65">
        <f>Companies!M95</f>
        <v>0</v>
      </c>
      <c r="M65" t="str">
        <f>Companies!N95</f>
        <v>Lightspeed, Greylock, Coatue, Wing Venture Capital, Eric Schmidt, Emad Mostaque, David Luan, Bipul Sinha, Audacious Ventures, 8VC</v>
      </c>
      <c r="N65" t="str">
        <f>Companies!O95</f>
        <v>Series A</v>
      </c>
      <c r="O65">
        <f>Companies!P95</f>
        <v>26</v>
      </c>
      <c r="P65" t="str">
        <f>Companies!Q95</f>
        <v>Coatue, Greylock, Audacious Ventures</v>
      </c>
    </row>
    <row r="66" spans="2:16">
      <c r="B66" t="str">
        <f>Companies!B96</f>
        <v>Vedrai</v>
      </c>
      <c r="C66" t="str">
        <f>Companies!C96</f>
        <v>Private</v>
      </c>
      <c r="D66">
        <f>Companies!D96</f>
        <v>250</v>
      </c>
      <c r="E66" t="str">
        <f>Companies!E96</f>
        <v>Series A</v>
      </c>
      <c r="F66">
        <f>Companies!F96</f>
        <v>50</v>
      </c>
      <c r="G66">
        <f>Companies!H96</f>
        <v>0</v>
      </c>
      <c r="H66">
        <f>Companies!I96</f>
        <v>0</v>
      </c>
      <c r="I66" t="str">
        <f>Companies!J96</f>
        <v>Enterprise</v>
      </c>
      <c r="J66" t="str">
        <f>Companies!K96</f>
        <v>Agents</v>
      </c>
      <c r="K66">
        <f>Companies!L96</f>
        <v>44075</v>
      </c>
      <c r="L66">
        <f>Companies!M96</f>
        <v>0</v>
      </c>
      <c r="M66" t="str">
        <f>Companies!N96</f>
        <v>Not disclosed</v>
      </c>
      <c r="N66" t="str">
        <f>Companies!O96</f>
        <v>Seed</v>
      </c>
      <c r="O66">
        <f>Companies!P96</f>
        <v>6</v>
      </c>
      <c r="P66" t="str">
        <f>Companies!Q96</f>
        <v>Pietro Giuliani, Giorgio Chiellini, Andrea Bocelli</v>
      </c>
    </row>
    <row r="67" spans="2:16">
      <c r="B67" t="str">
        <f>Companies!B97</f>
        <v>Abacus.AI</v>
      </c>
      <c r="C67" t="str">
        <f>Companies!C97</f>
        <v>Private</v>
      </c>
      <c r="D67">
        <f>Companies!D97</f>
        <v>250</v>
      </c>
      <c r="E67" t="str">
        <f>Companies!E97</f>
        <v>Series C</v>
      </c>
      <c r="F67">
        <f>Companies!F97</f>
        <v>50</v>
      </c>
      <c r="G67" t="str">
        <f>Companies!H97</f>
        <v>Enterprise focus</v>
      </c>
      <c r="H67" t="str">
        <f>Companies!I97</f>
        <v>Arvind Sundararajan</v>
      </c>
      <c r="I67" t="str">
        <f>Companies!J97</f>
        <v>Tool</v>
      </c>
      <c r="J67" t="str">
        <f>Companies!K97</f>
        <v>MLOps</v>
      </c>
      <c r="K67">
        <f>Companies!L97</f>
        <v>43556</v>
      </c>
      <c r="L67">
        <f>Companies!M97</f>
        <v>0</v>
      </c>
      <c r="M67" t="str">
        <f>Companies!N97</f>
        <v>Tiger, Index, Coatue, Alkeon</v>
      </c>
      <c r="N67" t="str">
        <f>Companies!O97</f>
        <v>Series B</v>
      </c>
      <c r="O67">
        <f>Companies!P97</f>
        <v>22</v>
      </c>
      <c r="P67" t="str">
        <f>Companies!Q97</f>
        <v>Index, Decibel, Coatue</v>
      </c>
    </row>
    <row r="68" spans="2:16">
      <c r="B68" t="str">
        <f>Companies!B98</f>
        <v>Fetch.ai</v>
      </c>
      <c r="C68" t="str">
        <f>Companies!C98</f>
        <v>Private</v>
      </c>
      <c r="D68">
        <f>Companies!D98</f>
        <v>250</v>
      </c>
      <c r="E68" t="str">
        <f>Companies!E98</f>
        <v>Series A</v>
      </c>
      <c r="F68">
        <f>Companies!F98</f>
        <v>40</v>
      </c>
      <c r="G68" t="str">
        <f>Companies!H98</f>
        <v>"Agentverse"</v>
      </c>
      <c r="H68" t="str">
        <f>Companies!I98</f>
        <v>Humayun Sheikh, Thomas Hain, Toby Simpson</v>
      </c>
      <c r="I68" t="str">
        <f>Companies!J98</f>
        <v>Consumer</v>
      </c>
      <c r="J68" t="str">
        <f>Companies!K98</f>
        <v>Blockchain Dev Platform</v>
      </c>
      <c r="K68">
        <f>Companies!L98</f>
        <v>2017</v>
      </c>
      <c r="L68" t="str">
        <f>Companies!M98</f>
        <v>Hard to take seriously</v>
      </c>
      <c r="M68" t="str">
        <f>Companies!N98</f>
        <v>DWF Labs</v>
      </c>
      <c r="N68" t="str">
        <f>Companies!O98</f>
        <v>Seed</v>
      </c>
      <c r="O68">
        <f>Companies!P98</f>
        <v>5</v>
      </c>
      <c r="P68" t="str">
        <f>Companies!Q98</f>
        <v>GDA Group</v>
      </c>
    </row>
    <row r="69" spans="2:16">
      <c r="B69" t="str">
        <f>Companies!B99</f>
        <v>Infinitus Systems (infinitus.ai)</v>
      </c>
      <c r="C69" t="str">
        <f>Companies!C99</f>
        <v>Private</v>
      </c>
      <c r="D69">
        <f>Companies!D99</f>
        <v>245</v>
      </c>
      <c r="E69" t="str">
        <f>Companies!E99</f>
        <v>Series B</v>
      </c>
      <c r="F69">
        <f>Companies!F99</f>
        <v>30</v>
      </c>
      <c r="G69" t="str">
        <f>Companies!H99</f>
        <v>Clinical call automation</v>
      </c>
      <c r="H69">
        <f>Companies!I99</f>
        <v>0</v>
      </c>
      <c r="I69" t="str">
        <f>Companies!J99</f>
        <v>Enterprise</v>
      </c>
      <c r="J69" t="str">
        <f>Companies!K99</f>
        <v>Healthcare</v>
      </c>
      <c r="K69">
        <f>Companies!L99</f>
        <v>43497</v>
      </c>
      <c r="L69" t="str">
        <f>Companies!M99</f>
        <v>Healthcare</v>
      </c>
      <c r="M69" t="str">
        <f>Companies!N99</f>
        <v>Google Ventures, Kleiner Perkins, Operator Partners, Coatue, Aashima Gupta</v>
      </c>
      <c r="N69" t="str">
        <f>Companies!O99</f>
        <v>Series A</v>
      </c>
      <c r="O69">
        <f>Companies!P99</f>
        <v>21.4</v>
      </c>
      <c r="P69" t="str">
        <f>Companies!Q99</f>
        <v>Coatue, Kleiner Perkins, Tau Ventures, Quiet Capital, Qasar Younis, Ian Goodfellow, Gradient Ventures, Gokul Rajaram, Firebolt Ventures, Aparna Chennapragada</v>
      </c>
    </row>
    <row r="70" spans="2:16">
      <c r="B70" t="str">
        <f>Companies!B100</f>
        <v>Mistral AI</v>
      </c>
      <c r="C70" t="str">
        <f>Companies!C100</f>
        <v>Private</v>
      </c>
      <c r="D70">
        <f>Companies!D100</f>
        <v>240</v>
      </c>
      <c r="E70" t="str">
        <f>Companies!E100</f>
        <v>Seed</v>
      </c>
      <c r="F70">
        <f>Companies!F100</f>
        <v>120</v>
      </c>
      <c r="G70" t="str">
        <f>Companies!H100</f>
        <v>LLM</v>
      </c>
      <c r="H70" t="str">
        <f>Companies!I100</f>
        <v>Timothee Lacroix, Guillaume Lample, Arthur Mensch</v>
      </c>
      <c r="I70" t="str">
        <f>Companies!J100</f>
        <v>Tool</v>
      </c>
      <c r="J70" t="str">
        <f>Companies!K100</f>
        <v>Language Model</v>
      </c>
      <c r="K70" t="str">
        <f>Companies!L100</f>
        <v>2023</v>
      </c>
      <c r="L70" t="str">
        <f>Companies!M100</f>
        <v>Worked on Llama at META</v>
      </c>
      <c r="M70" t="str">
        <f>Companies!N100</f>
        <v>Lightspeed, Index Ventures, Sofina, Redpoint, Motier Ventures, LocalGlobe, La Famiglia, JCDecaux Holding SA, Headline, Firstminute, Exor, Bpifrance, Eric Schmidt, Xavier Niel, Rodolphe Saade</v>
      </c>
      <c r="N70" t="str">
        <f>Companies!O100</f>
        <v>N/A</v>
      </c>
      <c r="O70" t="str">
        <f>Companies!P100</f>
        <v>N/A</v>
      </c>
      <c r="P70" t="str">
        <f>Companies!Q100</f>
        <v>N/A</v>
      </c>
    </row>
    <row r="71" spans="2:16">
      <c r="B71" t="str">
        <f>Companies!B101</f>
        <v>Woebot Health</v>
      </c>
      <c r="C71" t="str">
        <f>Companies!C101</f>
        <v>Private</v>
      </c>
      <c r="D71">
        <f>Companies!D101</f>
        <v>200</v>
      </c>
      <c r="E71" t="str">
        <f>Companies!E101</f>
        <v>Series B</v>
      </c>
      <c r="F71">
        <f>Companies!F101</f>
        <v>90</v>
      </c>
      <c r="G71" t="str">
        <f>Companies!H101</f>
        <v>Mental Health</v>
      </c>
      <c r="H71" t="str">
        <f>Companies!I101</f>
        <v>Alison Darcy</v>
      </c>
      <c r="I71" t="str">
        <f>Companies!J101</f>
        <v>Consumer</v>
      </c>
      <c r="J71" t="str">
        <f>Companies!K101</f>
        <v>Healthcare</v>
      </c>
      <c r="K71">
        <f>Companies!L101</f>
        <v>2017</v>
      </c>
      <c r="L71">
        <f>Companies!M101</f>
        <v>0</v>
      </c>
      <c r="M71" t="str">
        <f>Companies!N101</f>
        <v>Temasek, Jazz, What If, Owl Ventures, NEA, Mirae Asset, Kicker Ventures, Gaingels, Bossanova, BlackRock, Alumni Ventures, AI Fund</v>
      </c>
      <c r="N71" t="str">
        <f>Companies!O101</f>
        <v>Corporate</v>
      </c>
      <c r="O71">
        <f>Companies!P101</f>
        <v>9.5</v>
      </c>
      <c r="P71" t="str">
        <f>Companies!Q101</f>
        <v>Leaps by Bayer</v>
      </c>
    </row>
    <row r="72" spans="2:16">
      <c r="B72" t="str">
        <f>Companies!B102</f>
        <v>Ascertain</v>
      </c>
      <c r="C72" t="str">
        <f>Companies!C102</f>
        <v>Private</v>
      </c>
      <c r="D72">
        <f>Companies!D102</f>
        <v>200</v>
      </c>
      <c r="E72" t="str">
        <f>Companies!E102</f>
        <v>Seed</v>
      </c>
      <c r="F72">
        <f>Companies!F102</f>
        <v>100</v>
      </c>
      <c r="G72" t="str">
        <f>Companies!H102</f>
        <v>Venture studio/platform</v>
      </c>
      <c r="H72">
        <f>Companies!I102</f>
        <v>0</v>
      </c>
      <c r="I72" t="str">
        <f>Companies!J102</f>
        <v>Enterprise</v>
      </c>
      <c r="J72" t="str">
        <f>Companies!K102</f>
        <v>Healthcare</v>
      </c>
      <c r="K72">
        <f>Companies!L102</f>
        <v>2022</v>
      </c>
      <c r="L72">
        <f>Companies!M102</f>
        <v>0</v>
      </c>
      <c r="M72" t="str">
        <f>Companies!N102</f>
        <v>Northwell, Aegis Ventures</v>
      </c>
      <c r="N72" t="str">
        <f>Companies!O102</f>
        <v>N/A</v>
      </c>
      <c r="O72" t="str">
        <f>Companies!P102</f>
        <v>N/A</v>
      </c>
      <c r="P72" t="str">
        <f>Companies!Q102</f>
        <v>N/A</v>
      </c>
    </row>
    <row r="73" spans="2:16">
      <c r="B73" t="str">
        <f>Companies!B103</f>
        <v>Reka</v>
      </c>
      <c r="C73" t="str">
        <f>Companies!C103</f>
        <v>Private</v>
      </c>
      <c r="D73">
        <f>Companies!D103</f>
        <v>200</v>
      </c>
      <c r="E73" t="str">
        <f>Companies!E103</f>
        <v>Series A</v>
      </c>
      <c r="F73">
        <f>Companies!F103</f>
        <v>58</v>
      </c>
      <c r="G73" t="str">
        <f>Companies!H103</f>
        <v>Yasa: enterprise LLM</v>
      </c>
      <c r="H73">
        <f>Companies!I103</f>
        <v>0</v>
      </c>
      <c r="I73" t="str">
        <f>Companies!J103</f>
        <v>Enterprise</v>
      </c>
      <c r="J73" t="str">
        <f>Companies!K103</f>
        <v>Language Model</v>
      </c>
      <c r="K73" t="str">
        <f>Companies!L103</f>
        <v>2022?</v>
      </c>
      <c r="L73">
        <f>Companies!M103</f>
        <v>0</v>
      </c>
      <c r="M73" t="str">
        <f>Companies!N103</f>
        <v>DST Global Partners, Radical Ventures, Snowflake</v>
      </c>
      <c r="N73" t="str">
        <f>Companies!O103</f>
        <v>N/A</v>
      </c>
      <c r="O73" t="str">
        <f>Companies!P103</f>
        <v>N/A</v>
      </c>
      <c r="P73" t="str">
        <f>Companies!Q103</f>
        <v>N/A</v>
      </c>
    </row>
    <row r="74" spans="2:16">
      <c r="B74" t="str">
        <f>Companies!B104</f>
        <v>Artera (artera.io, Well Health)</v>
      </c>
      <c r="C74" t="str">
        <f>Companies!C104</f>
        <v>Private</v>
      </c>
      <c r="D74">
        <f>Companies!D104</f>
        <v>200</v>
      </c>
      <c r="E74" t="str">
        <f>Companies!E104</f>
        <v>Series C</v>
      </c>
      <c r="F74">
        <f>Companies!F104</f>
        <v>45</v>
      </c>
      <c r="G74" t="str">
        <f>Companies!H104</f>
        <v>Patient communication</v>
      </c>
      <c r="H74" t="str">
        <f>Companies!I104</f>
        <v>Guillaume De Zwirek, Joe Tischler</v>
      </c>
      <c r="I74" t="str">
        <f>Companies!J104</f>
        <v>Enterprise</v>
      </c>
      <c r="J74" t="str">
        <f>Companies!K104</f>
        <v>Healthcare</v>
      </c>
      <c r="K74">
        <f>Companies!L104</f>
        <v>2015</v>
      </c>
      <c r="L74">
        <f>Companies!M104</f>
        <v>0</v>
      </c>
      <c r="M74" t="str">
        <f>Companies!N104</f>
        <v>Lead Edge Capital, Summation Health Ventures, Structure Capital, Martin Ventures, Jackson Square Ventures, Health Velocity Capital, Freestyle Capital</v>
      </c>
      <c r="N74" t="str">
        <f>Companies!O104</f>
        <v>Series B</v>
      </c>
      <c r="O74" t="str">
        <f>Companies!P104</f>
        <v>N/A</v>
      </c>
      <c r="P74" t="str">
        <f>Companies!Q104</f>
        <v>Techstars, Freestyle Capital</v>
      </c>
    </row>
    <row r="75" spans="2:16">
      <c r="B75" t="str">
        <f>Companies!B105</f>
        <v>Playground.ai</v>
      </c>
      <c r="C75" t="str">
        <f>Companies!C105</f>
        <v>Private</v>
      </c>
      <c r="D75">
        <f>Companies!D105</f>
        <v>200</v>
      </c>
      <c r="E75" t="str">
        <f>Companies!E105</f>
        <v>Series A</v>
      </c>
      <c r="F75">
        <f>Companies!F105</f>
        <v>40.799999999999997</v>
      </c>
      <c r="G75">
        <f>Companies!H105</f>
        <v>0</v>
      </c>
      <c r="H75" t="str">
        <f>Companies!I105</f>
        <v>Suhail Doshi</v>
      </c>
      <c r="I75" t="str">
        <f>Companies!J105</f>
        <v>Enterprise</v>
      </c>
      <c r="J75" t="str">
        <f>Companies!K105</f>
        <v>Graphics</v>
      </c>
      <c r="K75">
        <f>Companies!L105</f>
        <v>0</v>
      </c>
      <c r="L75" t="str">
        <f>Companies!M105</f>
        <v>YC</v>
      </c>
      <c r="M75" t="str">
        <f>Companies!N105</f>
        <v>Paul Graham, Garry Tan, Raymond Tonsing, Max Levchin, Arjun Lall, Alda Dennis, Justin Kain, Immad Akhund, Solomon Hykes, Aaron Levie, Adora Cheung, Elad Gil, Balaji Srinivasan, Sanjay Dastoor, Oliver Cameron, Ron Conway, Paul Buchheit, Charlie Cheever.</v>
      </c>
      <c r="N75">
        <f>Companies!O105</f>
        <v>0</v>
      </c>
      <c r="O75">
        <f>Companies!P105</f>
        <v>0</v>
      </c>
      <c r="P75">
        <f>Companies!Q105</f>
        <v>0</v>
      </c>
    </row>
    <row r="76" spans="2:16">
      <c r="B76" t="str">
        <f>Companies!B106</f>
        <v>Syllable</v>
      </c>
      <c r="C76" t="str">
        <f>Companies!C106</f>
        <v>Private</v>
      </c>
      <c r="D76">
        <f>Companies!D106</f>
        <v>200</v>
      </c>
      <c r="E76" t="str">
        <f>Companies!E106</f>
        <v>Series C</v>
      </c>
      <c r="F76">
        <f>Companies!F106</f>
        <v>40</v>
      </c>
      <c r="G76" t="str">
        <f>Companies!H106</f>
        <v>NLP for healthcare contact</v>
      </c>
      <c r="H76" t="str">
        <f>Companies!I106</f>
        <v>Andrew Rogers, Gui Bastos, Kobus Jooste</v>
      </c>
      <c r="I76" t="str">
        <f>Companies!J106</f>
        <v>Enterprise</v>
      </c>
      <c r="J76" t="str">
        <f>Companies!K106</f>
        <v>Healthcare</v>
      </c>
      <c r="K76">
        <f>Companies!L106</f>
        <v>2016</v>
      </c>
      <c r="L76" t="str">
        <f>Companies!M106</f>
        <v>Pre-LLM</v>
      </c>
      <c r="M76" t="str">
        <f>Companies!N106</f>
        <v>TCV, Verily, Section 32, Oak HC/FT</v>
      </c>
      <c r="N76" t="str">
        <f>Companies!O106</f>
        <v>Series B</v>
      </c>
      <c r="O76">
        <f>Companies!P106</f>
        <v>28</v>
      </c>
      <c r="P76" t="str">
        <f>Companies!Q106</f>
        <v>Oak HC/FT, Section 32</v>
      </c>
    </row>
    <row r="77" spans="2:16">
      <c r="B77" t="str">
        <f>Companies!B107</f>
        <v>Ambi Robotics</v>
      </c>
      <c r="C77" t="str">
        <f>Companies!C107</f>
        <v>Private</v>
      </c>
      <c r="D77">
        <f>Companies!D107</f>
        <v>200</v>
      </c>
      <c r="E77" t="str">
        <f>Companies!E107</f>
        <v>Series A</v>
      </c>
      <c r="F77">
        <f>Companies!F107</f>
        <v>32</v>
      </c>
      <c r="G77" t="str">
        <f>Companies!H107</f>
        <v>Parcel sorter</v>
      </c>
      <c r="H77" t="str">
        <f>Companies!I107</f>
        <v>David Gealy, Jeff Mahler, Ken Goldberg, Matt Matl, Stephen McKinley</v>
      </c>
      <c r="I77" t="str">
        <f>Companies!J107</f>
        <v>Hardware</v>
      </c>
      <c r="J77" t="str">
        <f>Companies!K107</f>
        <v>Robotics</v>
      </c>
      <c r="K77">
        <f>Companies!L107</f>
        <v>2018</v>
      </c>
      <c r="L77">
        <f>Companies!M107</f>
        <v>0</v>
      </c>
      <c r="M77" t="str">
        <f>Companies!N107</f>
        <v>Tiger, Bow Capital, Pitney Bowes, Ahren Innovation</v>
      </c>
      <c r="N77" t="str">
        <f>Companies!O107</f>
        <v>Series A</v>
      </c>
      <c r="O77">
        <f>Companies!P107</f>
        <v>26</v>
      </c>
      <c r="P77" t="str">
        <f>Companies!Q107</f>
        <v>Tiger, Vertex, The House Fund, Bow Capital</v>
      </c>
    </row>
    <row r="78" spans="2:16">
      <c r="B78" t="str">
        <f>Companies!B108</f>
        <v>D-ID.ai</v>
      </c>
      <c r="C78" t="str">
        <f>Companies!C108</f>
        <v>Private</v>
      </c>
      <c r="D78">
        <f>Companies!D108</f>
        <v>200</v>
      </c>
      <c r="E78" t="str">
        <f>Companies!E108</f>
        <v>Series B</v>
      </c>
      <c r="F78">
        <f>Companies!F108</f>
        <v>25</v>
      </c>
      <c r="G78" t="str">
        <f>Companies!H108</f>
        <v>Text-to-Video</v>
      </c>
      <c r="H78" t="str">
        <f>Companies!I108</f>
        <v>Eliran Kuta, Gil Perry, Sella Blondheim</v>
      </c>
      <c r="I78" t="str">
        <f>Companies!J108</f>
        <v>Enterprise</v>
      </c>
      <c r="J78" t="str">
        <f>Companies!K108</f>
        <v>Chatbot</v>
      </c>
      <c r="K78">
        <f>Companies!L108</f>
        <v>2017</v>
      </c>
      <c r="L78" t="str">
        <f>Companies!M108</f>
        <v>Impressive</v>
      </c>
      <c r="M78" t="str">
        <f>Companies!N108</f>
        <v>Macquarie Capital, OurCrowd, Pitango, OIF Ventures, Maverick, Marubeni, AXA Venture</v>
      </c>
      <c r="N78" t="str">
        <f>Companies!O108</f>
        <v>Series A</v>
      </c>
      <c r="O78">
        <f>Companies!P108</f>
        <v>13.5</v>
      </c>
      <c r="P78" t="str">
        <f>Companies!Q108</f>
        <v>AXA Venture, Omron Ventures, Mindset Ventures, Maverick Ventures, Hyundai, AI Alliance, Pitango</v>
      </c>
    </row>
    <row r="79" spans="2:16">
      <c r="B79" t="str">
        <f>Companies!B109</f>
        <v>John Snow Labs</v>
      </c>
      <c r="C79" t="str">
        <f>Companies!C109</f>
        <v>Private</v>
      </c>
      <c r="D79" t="str">
        <f>Companies!D109</f>
        <v>N/A</v>
      </c>
      <c r="E79" t="str">
        <f>Companies!E109</f>
        <v>No Investors</v>
      </c>
      <c r="F79" t="str">
        <f>Companies!F109</f>
        <v>N/A</v>
      </c>
      <c r="G79" t="str">
        <f>Companies!H109</f>
        <v>Healthcare LLM</v>
      </c>
      <c r="H79" t="str">
        <f>Companies!I109</f>
        <v>N/A</v>
      </c>
      <c r="I79" t="str">
        <f>Companies!J109</f>
        <v>Enterprise</v>
      </c>
      <c r="J79" t="str">
        <f>Companies!K109</f>
        <v>Healthcare</v>
      </c>
      <c r="K79">
        <f>Companies!L109</f>
        <v>2015</v>
      </c>
      <c r="L79" t="str">
        <f>Companies!M109</f>
        <v>private and profitable, no investors or debt'</v>
      </c>
      <c r="M79" t="str">
        <f>Companies!N109</f>
        <v>N/A</v>
      </c>
      <c r="N79" t="str">
        <f>Companies!O109</f>
        <v>N/A</v>
      </c>
      <c r="O79" t="str">
        <f>Companies!P109</f>
        <v>N/A</v>
      </c>
      <c r="P79" t="str">
        <f>Companies!Q109</f>
        <v>N/A</v>
      </c>
    </row>
    <row r="80" spans="2:16">
      <c r="B80" t="str">
        <f>Companies!B110</f>
        <v>Langchain</v>
      </c>
      <c r="C80" t="str">
        <f>Companies!C110</f>
        <v>Private</v>
      </c>
      <c r="D80">
        <f>Companies!D110</f>
        <v>200</v>
      </c>
      <c r="E80" t="str">
        <f>Companies!E110</f>
        <v>Seed</v>
      </c>
      <c r="F80">
        <f>Companies!F110</f>
        <v>10</v>
      </c>
      <c r="G80" t="str">
        <f>Companies!H110</f>
        <v>Popular tool</v>
      </c>
      <c r="H80" t="str">
        <f>Companies!I110</f>
        <v>Harrison Chase</v>
      </c>
      <c r="I80" t="str">
        <f>Companies!J110</f>
        <v>Tool</v>
      </c>
      <c r="J80" t="str">
        <f>Companies!K110</f>
        <v>Prompt</v>
      </c>
      <c r="K80">
        <f>Companies!L110</f>
        <v>41275</v>
      </c>
      <c r="L80" t="str">
        <f>Companies!M110</f>
        <v>Raising $20m from Sequoia</v>
      </c>
      <c r="M80" t="str">
        <f>Companies!N110</f>
        <v>Benchmark</v>
      </c>
      <c r="N80" t="str">
        <f>Companies!O110</f>
        <v>N/A</v>
      </c>
      <c r="O80" t="str">
        <f>Companies!P110</f>
        <v>N/A</v>
      </c>
      <c r="P80" t="str">
        <f>Companies!Q110</f>
        <v>N/A</v>
      </c>
    </row>
    <row r="81" spans="2:16">
      <c r="B81" t="str">
        <f>Companies!B111</f>
        <v>Perplexity AI</v>
      </c>
      <c r="C81" t="str">
        <f>Companies!C111</f>
        <v>Private</v>
      </c>
      <c r="D81">
        <f>Companies!D111</f>
        <v>150</v>
      </c>
      <c r="E81" t="str">
        <f>Companies!E111</f>
        <v>Series A</v>
      </c>
      <c r="F81">
        <f>Companies!F111</f>
        <v>26</v>
      </c>
      <c r="G81" t="str">
        <f>Companies!H111</f>
        <v>Search engine</v>
      </c>
      <c r="H81" t="str">
        <f>Companies!I111</f>
        <v>Andy Konwinski</v>
      </c>
      <c r="I81" t="str">
        <f>Companies!J111</f>
        <v>Consumer</v>
      </c>
      <c r="J81" t="str">
        <f>Companies!K111</f>
        <v>Search</v>
      </c>
      <c r="K81">
        <f>Companies!L111</f>
        <v>2022</v>
      </c>
      <c r="L81" t="str">
        <f>Companies!M111</f>
        <v>AI Grant batch 1</v>
      </c>
      <c r="M81" t="str">
        <f>Companies!N111</f>
        <v>Susan Wojcicki, Soleio Cuervo, Paul Buchheit, NEA, Nat Friedman, Jeff Dean, Elad Gil, Databricks, Bob Muglia</v>
      </c>
      <c r="N81" t="str">
        <f>Companies!O111</f>
        <v>Seed</v>
      </c>
      <c r="O81">
        <f>Companies!P111</f>
        <v>3.1</v>
      </c>
      <c r="P81" t="str">
        <f>Companies!Q111</f>
        <v>Elad Gil, Yann LeCun, Pieter Abbeel, Oriol Vinyals, Nat Friedman, Clement Delangue, Ashish Vaswani, Andrej Karpathy, Amjad Masad</v>
      </c>
    </row>
    <row r="82" spans="2:16">
      <c r="B82" t="str">
        <f>Companies!B112</f>
        <v>Weaviate</v>
      </c>
      <c r="C82" t="str">
        <f>Companies!C112</f>
        <v>Private</v>
      </c>
      <c r="D82">
        <f>Companies!D112</f>
        <v>150</v>
      </c>
      <c r="E82" t="str">
        <f>Companies!E112</f>
        <v>Series B</v>
      </c>
      <c r="F82">
        <f>Companies!F112</f>
        <v>60</v>
      </c>
      <c r="G82" t="str">
        <f>Companies!H112</f>
        <v>Vector Database</v>
      </c>
      <c r="H82">
        <f>Companies!I112</f>
        <v>0</v>
      </c>
      <c r="I82" t="str">
        <f>Companies!J112</f>
        <v>Tool</v>
      </c>
      <c r="J82" t="str">
        <f>Companies!K112</f>
        <v>Vector Store</v>
      </c>
      <c r="K82" t="str">
        <f>Companies!L112</f>
        <v>2019</v>
      </c>
      <c r="L82">
        <f>Companies!M112</f>
        <v>0</v>
      </c>
      <c r="M82" t="str">
        <f>Companies!N112</f>
        <v>Index Ventures, NEA, Battery Ventures, Cortical Ventures, ING Ventures, Zetta Venture Partners</v>
      </c>
      <c r="N82" t="str">
        <f>Companies!O112</f>
        <v>Series A</v>
      </c>
      <c r="O82">
        <f>Companies!P112</f>
        <v>16.5</v>
      </c>
      <c r="P82" t="str">
        <f>Companies!Q112</f>
        <v>NEA, Cortical Ventures, Zetta, SAV, ING Ventures, GTMfund</v>
      </c>
    </row>
    <row r="83" spans="2:16">
      <c r="B83" t="str">
        <f>Companies!B113</f>
        <v>AI Rudder</v>
      </c>
      <c r="C83" t="str">
        <f>Companies!C113</f>
        <v>Private</v>
      </c>
      <c r="D83">
        <f>Companies!D113</f>
        <v>150</v>
      </c>
      <c r="E83" t="str">
        <f>Companies!E113</f>
        <v>Series B</v>
      </c>
      <c r="F83">
        <f>Companies!F113</f>
        <v>50</v>
      </c>
      <c r="G83" t="str">
        <f>Companies!H113</f>
        <v>Singaporean GPT call centers</v>
      </c>
      <c r="H83">
        <f>Companies!I113</f>
        <v>0</v>
      </c>
      <c r="I83" t="str">
        <f>Companies!J113</f>
        <v>Tool</v>
      </c>
      <c r="J83" t="str">
        <f>Companies!K113</f>
        <v>Call Center</v>
      </c>
      <c r="K83">
        <f>Companies!L113</f>
        <v>43647</v>
      </c>
      <c r="L83">
        <f>Companies!M113</f>
        <v>0</v>
      </c>
      <c r="M83" t="str">
        <f>Companies!N113</f>
        <v>VenturesLab, Tiger, Peak XV, Huashan Capital, First Plus, Coatue, Cathay Innovation</v>
      </c>
      <c r="N83" t="str">
        <f>Companies!O113</f>
        <v>Series A</v>
      </c>
      <c r="O83">
        <f>Companies!P113</f>
        <v>10</v>
      </c>
      <c r="P83" t="str">
        <f>Companies!Q113</f>
        <v>Sequoia Capital China, Peak XV, Zizhu Xiaomiao Fund, ZhenFund, IMO Ventures, Huashan Capital</v>
      </c>
    </row>
    <row r="84" spans="2:16">
      <c r="B84" t="str">
        <f>Companies!B114</f>
        <v>HarveyAI</v>
      </c>
      <c r="C84" t="str">
        <f>Companies!C114</f>
        <v>Private</v>
      </c>
      <c r="D84">
        <f>Companies!D114</f>
        <v>150</v>
      </c>
      <c r="E84" t="str">
        <f>Companies!E114</f>
        <v>Series A</v>
      </c>
      <c r="F84">
        <f>Companies!F114</f>
        <v>21</v>
      </c>
      <c r="G84" t="str">
        <f>Companies!H114</f>
        <v>GPT Lawyer</v>
      </c>
      <c r="H84" t="str">
        <f>Companies!I114</f>
        <v>Gabriel Pereyra, Winston Weinberg</v>
      </c>
      <c r="I84" t="str">
        <f>Companies!J114</f>
        <v>Enterprise</v>
      </c>
      <c r="J84" t="str">
        <f>Companies!K114</f>
        <v>Legal</v>
      </c>
      <c r="K84">
        <f>Companies!L114</f>
        <v>44562</v>
      </c>
      <c r="L84" t="str">
        <f>Companies!M114</f>
        <v>15000 waiting list</v>
      </c>
      <c r="M84" t="str">
        <f>Companies!N114</f>
        <v>Sequoia, OpenAI, Conviction VC, SVA, Elad Gil</v>
      </c>
      <c r="N84" t="str">
        <f>Companies!O114</f>
        <v>Seed</v>
      </c>
      <c r="O84">
        <f>Companies!P114</f>
        <v>5</v>
      </c>
      <c r="P84" t="str">
        <f>Companies!Q114</f>
        <v>OpenAI, Jeff Dean, Elad Gil</v>
      </c>
    </row>
    <row r="85" spans="2:16">
      <c r="B85" t="str">
        <f>Companies!B115</f>
        <v>Kumo.AI</v>
      </c>
      <c r="C85" t="str">
        <f>Companies!C115</f>
        <v>Private</v>
      </c>
      <c r="D85">
        <f>Companies!D115</f>
        <v>150</v>
      </c>
      <c r="E85" t="str">
        <f>Companies!E115</f>
        <v>Series B</v>
      </c>
      <c r="F85">
        <f>Companies!F115</f>
        <v>18</v>
      </c>
      <c r="G85" t="str">
        <f>Companies!H115</f>
        <v>Revenue/BI</v>
      </c>
      <c r="H85" t="str">
        <f>Companies!I115</f>
        <v>Dong Wang, Hema Raghavan, Jure Leskovec, Vanja Josifovski</v>
      </c>
      <c r="I85" t="str">
        <f>Companies!J115</f>
        <v>Enterprise</v>
      </c>
      <c r="J85" t="str">
        <f>Companies!K115</f>
        <v>Business Intelligence</v>
      </c>
      <c r="K85">
        <f>Companies!L115</f>
        <v>2021</v>
      </c>
      <c r="L85">
        <f>Companies!M115</f>
        <v>0</v>
      </c>
      <c r="M85" t="str">
        <f>Companies!N115</f>
        <v>Sequoia Capital, SVA, A.Capital Ventures, Ronald Conway, Michael Stoppelman, Michael Ovitz, Kevin Hartz, Frank Slootman, Clement Delangue</v>
      </c>
      <c r="N85" t="str">
        <f>Companies!O115</f>
        <v>Series A</v>
      </c>
      <c r="O85">
        <f>Companies!P115</f>
        <v>18.5</v>
      </c>
      <c r="P85" t="str">
        <f>Companies!Q115</f>
        <v>Sequoia, SVA, A.Capital, Tristan handy, Sridhar Ramaswamy, Ronald Conway, Rob Eldridge, Li Fan, Igor Perisic, Greg Greeley, David Chaiken, Cory Scott</v>
      </c>
    </row>
    <row r="86" spans="2:16">
      <c r="B86" t="str">
        <f>Companies!B116</f>
        <v>AssemblyAI</v>
      </c>
      <c r="C86" t="str">
        <f>Companies!C116</f>
        <v>Private</v>
      </c>
      <c r="D86">
        <f>Companies!D116</f>
        <v>150</v>
      </c>
      <c r="E86" t="str">
        <f>Companies!E116</f>
        <v>Series B</v>
      </c>
      <c r="F86">
        <f>Companies!F116</f>
        <v>30</v>
      </c>
      <c r="G86" t="str">
        <f>Companies!H116</f>
        <v>Audio transcription</v>
      </c>
      <c r="H86" t="str">
        <f>Companies!I116</f>
        <v>Dylan Fox</v>
      </c>
      <c r="I86" t="str">
        <f>Companies!J116</f>
        <v>Enterprise</v>
      </c>
      <c r="J86" t="str">
        <f>Companies!K116</f>
        <v>Audio</v>
      </c>
      <c r="K86">
        <f>Companies!L116</f>
        <v>2017</v>
      </c>
      <c r="L86">
        <f>Companies!M116</f>
        <v>0</v>
      </c>
      <c r="M86" t="str">
        <f>Companies!N116</f>
        <v>Insight Partners, Y Combinator, TechNexus, Accel</v>
      </c>
      <c r="N86" t="str">
        <f>Companies!O116</f>
        <v>Series A</v>
      </c>
      <c r="O86">
        <f>Companies!P116</f>
        <v>28</v>
      </c>
      <c r="P86" t="str">
        <f>Companies!Q116</f>
        <v>Accel, Y Combinator, TechNexus, Nat Friedman, John Collison, Daniel Gross</v>
      </c>
    </row>
    <row r="87" spans="2:16">
      <c r="B87" t="str">
        <f>Companies!B117</f>
        <v>Lightning AI</v>
      </c>
      <c r="C87" t="str">
        <f>Companies!C117</f>
        <v>Private</v>
      </c>
      <c r="D87">
        <f>Companies!D117</f>
        <v>150</v>
      </c>
      <c r="E87" t="str">
        <f>Companies!E117</f>
        <v>Series B</v>
      </c>
      <c r="F87">
        <f>Companies!F117</f>
        <v>40</v>
      </c>
      <c r="G87" t="str">
        <f>Companies!H117</f>
        <v>PyTorch Lightning</v>
      </c>
      <c r="H87">
        <f>Companies!I117</f>
        <v>0</v>
      </c>
      <c r="I87" t="str">
        <f>Companies!J117</f>
        <v>Tool</v>
      </c>
      <c r="J87" t="str">
        <f>Companies!K117</f>
        <v>MLOps</v>
      </c>
      <c r="K87" t="str">
        <f>Companies!L117</f>
        <v>2019</v>
      </c>
      <c r="L87">
        <f>Companies!M117</f>
        <v>0</v>
      </c>
      <c r="M87" t="str">
        <f>Companies!N117</f>
        <v>Coatue, Mantis, Index, Firstminute, Bain</v>
      </c>
      <c r="N87" t="str">
        <f>Companies!O117</f>
        <v>Series A</v>
      </c>
      <c r="O87">
        <f>Companies!P117</f>
        <v>18.600000000000001</v>
      </c>
      <c r="P87" t="str">
        <f>Companies!Q117</f>
        <v>Index, Firstminute, Bain</v>
      </c>
    </row>
    <row r="88" spans="2:16">
      <c r="B88" t="str">
        <f>Companies!B118</f>
        <v>Skan.ai</v>
      </c>
      <c r="C88" t="str">
        <f>Companies!C118</f>
        <v>Private</v>
      </c>
      <c r="D88">
        <f>Companies!D118</f>
        <v>150</v>
      </c>
      <c r="E88" t="str">
        <f>Companies!E118</f>
        <v>Series B</v>
      </c>
      <c r="F88">
        <f>Companies!F118</f>
        <v>40</v>
      </c>
      <c r="G88">
        <f>Companies!H118</f>
        <v>0</v>
      </c>
      <c r="H88">
        <f>Companies!I118</f>
        <v>0</v>
      </c>
      <c r="I88" t="str">
        <f>Companies!J118</f>
        <v>Enterprise</v>
      </c>
      <c r="J88" t="str">
        <f>Companies!K118</f>
        <v>Business Intelligence</v>
      </c>
      <c r="K88">
        <f>Companies!L118</f>
        <v>43361</v>
      </c>
      <c r="L88">
        <f>Companies!M118</f>
        <v>0</v>
      </c>
      <c r="M88" t="str">
        <f>Companies!N118</f>
        <v>Dell, Zetta, Liberty Global Ventures, GSR Ventures, Firebolt Ventures, Citi Ventures, Cathay Innovation</v>
      </c>
      <c r="N88" t="str">
        <f>Companies!O118</f>
        <v>Series A</v>
      </c>
      <c r="O88">
        <f>Companies!P118</f>
        <v>14</v>
      </c>
      <c r="P88" t="str">
        <f>Companies!Q118</f>
        <v>Cathay Innovation, Zetta, Plug and Play, Firebolt, Citi, Bloomberg Beta</v>
      </c>
    </row>
    <row r="89" spans="2:16">
      <c r="B89" t="str">
        <f>Companies!B119</f>
        <v>Sima.AI</v>
      </c>
      <c r="C89" t="str">
        <f>Companies!C119</f>
        <v>Private</v>
      </c>
      <c r="D89">
        <f>Companies!D119</f>
        <v>150</v>
      </c>
      <c r="E89" t="str">
        <f>Companies!E119</f>
        <v>Series B</v>
      </c>
      <c r="F89">
        <f>Companies!F119</f>
        <v>13</v>
      </c>
      <c r="G89" t="str">
        <f>Companies!H119</f>
        <v>Palette, semiconductors</v>
      </c>
      <c r="H89" t="str">
        <f>Companies!I119</f>
        <v>Krishna Rangasayee, Steven J. Rosston</v>
      </c>
      <c r="I89" t="str">
        <f>Companies!J119</f>
        <v>Hardware</v>
      </c>
      <c r="J89" t="str">
        <f>Companies!K119</f>
        <v>Compute</v>
      </c>
      <c r="K89">
        <f>Companies!L119</f>
        <v>43405</v>
      </c>
      <c r="L89">
        <f>Companies!M119</f>
        <v>0</v>
      </c>
      <c r="M89" t="str">
        <f>Companies!N119</f>
        <v>VentureTech Alliance, Navin Chaddha</v>
      </c>
      <c r="N89" t="str">
        <f>Companies!O119</f>
        <v>Series B</v>
      </c>
      <c r="O89">
        <f>Companies!P119</f>
        <v>37</v>
      </c>
      <c r="P89" t="str">
        <f>Companies!Q119</f>
        <v>MSD Partners, Wing Venture Capital, +ND Capital, Fidelity, Dell, Amplify Partners, Alter Venture Partners, Lip-Bu Tan</v>
      </c>
    </row>
    <row r="90" spans="2:16">
      <c r="B90" t="str">
        <f>Companies!B120</f>
        <v>Seekr Technologies</v>
      </c>
      <c r="C90" t="str">
        <f>Companies!C120</f>
        <v>Private</v>
      </c>
      <c r="D90">
        <f>Companies!D120</f>
        <v>125</v>
      </c>
      <c r="E90" t="str">
        <f>Companies!E120</f>
        <v>Series A</v>
      </c>
      <c r="F90">
        <f>Companies!F120</f>
        <v>65</v>
      </c>
      <c r="G90" t="str">
        <f>Companies!H120</f>
        <v>Search engine</v>
      </c>
      <c r="H90" t="str">
        <f>Companies!I120</f>
        <v>Pat Condo</v>
      </c>
      <c r="I90" t="str">
        <f>Companies!J120</f>
        <v>Consumer</v>
      </c>
      <c r="J90" t="str">
        <f>Companies!K120</f>
        <v>Search</v>
      </c>
      <c r="K90">
        <f>Companies!L120</f>
        <v>44228</v>
      </c>
      <c r="L90">
        <f>Companies!M120</f>
        <v>0</v>
      </c>
      <c r="M90" t="str">
        <f>Companies!N120</f>
        <v>N/A</v>
      </c>
      <c r="N90" t="str">
        <f>Companies!O120</f>
        <v>N/A</v>
      </c>
      <c r="O90" t="str">
        <f>Companies!P120</f>
        <v>N/A</v>
      </c>
      <c r="P90" t="str">
        <f>Companies!Q120</f>
        <v>N/A</v>
      </c>
    </row>
    <row r="91" spans="2:16">
      <c r="B91" t="str">
        <f>Companies!B121</f>
        <v>Landing AI</v>
      </c>
      <c r="C91" t="str">
        <f>Companies!C121</f>
        <v>Private</v>
      </c>
      <c r="D91">
        <f>Companies!D121</f>
        <v>150</v>
      </c>
      <c r="E91" t="str">
        <f>Companies!E121</f>
        <v>Series A</v>
      </c>
      <c r="F91">
        <f>Companies!F121</f>
        <v>57</v>
      </c>
      <c r="G91" t="str">
        <f>Companies!H121</f>
        <v>Visual inspection for manufacturing</v>
      </c>
      <c r="H91" t="str">
        <f>Companies!I121</f>
        <v>Andrew Ng</v>
      </c>
      <c r="I91" t="str">
        <f>Companies!J121</f>
        <v>Enterprise</v>
      </c>
      <c r="J91" t="str">
        <f>Companies!K121</f>
        <v>Manufacturing</v>
      </c>
      <c r="K91">
        <f>Companies!L121</f>
        <v>2017</v>
      </c>
      <c r="L91">
        <f>Companies!M121</f>
        <v>0</v>
      </c>
      <c r="M91" t="str">
        <f>Companies!N121</f>
        <v>McRock Capital, AI Fund, CPPIB, DRIVE Catalyst, Insight Partners, Intel Capital, Samsung Catalyst Fund, Taiwania Capital Management, Walsin Lihwa</v>
      </c>
      <c r="N91" t="str">
        <f>Companies!O121</f>
        <v>Seed</v>
      </c>
      <c r="O91" t="str">
        <f>Companies!P121</f>
        <v>N/A</v>
      </c>
      <c r="P91" t="str">
        <f>Companies!Q121</f>
        <v>Intel Capital, Samsung, Lenovo, AI Fund</v>
      </c>
    </row>
    <row r="92" spans="2:16">
      <c r="B92" t="str">
        <f>Companies!B122</f>
        <v>d-Matrix</v>
      </c>
      <c r="C92" t="str">
        <f>Companies!C122</f>
        <v>Private</v>
      </c>
      <c r="D92">
        <f>Companies!D122</f>
        <v>125</v>
      </c>
      <c r="E92" t="str">
        <f>Companies!E122</f>
        <v>Series A</v>
      </c>
      <c r="F92">
        <f>Companies!F122</f>
        <v>44</v>
      </c>
      <c r="G92" t="str">
        <f>Companies!H122</f>
        <v>AI Chip</v>
      </c>
      <c r="H92" t="str">
        <f>Companies!I122</f>
        <v>Sid Sheth</v>
      </c>
      <c r="I92" t="str">
        <f>Companies!J122</f>
        <v>Tool</v>
      </c>
      <c r="J92" t="str">
        <f>Companies!K122</f>
        <v>Compute</v>
      </c>
      <c r="K92" t="str">
        <f>Companies!L122</f>
        <v>2019</v>
      </c>
      <c r="L92" t="str">
        <f>Companies!M122</f>
        <v>AI Chip</v>
      </c>
      <c r="M92" t="str">
        <f>Companies!N122</f>
        <v>SK Hynix, Playground Global, Microsoft, Nautilus Venture Partners, Marvell, Entrada Ventures</v>
      </c>
      <c r="N92" t="str">
        <f>Companies!O122</f>
        <v>Note</v>
      </c>
      <c r="O92" t="str">
        <f>Companies!P122</f>
        <v>N/A</v>
      </c>
      <c r="P92" t="str">
        <f>Companies!Q122</f>
        <v>TSVC</v>
      </c>
    </row>
    <row r="93" spans="2:16">
      <c r="B93" t="str">
        <f>Companies!B123</f>
        <v>Fiddler AI</v>
      </c>
      <c r="C93" t="str">
        <f>Companies!C123</f>
        <v>Private</v>
      </c>
      <c r="D93">
        <f>Companies!D123</f>
        <v>125</v>
      </c>
      <c r="E93" t="str">
        <f>Companies!E123</f>
        <v>Series B</v>
      </c>
      <c r="F93">
        <f>Companies!F123</f>
        <v>32</v>
      </c>
      <c r="G93" t="str">
        <f>Companies!H123</f>
        <v>Observability</v>
      </c>
      <c r="H93" t="str">
        <f>Companies!I123</f>
        <v>Amit Paka, Krishna Gade, Manoj Cheenath</v>
      </c>
      <c r="I93" t="str">
        <f>Companies!J123</f>
        <v>Enterprise</v>
      </c>
      <c r="J93" t="str">
        <f>Companies!K123</f>
        <v>MLOps</v>
      </c>
      <c r="K93">
        <f>Companies!L123</f>
        <v>2018</v>
      </c>
      <c r="L93">
        <f>Companies!M123</f>
        <v>0</v>
      </c>
      <c r="M93" t="str">
        <f>Companies!N123</f>
        <v>Insight Partners, Lux Capital, Lockheed Martin Ventures, Lightspeed Venture Partners, Haystack, Bossanova, Bloomberg Beta, Amazon Alexa Fund, Alteryx</v>
      </c>
      <c r="N93" t="str">
        <f>Companies!O123</f>
        <v>Series A</v>
      </c>
      <c r="O93">
        <f>Companies!P123</f>
        <v>10.199999999999999</v>
      </c>
      <c r="P93" t="str">
        <f>Companies!Q123</f>
        <v>Lux Capital, Lightspeed Venture Partners, Haystack, Bloomberg Beta</v>
      </c>
    </row>
    <row r="94" spans="2:16">
      <c r="B94" t="str">
        <f>Companies!B124</f>
        <v>Generally Intelligent</v>
      </c>
      <c r="C94" t="str">
        <f>Companies!C124</f>
        <v>Private</v>
      </c>
      <c r="D94">
        <f>Companies!D124</f>
        <v>125</v>
      </c>
      <c r="E94" t="str">
        <f>Companies!E124</f>
        <v>Series A</v>
      </c>
      <c r="F94">
        <f>Companies!F124</f>
        <v>20</v>
      </c>
      <c r="G94" t="str">
        <f>Companies!H124</f>
        <v>Crackhead stuff, I love it</v>
      </c>
      <c r="H94" t="str">
        <f>Companies!I124</f>
        <v>Kanjun Qiu, Josh Albrecht</v>
      </c>
      <c r="I94" t="str">
        <f>Companies!J124</f>
        <v>Stealth</v>
      </c>
      <c r="J94" t="str">
        <f>Companies!K124</f>
        <v>AGI</v>
      </c>
      <c r="K94">
        <f>Companies!L124</f>
        <v>2021</v>
      </c>
      <c r="L94">
        <f>Companies!M124</f>
        <v>0</v>
      </c>
      <c r="M94" t="str">
        <f>Companies!N124</f>
        <v>Lightspeed, YC, Threshold Ventures, Tom Brown, Jonas Schneider, Drew Houston, Astera Institute, Arash Ferdowsi</v>
      </c>
      <c r="N94" t="str">
        <f>Companies!O124</f>
        <v>Seed</v>
      </c>
      <c r="O94" t="str">
        <f>Companies!P124</f>
        <v>N/A</v>
      </c>
      <c r="P94" t="str">
        <f>Companies!Q124</f>
        <v>YC</v>
      </c>
    </row>
    <row r="95" spans="2:16">
      <c r="B95" t="str">
        <f>Companies!B125</f>
        <v>Arize AI</v>
      </c>
      <c r="C95" t="str">
        <f>Companies!C125</f>
        <v>Private</v>
      </c>
      <c r="D95">
        <f>Companies!D125</f>
        <v>125</v>
      </c>
      <c r="E95" t="str">
        <f>Companies!E125</f>
        <v>Series B</v>
      </c>
      <c r="F95">
        <f>Companies!F125</f>
        <v>38</v>
      </c>
      <c r="G95" t="str">
        <f>Companies!H125</f>
        <v>Observability &amp; Monitoring</v>
      </c>
      <c r="H95" t="str">
        <f>Companies!I125</f>
        <v>Aparna Dhinakaran, Jason Lopatecki</v>
      </c>
      <c r="I95" t="str">
        <f>Companies!J125</f>
        <v>Tool</v>
      </c>
      <c r="J95" t="str">
        <f>Companies!K125</f>
        <v>MLOps</v>
      </c>
      <c r="K95" t="str">
        <f>Companies!L125</f>
        <v>2020</v>
      </c>
      <c r="L95">
        <f>Companies!M125</f>
        <v>0</v>
      </c>
      <c r="M95" t="str">
        <f>Companies!N125</f>
        <v>TCV, Swift Ventures, Foundation Capital, Battery Ventures</v>
      </c>
      <c r="N95" t="str">
        <f>Companies!O125</f>
        <v>Series A</v>
      </c>
      <c r="O95">
        <f>Companies!P125</f>
        <v>19</v>
      </c>
      <c r="P95" t="str">
        <f>Companies!Q125</f>
        <v>Battery Ventures, Trinity Ventures, The House Fund, Swift Ventures, Foundation Capital</v>
      </c>
    </row>
    <row r="96" spans="2:16">
      <c r="B96" t="str">
        <f>Companies!B126</f>
        <v>Hippocratic</v>
      </c>
      <c r="C96" t="str">
        <f>Companies!C126</f>
        <v>Private</v>
      </c>
      <c r="D96">
        <f>Companies!D126</f>
        <v>100</v>
      </c>
      <c r="E96" t="str">
        <f>Companies!E126</f>
        <v>Seed</v>
      </c>
      <c r="F96">
        <f>Companies!F126</f>
        <v>50</v>
      </c>
      <c r="G96" t="str">
        <f>Companies!H126</f>
        <v>Healthcare LLM</v>
      </c>
      <c r="H96" t="str">
        <f>Companies!I126</f>
        <v>Alex Miller, Munjal Shah, Vishal Parikh</v>
      </c>
      <c r="I96" t="str">
        <f>Companies!J126</f>
        <v>Enterprise</v>
      </c>
      <c r="J96" t="str">
        <f>Companies!K126</f>
        <v>Healthcare</v>
      </c>
      <c r="K96" t="str">
        <f>Companies!L126</f>
        <v>2022</v>
      </c>
      <c r="L96">
        <f>Companies!M126</f>
        <v>0</v>
      </c>
      <c r="M96" t="str">
        <f>Companies!N126</f>
        <v>General Analyst, a16z</v>
      </c>
      <c r="N96" t="str">
        <f>Companies!O126</f>
        <v>N/A</v>
      </c>
      <c r="O96" t="str">
        <f>Companies!P126</f>
        <v>N/A</v>
      </c>
      <c r="P96" t="str">
        <f>Companies!Q126</f>
        <v>N/A</v>
      </c>
    </row>
    <row r="97" spans="2:16">
      <c r="B97" t="str">
        <f>Companies!B127</f>
        <v>Datagen</v>
      </c>
      <c r="C97" t="str">
        <f>Companies!C127</f>
        <v>Private</v>
      </c>
      <c r="D97">
        <f>Companies!D127</f>
        <v>100</v>
      </c>
      <c r="E97" t="str">
        <f>Companies!E127</f>
        <v>Series B</v>
      </c>
      <c r="F97">
        <f>Companies!F127</f>
        <v>50</v>
      </c>
      <c r="G97" t="str">
        <f>Companies!H127</f>
        <v>Synthetic character library, mainly enterprise but very cool</v>
      </c>
      <c r="H97" t="str">
        <f>Companies!I127</f>
        <v>Gil Elbaz</v>
      </c>
      <c r="I97" t="str">
        <f>Companies!J127</f>
        <v>Tool</v>
      </c>
      <c r="J97" t="str">
        <f>Companies!K127</f>
        <v>Avatars</v>
      </c>
      <c r="K97" t="str">
        <f>Companies!L127</f>
        <v>2018</v>
      </c>
      <c r="L97">
        <f>Companies!M127</f>
        <v>0</v>
      </c>
      <c r="M97" t="str">
        <f>Companies!N127</f>
        <v>Scale Venture Partners, Viola Ventures, TLV Partners, Spider Capital</v>
      </c>
      <c r="N97" t="str">
        <f>Companies!O127</f>
        <v>Series A</v>
      </c>
      <c r="O97">
        <f>Companies!P127</f>
        <v>18.5</v>
      </c>
      <c r="P97" t="str">
        <f>Companies!Q127</f>
        <v>Viola Ventures, TLV Partners, Spider Capital, Operator Partners, Matias Ventures, Michael Black</v>
      </c>
    </row>
    <row r="98" spans="2:16">
      <c r="B98" t="str">
        <f>Companies!B128</f>
        <v>Inworld</v>
      </c>
      <c r="C98" t="str">
        <f>Companies!C128</f>
        <v>Private</v>
      </c>
      <c r="D98">
        <f>Companies!D128</f>
        <v>100</v>
      </c>
      <c r="E98" t="str">
        <f>Companies!E128</f>
        <v>Series A</v>
      </c>
      <c r="F98">
        <f>Companies!F128</f>
        <v>50</v>
      </c>
      <c r="G98" t="str">
        <f>Companies!H128</f>
        <v>Character templates for NPCs</v>
      </c>
      <c r="H98" t="str">
        <f>Companies!I128</f>
        <v>Ilya Gelfenbeyn, Kylan Gibbs, Michael Ermolenko</v>
      </c>
      <c r="I98" t="str">
        <f>Companies!J128</f>
        <v>Consumer</v>
      </c>
      <c r="J98" t="str">
        <f>Companies!K128</f>
        <v>Gaming</v>
      </c>
      <c r="K98">
        <f>Companies!L128</f>
        <v>44378</v>
      </c>
      <c r="L98">
        <f>Companies!M128</f>
        <v>0</v>
      </c>
      <c r="M98" t="str">
        <f>Companies!N128</f>
        <v>Intel Capital, Section 32, The Venture Reality Fund, SK, NTT Docomo Ventures, Micron Ventures, Microsoft, LG Technology Ventures, Kleiner Perkins, HTC, Founders Fund, First Spark Ventures, CRV, Bitkraft Ventures</v>
      </c>
      <c r="N98" t="str">
        <f>Companies!O128</f>
        <v>Seed</v>
      </c>
      <c r="O98">
        <f>Companies!P128</f>
        <v>12.5</v>
      </c>
      <c r="P98" t="str">
        <f>Companies!Q128</f>
        <v>Bitkraft Ventures, Disney, The Venture Reality Fund, Nate Mitchell, NaHC03, Microsoft, Kleiner Perkins, CRV</v>
      </c>
    </row>
    <row r="99" spans="2:16">
      <c r="B99" t="str">
        <f>Companies!B129</f>
        <v>Wizard</v>
      </c>
      <c r="C99" t="str">
        <f>Companies!C129</f>
        <v>Private</v>
      </c>
      <c r="D99">
        <f>Companies!D129</f>
        <v>100</v>
      </c>
      <c r="E99" t="str">
        <f>Companies!E129</f>
        <v>Series A</v>
      </c>
      <c r="F99">
        <f>Companies!F129</f>
        <v>50</v>
      </c>
      <c r="G99" t="str">
        <f>Companies!H129</f>
        <v>Ecommerce BS</v>
      </c>
      <c r="H99" t="str">
        <f>Companies!I129</f>
        <v>Marc Lore, Melissa Bridgeford</v>
      </c>
      <c r="I99" t="str">
        <f>Companies!J129</f>
        <v>Enterprise</v>
      </c>
      <c r="J99" t="str">
        <f>Companies!K129</f>
        <v>Ecommerce</v>
      </c>
      <c r="K99">
        <f>Companies!L129</f>
        <v>44440</v>
      </c>
      <c r="L99">
        <f>Companies!M129</f>
        <v>0</v>
      </c>
      <c r="M99" t="str">
        <f>Companies!N129</f>
        <v>NEA, Marc Lore, Accel</v>
      </c>
      <c r="N99" t="str">
        <f>Companies!O129</f>
        <v>N/A</v>
      </c>
      <c r="O99" t="str">
        <f>Companies!P129</f>
        <v>N/A</v>
      </c>
      <c r="P99" t="str">
        <f>Companies!Q129</f>
        <v>N/A</v>
      </c>
    </row>
    <row r="100" spans="2:16">
      <c r="B100" t="str">
        <f>Companies!B130</f>
        <v>Unsupervised</v>
      </c>
      <c r="C100" t="str">
        <f>Companies!C130</f>
        <v>Private</v>
      </c>
      <c r="D100">
        <f>Companies!D130</f>
        <v>100</v>
      </c>
      <c r="E100" t="str">
        <f>Companies!E130</f>
        <v>Series B</v>
      </c>
      <c r="F100">
        <f>Companies!F130</f>
        <v>35</v>
      </c>
      <c r="G100">
        <f>Companies!H130</f>
        <v>0</v>
      </c>
      <c r="H100" t="str">
        <f>Companies!I130</f>
        <v>Noah Horton, Tyler Willis</v>
      </c>
      <c r="I100" t="str">
        <f>Companies!J130</f>
        <v>Enterprise</v>
      </c>
      <c r="J100" t="str">
        <f>Companies!K130</f>
        <v>Analytics</v>
      </c>
      <c r="K100">
        <f>Companies!L130</f>
        <v>2017</v>
      </c>
      <c r="L100">
        <f>Companies!M130</f>
        <v>0</v>
      </c>
      <c r="M100" t="str">
        <f>Companies!N130</f>
        <v>SignalFIre, Cathay Innovation, NextGen Venture Partners, Eniac Ventures, Elad Gil, Coatue</v>
      </c>
      <c r="N100" t="str">
        <f>Companies!O130</f>
        <v>Series A</v>
      </c>
      <c r="O100">
        <f>Companies!P130</f>
        <v>5.7</v>
      </c>
      <c r="P100" t="str">
        <f>Companies!Q130</f>
        <v>N/A</v>
      </c>
    </row>
    <row r="101" spans="2:16">
      <c r="B101" t="str">
        <f>Companies!B131</f>
        <v>The Applied AI Company</v>
      </c>
      <c r="C101" t="str">
        <f>Companies!C131</f>
        <v>Private</v>
      </c>
      <c r="D101">
        <f>Companies!D131</f>
        <v>100</v>
      </c>
      <c r="E101" t="str">
        <f>Companies!E131</f>
        <v>Seed</v>
      </c>
      <c r="F101">
        <f>Companies!F131</f>
        <v>42</v>
      </c>
      <c r="G101" t="str">
        <f>Companies!H131</f>
        <v>DeepDoc, Insurance</v>
      </c>
      <c r="H101">
        <f>Companies!I131</f>
        <v>0</v>
      </c>
      <c r="I101" t="str">
        <f>Companies!J131</f>
        <v>Enterprise</v>
      </c>
      <c r="J101" t="str">
        <f>Companies!K131</f>
        <v>Healthcare</v>
      </c>
      <c r="K101">
        <f>Companies!L131</f>
        <v>44440</v>
      </c>
      <c r="L101">
        <f>Companies!M131</f>
        <v>0</v>
      </c>
      <c r="M101" t="str">
        <f>Companies!N131</f>
        <v>G42, Plug and Play, HCS, ARM, Arya Bolurfrushan, Price Stefan</v>
      </c>
      <c r="N101" t="str">
        <f>Companies!O131</f>
        <v>N/A</v>
      </c>
      <c r="O101" t="str">
        <f>Companies!P131</f>
        <v>N/A</v>
      </c>
      <c r="P101" t="str">
        <f>Companies!Q131</f>
        <v>N/A</v>
      </c>
    </row>
    <row r="102" spans="2:16">
      <c r="B102" t="str">
        <f>Companies!B132</f>
        <v>Irreverant Labs</v>
      </c>
      <c r="C102" t="str">
        <f>Companies!C132</f>
        <v>Private</v>
      </c>
      <c r="D102">
        <f>Companies!D132</f>
        <v>100</v>
      </c>
      <c r="E102" t="str">
        <f>Companies!E132</f>
        <v>Series A</v>
      </c>
      <c r="F102">
        <f>Companies!F132</f>
        <v>40</v>
      </c>
      <c r="G102" t="str">
        <f>Companies!H132</f>
        <v>MechaFightClub fail, pivot from crypto</v>
      </c>
      <c r="H102" t="str">
        <f>Companies!I132</f>
        <v>David Raskino, Rahul Sood</v>
      </c>
      <c r="I102" t="str">
        <f>Companies!J132</f>
        <v>Consumer</v>
      </c>
      <c r="J102" t="str">
        <f>Companies!K132</f>
        <v>Games</v>
      </c>
      <c r="K102">
        <f>Companies!L132</f>
        <v>44501</v>
      </c>
      <c r="L102">
        <f>Companies!M132</f>
        <v>0</v>
      </c>
      <c r="M102" t="str">
        <f>Companies!N132</f>
        <v>a16z, Keen Crypto, Mantis Venture Capital, Solana Ventures, Unlock Venture Partners, Sonam Kapoor Ahuja, Michael Ovitz, Keen Crypto, Infinity Ventures Crypto, Advancit Capital, Capitoria</v>
      </c>
      <c r="N102" t="str">
        <f>Companies!O132</f>
        <v>Seed: $25m valuation</v>
      </c>
      <c r="O102">
        <f>Companies!P132</f>
        <v>5</v>
      </c>
      <c r="P102" t="str">
        <f>Companies!Q132</f>
        <v>a16z, Unlock Venture Partners, Mantis Venture Capital, Advancit, Keen Crypto</v>
      </c>
    </row>
    <row r="103" spans="2:16">
      <c r="B103" t="str">
        <f>Companies!B133</f>
        <v>Capacity</v>
      </c>
      <c r="C103" t="str">
        <f>Companies!C133</f>
        <v>Private</v>
      </c>
      <c r="D103">
        <f>Companies!D133</f>
        <v>100</v>
      </c>
      <c r="E103" t="str">
        <f>Companies!E133</f>
        <v>Series C</v>
      </c>
      <c r="F103">
        <f>Companies!F133</f>
        <v>38</v>
      </c>
      <c r="G103" t="str">
        <f>Companies!H133</f>
        <v>AI helpdesk for employees and customers</v>
      </c>
      <c r="H103" t="str">
        <f>Companies!I133</f>
        <v>Chris Sims, David Karandish</v>
      </c>
      <c r="I103" t="str">
        <f>Companies!J133</f>
        <v>Enterprise</v>
      </c>
      <c r="J103" t="str">
        <f>Companies!K133</f>
        <v>Helpdesk</v>
      </c>
      <c r="K103">
        <f>Companies!L133</f>
        <v>2017</v>
      </c>
      <c r="L103" t="str">
        <f>Companies!M133</f>
        <v>&gt;1500 customers</v>
      </c>
      <c r="M103" t="str">
        <f>Companies!N133</f>
        <v>TMC Emerging Technology Fund, Rice Park Capital Management</v>
      </c>
      <c r="N103" t="str">
        <f>Companies!O133</f>
        <v>Series B</v>
      </c>
      <c r="O103">
        <f>Companies!P133</f>
        <v>13.5</v>
      </c>
      <c r="P103" t="str">
        <f>Companies!Q133</f>
        <v>Rice Park, Equity.com</v>
      </c>
    </row>
    <row r="104" spans="2:16">
      <c r="B104" t="str">
        <f>Companies!B134</f>
        <v>V7</v>
      </c>
      <c r="C104" t="str">
        <f>Companies!C134</f>
        <v>Private</v>
      </c>
      <c r="D104">
        <f>Companies!D134</f>
        <v>100</v>
      </c>
      <c r="E104" t="str">
        <f>Companies!E134</f>
        <v>Series A</v>
      </c>
      <c r="F104">
        <f>Companies!F134</f>
        <v>30</v>
      </c>
      <c r="G104" t="str">
        <f>Companies!H134</f>
        <v>Labeling</v>
      </c>
      <c r="H104" t="str">
        <f>Companies!I134</f>
        <v>Alberto Rizzoli</v>
      </c>
      <c r="I104" t="str">
        <f>Companies!J134</f>
        <v>Tool</v>
      </c>
      <c r="J104" t="str">
        <f>Companies!K134</f>
        <v>MLOps</v>
      </c>
      <c r="K104">
        <f>Companies!L134</f>
        <v>43313</v>
      </c>
      <c r="L104">
        <f>Companies!M134</f>
        <v>0</v>
      </c>
      <c r="M104" t="str">
        <f>Companies!N134</f>
        <v>Temasek, Radical Ventures, Partech, Oriol Vinyals, Jose Valim, Francois Collet, Ashish Vaswani, Amadeus Capital, Air Street Capital</v>
      </c>
      <c r="N104" t="str">
        <f>Companies!O134</f>
        <v>Seed</v>
      </c>
      <c r="O104">
        <f>Companies!P134</f>
        <v>7</v>
      </c>
      <c r="P104" t="str">
        <f>Companies!Q134</f>
        <v>N/A</v>
      </c>
    </row>
    <row r="105" spans="2:16">
      <c r="B105" t="str">
        <f>Companies!B135</f>
        <v>Magic (magic.dev)</v>
      </c>
      <c r="C105" t="str">
        <f>Companies!C135</f>
        <v>Private</v>
      </c>
      <c r="D105">
        <f>Companies!D135</f>
        <v>100</v>
      </c>
      <c r="E105" t="str">
        <f>Companies!E135</f>
        <v>Series A</v>
      </c>
      <c r="F105">
        <f>Companies!F135</f>
        <v>23</v>
      </c>
      <c r="G105" t="str">
        <f>Companies!H135</f>
        <v>Auto-programmer</v>
      </c>
      <c r="H105">
        <f>Companies!I135</f>
        <v>0</v>
      </c>
      <c r="I105" t="str">
        <f>Companies!J135</f>
        <v>Tool</v>
      </c>
      <c r="J105" t="str">
        <f>Companies!K135</f>
        <v>Programming</v>
      </c>
      <c r="K105">
        <f>Companies!L135</f>
        <v>44621</v>
      </c>
      <c r="L105">
        <f>Companies!M135</f>
        <v>0</v>
      </c>
      <c r="M105" t="str">
        <f>Companies!N135</f>
        <v>Capital G, Xavier Sarras, Roland Boubela, Noam Brown, Nat Friedman, Mehdi Ghissassi, Klaudius Kalcher, Fredrik Hjelm, Florian Huber, Elad Gil, Daniel Dippold, Bryan Pellegrino, Arthur Breitman, Amplify Partners, Adam Jafer, 10x Founders</v>
      </c>
      <c r="N105" t="str">
        <f>Companies!O135</f>
        <v>Seed</v>
      </c>
      <c r="O105">
        <f>Companies!P135</f>
        <v>5.0999999999999996</v>
      </c>
      <c r="P105" t="str">
        <f>Companies!Q135</f>
        <v>Nat Friedman</v>
      </c>
    </row>
    <row r="106" spans="2:16">
      <c r="B106" t="str">
        <f>Companies!B136</f>
        <v>Eigen Technologies</v>
      </c>
      <c r="C106" t="str">
        <f>Companies!C136</f>
        <v>Private</v>
      </c>
      <c r="D106">
        <f>Companies!D136</f>
        <v>100</v>
      </c>
      <c r="E106" t="str">
        <f>Companies!E136</f>
        <v>Series B</v>
      </c>
      <c r="F106">
        <f>Companies!F136</f>
        <v>5</v>
      </c>
      <c r="G106" t="str">
        <f>Companies!H136</f>
        <v>Document processing/automation</v>
      </c>
      <c r="H106" t="str">
        <f>Companies!I136</f>
        <v>Jonathan Feuer, Lewis Z. Liu</v>
      </c>
      <c r="I106" t="str">
        <f>Companies!J136</f>
        <v>Enterprise</v>
      </c>
      <c r="J106" t="str">
        <f>Companies!K136</f>
        <v>Documents</v>
      </c>
      <c r="K106">
        <f>Companies!L136</f>
        <v>2015</v>
      </c>
      <c r="L106">
        <f>Companies!M136</f>
        <v>0</v>
      </c>
      <c r="M106" t="str">
        <f>Companies!N136</f>
        <v>ING Ventures</v>
      </c>
      <c r="N106" t="str">
        <f>Companies!O136</f>
        <v>Series B</v>
      </c>
      <c r="O106" t="str">
        <f>Companies!P136</f>
        <v>37 at 113</v>
      </c>
      <c r="P106" t="str">
        <f>Companies!Q136</f>
        <v>Lakestar, Dawn Capital, Temasek, Goldman</v>
      </c>
    </row>
    <row r="107" spans="2:16">
      <c r="B107" t="str">
        <f>Companies!B137</f>
        <v>Modular</v>
      </c>
      <c r="C107" t="str">
        <f>Companies!C137</f>
        <v>Private</v>
      </c>
      <c r="D107">
        <f>Companies!D137</f>
        <v>100</v>
      </c>
      <c r="E107" t="str">
        <f>Companies!E137</f>
        <v>Seed</v>
      </c>
      <c r="F107">
        <f>Companies!F137</f>
        <v>30</v>
      </c>
      <c r="G107" t="str">
        <f>Companies!H137</f>
        <v>Mojo</v>
      </c>
      <c r="H107" t="str">
        <f>Companies!I137</f>
        <v>Chris Lattner, Tim Davis</v>
      </c>
      <c r="I107" t="str">
        <f>Companies!J137</f>
        <v>Tool</v>
      </c>
      <c r="J107" t="str">
        <f>Companies!K137</f>
        <v>Compute</v>
      </c>
      <c r="K107">
        <f>Companies!L137</f>
        <v>44562</v>
      </c>
      <c r="L107" t="str">
        <f>Companies!M137</f>
        <v>Mojo</v>
      </c>
      <c r="M107" t="str">
        <f>Companies!N137</f>
        <v>Google, Greylock, SVA, Factory</v>
      </c>
      <c r="N107" t="str">
        <f>Companies!O137</f>
        <v>N/A</v>
      </c>
      <c r="O107" t="str">
        <f>Companies!P137</f>
        <v>N/A</v>
      </c>
      <c r="P107" t="str">
        <f>Companies!Q137</f>
        <v>N/A</v>
      </c>
    </row>
    <row r="108" spans="2:16">
      <c r="B108" t="str">
        <f>Companies!B138</f>
        <v>Robust Intelligence</v>
      </c>
      <c r="C108" t="str">
        <f>Companies!C138</f>
        <v>Private</v>
      </c>
      <c r="D108">
        <f>Companies!D138</f>
        <v>100</v>
      </c>
      <c r="E108" t="str">
        <f>Companies!E138</f>
        <v>Series B</v>
      </c>
      <c r="F108">
        <f>Companies!F138</f>
        <v>30</v>
      </c>
      <c r="G108" t="str">
        <f>Companies!H138</f>
        <v>Stress Test AI Models</v>
      </c>
      <c r="H108" t="str">
        <f>Companies!I138</f>
        <v>Yaron Singer</v>
      </c>
      <c r="I108" t="str">
        <f>Companies!J138</f>
        <v>Enterprise</v>
      </c>
      <c r="J108" t="str">
        <f>Companies!K138</f>
        <v>MLOps</v>
      </c>
      <c r="K108" t="str">
        <f>Companies!L138</f>
        <v>2019</v>
      </c>
      <c r="L108">
        <f>Companies!M138</f>
        <v>0</v>
      </c>
      <c r="M108" t="str">
        <f>Companies!N138</f>
        <v>Tiger, Sequoia, Harpoon, Engineering Capital</v>
      </c>
      <c r="N108" t="str">
        <f>Companies!O138</f>
        <v>Series A</v>
      </c>
      <c r="O108">
        <f>Companies!P138</f>
        <v>11</v>
      </c>
      <c r="P108" t="str">
        <f>Companies!Q138</f>
        <v>Sequoia, Ram Shriram, Harpoon, Engineering Capital, Alex Balkanski</v>
      </c>
    </row>
    <row r="109" spans="2:16">
      <c r="B109" t="str">
        <f>Companies!B139</f>
        <v>Imagen</v>
      </c>
      <c r="C109" t="str">
        <f>Companies!C139</f>
        <v>Private</v>
      </c>
      <c r="D109">
        <f>Companies!D139</f>
        <v>100</v>
      </c>
      <c r="E109" t="str">
        <f>Companies!E139</f>
        <v>Series A</v>
      </c>
      <c r="F109">
        <f>Companies!F139</f>
        <v>30</v>
      </c>
      <c r="G109" t="str">
        <f>Companies!H139</f>
        <v>Lightroom editing assistant</v>
      </c>
      <c r="H109" t="str">
        <f>Companies!I139</f>
        <v>Ron Oren, Yoav Chai, Yotam Gil</v>
      </c>
      <c r="I109" t="str">
        <f>Companies!J139</f>
        <v>Consumer</v>
      </c>
      <c r="J109" t="str">
        <f>Companies!K139</f>
        <v>Photos</v>
      </c>
      <c r="K109" t="str">
        <f>Companies!L139</f>
        <v>2020</v>
      </c>
      <c r="L109">
        <f>Companies!M139</f>
        <v>0</v>
      </c>
      <c r="M109" t="str">
        <f>Companies!N139</f>
        <v>Summit, NFX</v>
      </c>
      <c r="N109" t="str">
        <f>Companies!O139</f>
        <v>Seed</v>
      </c>
      <c r="O109">
        <f>Companies!P139</f>
        <v>4</v>
      </c>
      <c r="P109" t="str">
        <f>Companies!Q139</f>
        <v>NFX</v>
      </c>
    </row>
    <row r="110" spans="2:16">
      <c r="B110" t="str">
        <f>Companies!B140</f>
        <v>Jina AI</v>
      </c>
      <c r="C110" t="str">
        <f>Companies!C140</f>
        <v>Private</v>
      </c>
      <c r="D110">
        <f>Companies!D140</f>
        <v>100</v>
      </c>
      <c r="E110" t="str">
        <f>Companies!E140</f>
        <v>Series A</v>
      </c>
      <c r="F110">
        <f>Companies!F140</f>
        <v>30</v>
      </c>
      <c r="G110" t="str">
        <f>Companies!H140</f>
        <v>Multimodal LLM? LLMops</v>
      </c>
      <c r="H110" t="str">
        <f>Companies!I140</f>
        <v>Han Xiao, Xuanbin He</v>
      </c>
      <c r="I110" t="str">
        <f>Companies!J140</f>
        <v>Tool</v>
      </c>
      <c r="J110" t="str">
        <f>Companies!K140</f>
        <v>MLOps</v>
      </c>
      <c r="K110">
        <f>Companies!L140</f>
        <v>43862</v>
      </c>
      <c r="L110">
        <f>Companies!M140</f>
        <v>0</v>
      </c>
      <c r="M110" t="str">
        <f>Companies!N140</f>
        <v>Canaan, Yunqi Partners, SAP.iO, Mango Capital, GGV Capital</v>
      </c>
      <c r="N110" t="str">
        <f>Companies!O140</f>
        <v>Seed</v>
      </c>
      <c r="O110">
        <f>Companies!P140</f>
        <v>5.5</v>
      </c>
      <c r="P110" t="str">
        <f>Companies!Q140</f>
        <v>GGV Capital, SAP.iO, Yunqi Partners</v>
      </c>
    </row>
    <row r="111" spans="2:16">
      <c r="B111" t="str">
        <f>Companies!B141</f>
        <v>ElevenLabs</v>
      </c>
      <c r="C111" t="str">
        <f>Companies!C141</f>
        <v>Private</v>
      </c>
      <c r="D111">
        <f>Companies!D141</f>
        <v>100</v>
      </c>
      <c r="E111" t="str">
        <f>Companies!E141</f>
        <v>N/A</v>
      </c>
      <c r="F111">
        <f>Companies!F141</f>
        <v>18.5</v>
      </c>
      <c r="G111" t="str">
        <f>Companies!H141</f>
        <v>Voice API</v>
      </c>
      <c r="H111" t="str">
        <f>Companies!I141</f>
        <v>Mati Staniszewski, Piotr Dabkowski</v>
      </c>
      <c r="I111" t="str">
        <f>Companies!J141</f>
        <v>Tool</v>
      </c>
      <c r="J111" t="str">
        <f>Companies!K141</f>
        <v>Voice</v>
      </c>
      <c r="K111">
        <f>Companies!L141</f>
        <v>44652</v>
      </c>
      <c r="L111">
        <f>Companies!M141</f>
        <v>0</v>
      </c>
      <c r="M111" t="str">
        <f>Companies!N141</f>
        <v>a16z, Nat Friedman, Daniel Gross (unofficial)</v>
      </c>
      <c r="N111" t="str">
        <f>Companies!O141</f>
        <v>Seed</v>
      </c>
      <c r="O111" t="str">
        <f>Companies!P141</f>
        <v>N/A</v>
      </c>
      <c r="P111" t="str">
        <f>Companies!Q141</f>
        <v>Nat Friedman, Daniel Gross</v>
      </c>
    </row>
    <row r="112" spans="2:16">
      <c r="B112" t="str">
        <f>Companies!B142</f>
        <v>Mem</v>
      </c>
      <c r="C112" t="str">
        <f>Companies!C142</f>
        <v>Private</v>
      </c>
      <c r="D112">
        <f>Companies!D142</f>
        <v>110</v>
      </c>
      <c r="E112" t="str">
        <f>Companies!E142</f>
        <v>Series A</v>
      </c>
      <c r="F112">
        <f>Companies!F142</f>
        <v>23.5</v>
      </c>
      <c r="G112" t="str">
        <f>Companies!H142</f>
        <v>Productivity tool, note-taking</v>
      </c>
      <c r="H112" t="str">
        <f>Companies!I142</f>
        <v>Dennis Xu, Kevin Moody</v>
      </c>
      <c r="I112" t="str">
        <f>Companies!J142</f>
        <v>Enterprise</v>
      </c>
      <c r="J112" t="str">
        <f>Companies!K142</f>
        <v>Tool</v>
      </c>
      <c r="K112">
        <f>Companies!L142</f>
        <v>44292</v>
      </c>
      <c r="L112">
        <f>Companies!M142</f>
        <v>0</v>
      </c>
      <c r="M112" t="str">
        <f>Companies!N142</f>
        <v>OpenAI, Oana Olteanu, Firestream Ventures, Material V</v>
      </c>
      <c r="N112" t="str">
        <f>Companies!O142</f>
        <v>Seed</v>
      </c>
      <c r="O112">
        <f>Companies!P142</f>
        <v>5.6</v>
      </c>
      <c r="P112" t="str">
        <f>Companies!Q142</f>
        <v xml:space="preserve">a16z, Unusual Ventures, The Todd &amp; Rahul Angel Fund, Shrug Capital, Floodgate, Dreamers VC, a16z Cultural Leadership Fund, Tony Liu, Todd Goldberg, Rahul Vohra, Lenny Rachitsky, Julia Lipton, Harry Stebbings, </v>
      </c>
    </row>
    <row r="113" spans="2:16">
      <c r="B113" t="str">
        <f>Companies!B143</f>
        <v>Neo Cybernetica</v>
      </c>
      <c r="C113" t="str">
        <f>Companies!C143</f>
        <v>Private</v>
      </c>
      <c r="D113">
        <f>Companies!D143</f>
        <v>100</v>
      </c>
      <c r="E113" t="str">
        <f>Companies!E143</f>
        <v>Seed</v>
      </c>
      <c r="F113">
        <f>Companies!F143</f>
        <v>30</v>
      </c>
      <c r="G113" t="str">
        <f>Companies!H143</f>
        <v>Stealth</v>
      </c>
      <c r="H113" t="str">
        <f>Companies!I143</f>
        <v>Jeremy Achin, Dmytro Zahanych</v>
      </c>
      <c r="I113" t="str">
        <f>Companies!J143</f>
        <v>Stealth</v>
      </c>
      <c r="J113" t="str">
        <f>Companies!K143</f>
        <v>Robotics</v>
      </c>
      <c r="K113">
        <f>Companies!L143</f>
        <v>2021</v>
      </c>
      <c r="L113">
        <f>Companies!M143</f>
        <v>0</v>
      </c>
      <c r="M113" t="str">
        <f>Companies!N143</f>
        <v>NEA, Open Field Capital, B5 Capital, Cortical Ventures</v>
      </c>
      <c r="N113" t="str">
        <f>Companies!O143</f>
        <v>N/A</v>
      </c>
      <c r="O113" t="str">
        <f>Companies!P143</f>
        <v>N/A</v>
      </c>
      <c r="P113" t="str">
        <f>Companies!Q143</f>
        <v>N/A</v>
      </c>
    </row>
    <row r="114" spans="2:16">
      <c r="B114" t="str">
        <f>Companies!B144</f>
        <v>Merlyn Mind</v>
      </c>
      <c r="C114" t="str">
        <f>Companies!C144</f>
        <v>Private</v>
      </c>
      <c r="D114">
        <f>Companies!D144</f>
        <v>100</v>
      </c>
      <c r="E114" t="str">
        <f>Companies!E144</f>
        <v>N/A</v>
      </c>
      <c r="F114">
        <f>Companies!F144</f>
        <v>29</v>
      </c>
      <c r="G114" t="str">
        <f>Companies!H144</f>
        <v>Robots for teachers</v>
      </c>
      <c r="H114" t="str">
        <f>Companies!I144</f>
        <v>Satya Nitta</v>
      </c>
      <c r="I114" t="str">
        <f>Companies!J144</f>
        <v>Enterprise</v>
      </c>
      <c r="J114" t="str">
        <f>Companies!K144</f>
        <v>Hardware</v>
      </c>
      <c r="K114">
        <f>Companies!L144</f>
        <v>43344</v>
      </c>
      <c r="L114">
        <f>Companies!M144</f>
        <v>0</v>
      </c>
      <c r="M114" t="str">
        <f>Companies!N144</f>
        <v>Learn Capital</v>
      </c>
      <c r="N114" t="str">
        <f>Companies!O144</f>
        <v>N/A</v>
      </c>
      <c r="O114" t="str">
        <f>Companies!P144</f>
        <v>N/A</v>
      </c>
      <c r="P114" t="str">
        <f>Companies!Q144</f>
        <v>N/A</v>
      </c>
    </row>
    <row r="115" spans="2:16">
      <c r="B115" t="str">
        <f>Companies!B145</f>
        <v>Upstage AI</v>
      </c>
      <c r="C115" t="str">
        <f>Companies!C145</f>
        <v>Private</v>
      </c>
      <c r="D115">
        <f>Companies!D145</f>
        <v>100</v>
      </c>
      <c r="E115" t="str">
        <f>Companies!E145</f>
        <v>Series A</v>
      </c>
      <c r="F115">
        <f>Companies!F145</f>
        <v>28</v>
      </c>
      <c r="G115" t="str">
        <f>Companies!H145</f>
        <v>Consumer AI</v>
      </c>
      <c r="H115">
        <f>Companies!I145</f>
        <v>0</v>
      </c>
      <c r="I115" t="str">
        <f>Companies!J145</f>
        <v>Diverse</v>
      </c>
      <c r="J115" t="str">
        <f>Companies!K145</f>
        <v>Diverse</v>
      </c>
      <c r="K115" t="str">
        <f>Companies!L145</f>
        <v>2020</v>
      </c>
      <c r="L115">
        <f>Companies!M145</f>
        <v>0</v>
      </c>
      <c r="M115" t="str">
        <f>Companies!N145</f>
        <v>Softbank Ventures Asia, Company K Partners, Stonebridge Capital, TBT, Primer Sazze Partners, Premier Partners</v>
      </c>
      <c r="N115" t="str">
        <f>Companies!O145</f>
        <v>N/A</v>
      </c>
      <c r="O115" t="str">
        <f>Companies!P145</f>
        <v>N/A</v>
      </c>
      <c r="P115" t="str">
        <f>Companies!Q145</f>
        <v>N/A</v>
      </c>
    </row>
    <row r="116" spans="2:16">
      <c r="B116" t="str">
        <f>Companies!B146</f>
        <v>ExpressSteuer</v>
      </c>
      <c r="C116" t="str">
        <f>Companies!C146</f>
        <v>Private</v>
      </c>
      <c r="D116">
        <f>Companies!D146</f>
        <v>100</v>
      </c>
      <c r="E116" t="str">
        <f>Companies!E146</f>
        <v>Series A</v>
      </c>
      <c r="F116">
        <f>Companies!F146</f>
        <v>28</v>
      </c>
      <c r="G116" t="str">
        <f>Companies!H146</f>
        <v>German Tax returns</v>
      </c>
      <c r="H116">
        <f>Companies!I146</f>
        <v>0</v>
      </c>
      <c r="I116" t="str">
        <f>Companies!J146</f>
        <v>Consumer</v>
      </c>
      <c r="J116" t="str">
        <f>Companies!K146</f>
        <v>Taxes</v>
      </c>
      <c r="K116">
        <f>Companies!L146</f>
        <v>43556</v>
      </c>
      <c r="L116">
        <f>Companies!M146</f>
        <v>0</v>
      </c>
      <c r="M116" t="str">
        <f>Companies!N146</f>
        <v>Project A Ventures, Insight Partners, Mountain Partners, Feliks Eyser</v>
      </c>
      <c r="N116" t="str">
        <f>Companies!O146</f>
        <v>Seed</v>
      </c>
      <c r="O116">
        <f>Companies!P146</f>
        <v>5</v>
      </c>
      <c r="P116" t="str">
        <f>Companies!Q146</f>
        <v>Tim Stracke, Kai Hansen, Christian Wenger, Aurelia Ventures</v>
      </c>
    </row>
    <row r="117" spans="2:16">
      <c r="B117" t="str">
        <f>Companies!B147</f>
        <v>Rad AI</v>
      </c>
      <c r="C117" t="str">
        <f>Companies!C147</f>
        <v>Private</v>
      </c>
      <c r="D117">
        <f>Companies!D147</f>
        <v>100</v>
      </c>
      <c r="E117" t="str">
        <f>Companies!E147</f>
        <v>Series A</v>
      </c>
      <c r="F117">
        <f>Companies!F147</f>
        <v>25</v>
      </c>
      <c r="G117" t="str">
        <f>Companies!H147</f>
        <v>Radiology automation</v>
      </c>
      <c r="H117" t="str">
        <f>Companies!I147</f>
        <v>Doktor Gurson, Jeff Chang</v>
      </c>
      <c r="I117" t="str">
        <f>Companies!J147</f>
        <v>Enterprise</v>
      </c>
      <c r="J117" t="str">
        <f>Companies!K147</f>
        <v>Healthcare</v>
      </c>
      <c r="K117">
        <f>Companies!L147</f>
        <v>2018</v>
      </c>
      <c r="L117">
        <f>Companies!M147</f>
        <v>0</v>
      </c>
      <c r="M117" t="str">
        <f>Companies!N147</f>
        <v>Artis Ventures, Santa Barbara Venture Partners, Quarry, OCV, Kickstart, Gradient Ventures, City Light Capital</v>
      </c>
      <c r="N117" t="str">
        <f>Companies!O147</f>
        <v>Seed</v>
      </c>
      <c r="O117">
        <f>Companies!P147</f>
        <v>8</v>
      </c>
      <c r="P117" t="str">
        <f>Companies!Q147</f>
        <v>Kickstart, Gradient, UP2398, Precursor, Hike Ventures, Harmonix Fund, Fifty Years, City Light, GMO VenturePartners, Array Ventures, Immad Akhund</v>
      </c>
    </row>
    <row r="118" spans="2:16">
      <c r="B118" t="str">
        <f>Companies!B148</f>
        <v>Keen Technologies</v>
      </c>
      <c r="C118" t="str">
        <f>Companies!C148</f>
        <v>Private</v>
      </c>
      <c r="D118">
        <f>Companies!D148</f>
        <v>100</v>
      </c>
      <c r="E118" t="str">
        <f>Companies!E148</f>
        <v>Seed</v>
      </c>
      <c r="F118">
        <f>Companies!F148</f>
        <v>20</v>
      </c>
      <c r="G118" t="str">
        <f>Companies!H148</f>
        <v>AGI</v>
      </c>
      <c r="H118" t="str">
        <f>Companies!I148</f>
        <v>John Carmack</v>
      </c>
      <c r="I118" t="str">
        <f>Companies!J148</f>
        <v>Enterprise</v>
      </c>
      <c r="J118" t="str">
        <f>Companies!K148</f>
        <v>AGI</v>
      </c>
      <c r="K118" t="str">
        <f>Companies!L148</f>
        <v>2019?</v>
      </c>
      <c r="L118" t="str">
        <f>Companies!M148</f>
        <v>No official announcement</v>
      </c>
      <c r="M118" t="str">
        <f>Companies!N148</f>
        <v>Nat Friedman, Daniel Gross, Patrick Collison, Tobi Lutke, Sequoia, Capital Factory, Jim Keller</v>
      </c>
      <c r="N118" t="str">
        <f>Companies!O148</f>
        <v>N/A</v>
      </c>
      <c r="O118" t="str">
        <f>Companies!P148</f>
        <v>N/A</v>
      </c>
      <c r="P118" t="str">
        <f>Companies!Q148</f>
        <v>N/A</v>
      </c>
    </row>
    <row r="119" spans="2:16">
      <c r="B119" t="str">
        <f>Companies!B149</f>
        <v>Aleph Alpha</v>
      </c>
      <c r="C119" t="str">
        <f>Companies!C149</f>
        <v>Private</v>
      </c>
      <c r="D119">
        <f>Companies!D149</f>
        <v>100</v>
      </c>
      <c r="E119" t="str">
        <f>Companies!E149</f>
        <v>Series A</v>
      </c>
      <c r="F119">
        <f>Companies!F149</f>
        <v>25</v>
      </c>
      <c r="G119" t="str">
        <f>Companies!H149</f>
        <v>LLMs</v>
      </c>
      <c r="H119" t="str">
        <f>Companies!I149</f>
        <v>Jonas Andrulis, Samuel Weinbach</v>
      </c>
      <c r="I119" t="str">
        <f>Companies!J149</f>
        <v>Tool</v>
      </c>
      <c r="J119" t="str">
        <f>Companies!K149</f>
        <v>Language Model</v>
      </c>
      <c r="K119">
        <f>Companies!L149</f>
        <v>43496</v>
      </c>
      <c r="L119">
        <f>Companies!M149</f>
        <v>0</v>
      </c>
      <c r="M119" t="str">
        <f>Companies!N149</f>
        <v>UVC Partners, Earlybird Venture Capital, Lakestar, LEA Partners, Cavalry Ventures, 468 Capital</v>
      </c>
      <c r="N119" t="str">
        <f>Companies!O149</f>
        <v>Seed</v>
      </c>
      <c r="O119" t="str">
        <f>Companies!P149</f>
        <v>LEA Partners, Cavalry Ventures, 468 Capital, Public</v>
      </c>
      <c r="P119" t="str">
        <f>Companies!Q149</f>
        <v>N/A</v>
      </c>
    </row>
    <row r="120" spans="2:16">
      <c r="B120" t="str">
        <f>Companies!B150</f>
        <v>Aible</v>
      </c>
      <c r="C120" t="str">
        <f>Companies!C150</f>
        <v>Private</v>
      </c>
      <c r="D120">
        <f>Companies!D150</f>
        <v>100</v>
      </c>
      <c r="E120" t="str">
        <f>Companies!E150</f>
        <v>N/A</v>
      </c>
      <c r="F120">
        <f>Companies!F150</f>
        <v>26</v>
      </c>
      <c r="G120" t="str">
        <f>Companies!H150</f>
        <v>Enterprise Analytics</v>
      </c>
      <c r="H120">
        <f>Companies!I150</f>
        <v>0</v>
      </c>
      <c r="I120" t="str">
        <f>Companies!J150</f>
        <v>Enterprise</v>
      </c>
      <c r="J120" t="str">
        <f>Companies!K150</f>
        <v>Business Intelligence</v>
      </c>
      <c r="K120">
        <f>Companies!L150</f>
        <v>43374</v>
      </c>
      <c r="L120">
        <f>Companies!M150</f>
        <v>0</v>
      </c>
      <c r="M120" t="str">
        <f>Companies!N150</f>
        <v>N/A</v>
      </c>
      <c r="N120" t="str">
        <f>Companies!O150</f>
        <v>N/A</v>
      </c>
      <c r="O120" t="str">
        <f>Companies!P150</f>
        <v>N/A</v>
      </c>
      <c r="P120" t="str">
        <f>Companies!Q150</f>
        <v>N/A</v>
      </c>
    </row>
    <row r="121" spans="2:16">
      <c r="B121" t="str">
        <f>Companies!B151</f>
        <v>Surge AI</v>
      </c>
      <c r="C121" t="str">
        <f>Companies!C151</f>
        <v>Private</v>
      </c>
      <c r="D121">
        <f>Companies!D151</f>
        <v>100</v>
      </c>
      <c r="E121" t="str">
        <f>Companies!E151</f>
        <v>Series A</v>
      </c>
      <c r="F121">
        <f>Companies!F151</f>
        <v>25</v>
      </c>
      <c r="G121" t="str">
        <f>Companies!H151</f>
        <v>Labeling</v>
      </c>
      <c r="H121" t="str">
        <f>Companies!I151</f>
        <v>Edwin Chen</v>
      </c>
      <c r="I121" t="str">
        <f>Companies!J151</f>
        <v>Tool</v>
      </c>
      <c r="J121" t="str">
        <f>Companies!K151</f>
        <v>MLOps</v>
      </c>
      <c r="K121" t="str">
        <f>Companies!L151</f>
        <v>2020</v>
      </c>
      <c r="L121">
        <f>Companies!M151</f>
        <v>0</v>
      </c>
      <c r="M121" t="str">
        <f>Companies!N151</f>
        <v>N/A</v>
      </c>
      <c r="N121" t="str">
        <f>Companies!O151</f>
        <v>N/A</v>
      </c>
      <c r="O121" t="str">
        <f>Companies!P151</f>
        <v>N/A</v>
      </c>
      <c r="P121" t="str">
        <f>Companies!Q151</f>
        <v>N/A</v>
      </c>
    </row>
    <row r="122" spans="2:16">
      <c r="B122" t="str">
        <f>Companies!B152</f>
        <v>Predibase</v>
      </c>
      <c r="C122" t="str">
        <f>Companies!C152</f>
        <v>Private</v>
      </c>
      <c r="D122">
        <f>Companies!D152</f>
        <v>100</v>
      </c>
      <c r="E122" t="str">
        <f>Companies!E152</f>
        <v>Series A</v>
      </c>
      <c r="F122">
        <f>Companies!F152</f>
        <v>28.5</v>
      </c>
      <c r="G122" t="str">
        <f>Companies!H152</f>
        <v>"Alternative to AutoML", low-code declarative ML platform</v>
      </c>
      <c r="H122" t="str">
        <f>Companies!I152</f>
        <v>Devvret Rishi</v>
      </c>
      <c r="I122" t="str">
        <f>Companies!J152</f>
        <v>Enterprise</v>
      </c>
      <c r="J122" t="str">
        <f>Companies!K152</f>
        <v>MLOps</v>
      </c>
      <c r="K122">
        <f>Companies!L152</f>
        <v>2021</v>
      </c>
      <c r="L122">
        <f>Companies!M152</f>
        <v>0</v>
      </c>
      <c r="M122" t="str">
        <f>Companies!N152</f>
        <v>Felicis, Sancus Ventures, Greylock, Factory, Zoubin Gharamani, Yi Wang, Varun Badhwar, Remi El-Ouazzane, Ben Hamner, Anthony Goldbloomb</v>
      </c>
      <c r="N122" t="str">
        <f>Companies!O152</f>
        <v>N/A</v>
      </c>
      <c r="O122" t="str">
        <f>Companies!P152</f>
        <v>N/A</v>
      </c>
      <c r="P122" t="str">
        <f>Companies!Q152</f>
        <v>N/A</v>
      </c>
    </row>
    <row r="123" spans="2:16">
      <c r="B123" t="str">
        <f>Companies!B153</f>
        <v>Curai Health</v>
      </c>
      <c r="C123" t="str">
        <f>Companies!C153</f>
        <v>Private</v>
      </c>
      <c r="D123">
        <f>Companies!D153</f>
        <v>100</v>
      </c>
      <c r="E123" t="str">
        <f>Companies!E153</f>
        <v>Series B</v>
      </c>
      <c r="F123">
        <f>Companies!F153</f>
        <v>27.5</v>
      </c>
      <c r="G123" t="str">
        <f>Companies!H153</f>
        <v>Chatbot?</v>
      </c>
      <c r="H123" t="str">
        <f>Companies!I153</f>
        <v>Neal Khosla</v>
      </c>
      <c r="I123" t="str">
        <f>Companies!J153</f>
        <v>Consumer</v>
      </c>
      <c r="J123" t="str">
        <f>Companies!K153</f>
        <v>Health</v>
      </c>
      <c r="K123">
        <f>Companies!L153</f>
        <v>2017</v>
      </c>
      <c r="L123" t="str">
        <f>Companies!M153</f>
        <v>Pre-LLM chatbot? Running out of $?</v>
      </c>
      <c r="M123" t="str">
        <f>Companies!N153</f>
        <v>Morningside Venture Investments, Khosla Ventures, General Catalyst</v>
      </c>
      <c r="N123" t="str">
        <f>Companies!O153</f>
        <v>Series A</v>
      </c>
      <c r="O123">
        <f>Companies!P153</f>
        <v>10.7</v>
      </c>
      <c r="P123" t="str">
        <f>Companies!Q153</f>
        <v>Khosla, General Catalyst, Civilization Ventures</v>
      </c>
    </row>
    <row r="124" spans="2:16">
      <c r="B124" t="str">
        <f>Companies!B154</f>
        <v>AXON Networks</v>
      </c>
      <c r="C124" t="str">
        <f>Companies!C154</f>
        <v>Private</v>
      </c>
      <c r="D124">
        <f>Companies!D154</f>
        <v>100</v>
      </c>
      <c r="E124" t="str">
        <f>Companies!E154</f>
        <v>Series A</v>
      </c>
      <c r="F124">
        <f>Companies!F154</f>
        <v>27</v>
      </c>
      <c r="G124" t="str">
        <f>Companies!H154</f>
        <v>Networking</v>
      </c>
      <c r="H124">
        <f>Companies!I154</f>
        <v>0</v>
      </c>
      <c r="I124" t="str">
        <f>Companies!J154</f>
        <v>Tool</v>
      </c>
      <c r="J124" t="str">
        <f>Companies!K154</f>
        <v>Orchestration</v>
      </c>
      <c r="K124">
        <f>Companies!L154</f>
        <v>2021</v>
      </c>
      <c r="L124">
        <f>Companies!M154</f>
        <v>0</v>
      </c>
      <c r="M124" t="str">
        <f>Companies!N154</f>
        <v>N/A</v>
      </c>
      <c r="N124" t="str">
        <f>Companies!O154</f>
        <v>N/A</v>
      </c>
      <c r="O124" t="str">
        <f>Companies!P154</f>
        <v>N/A</v>
      </c>
      <c r="P124" t="str">
        <f>Companies!Q154</f>
        <v>N/A</v>
      </c>
    </row>
    <row r="125" spans="2:16">
      <c r="B125" t="str">
        <f>Companies!B155</f>
        <v>Speak (usespeak.com) or speak.com?</v>
      </c>
      <c r="C125" t="str">
        <f>Companies!C155</f>
        <v>Private</v>
      </c>
      <c r="D125">
        <f>Companies!D155</f>
        <v>100</v>
      </c>
      <c r="E125" t="str">
        <f>Companies!E155</f>
        <v>Series B</v>
      </c>
      <c r="F125">
        <f>Companies!F155</f>
        <v>27</v>
      </c>
      <c r="G125" t="str">
        <f>Companies!H155</f>
        <v>English teacher</v>
      </c>
      <c r="H125" t="str">
        <f>Companies!I155</f>
        <v>Connor Zwick</v>
      </c>
      <c r="I125" t="str">
        <f>Companies!J155</f>
        <v>Consumer</v>
      </c>
      <c r="J125" t="str">
        <f>Companies!K155</f>
        <v>Education</v>
      </c>
      <c r="K125">
        <f>Companies!L155</f>
        <v>2016</v>
      </c>
      <c r="L125">
        <f>Companies!M155</f>
        <v>0</v>
      </c>
      <c r="M125" t="str">
        <f>Companies!N155</f>
        <v>OpenAI, Lachy Groom, Justin Mateen, Josh Buckley, Gokul Rajaram, Buckley Ventures, Founders Fund</v>
      </c>
      <c r="N125" t="str">
        <f>Companies!O155</f>
        <v>Series A</v>
      </c>
      <c r="O125">
        <f>Companies!P155</f>
        <v>11</v>
      </c>
      <c r="P125" t="str">
        <f>Companies!Q155</f>
        <v>Justin Mateen, JAM Fund</v>
      </c>
    </row>
    <row r="126" spans="2:16">
      <c r="B126" t="str">
        <f>Companies!B156</f>
        <v>Heartex</v>
      </c>
      <c r="C126" t="str">
        <f>Companies!C156</f>
        <v>Private</v>
      </c>
      <c r="D126">
        <f>Companies!D156</f>
        <v>100</v>
      </c>
      <c r="E126" t="str">
        <f>Companies!E156</f>
        <v>Series A</v>
      </c>
      <c r="F126">
        <f>Companies!F156</f>
        <v>25</v>
      </c>
      <c r="G126" t="str">
        <f>Companies!H156</f>
        <v>Labeling</v>
      </c>
      <c r="H126" t="str">
        <f>Companies!I156</f>
        <v>Michael Malyuk</v>
      </c>
      <c r="I126" t="str">
        <f>Companies!J156</f>
        <v>Tool</v>
      </c>
      <c r="J126" t="str">
        <f>Companies!K156</f>
        <v>MLOps</v>
      </c>
      <c r="K126" t="str">
        <f>Companies!L156</f>
        <v>2019</v>
      </c>
      <c r="L126">
        <f>Companies!M156</f>
        <v>0</v>
      </c>
      <c r="M126" t="str">
        <f>Companies!N156</f>
        <v>Redpoint, Swift Ventures, Bow Capital, Unusual Ventures</v>
      </c>
      <c r="N126" t="str">
        <f>Companies!O156</f>
        <v>N/A</v>
      </c>
      <c r="O126" t="str">
        <f>Companies!P156</f>
        <v>N/A</v>
      </c>
      <c r="P126" t="str">
        <f>Companies!Q156</f>
        <v>N/A</v>
      </c>
    </row>
    <row r="127" spans="2:16">
      <c r="B127" t="str">
        <f>Companies!B157</f>
        <v>Exafunction</v>
      </c>
      <c r="C127" t="str">
        <f>Companies!C157</f>
        <v>Private</v>
      </c>
      <c r="D127">
        <f>Companies!D157</f>
        <v>100</v>
      </c>
      <c r="E127" t="str">
        <f>Companies!E157</f>
        <v>Series A</v>
      </c>
      <c r="F127">
        <f>Companies!F157</f>
        <v>25</v>
      </c>
      <c r="G127" t="str">
        <f>Companies!H157</f>
        <v>GPUs</v>
      </c>
      <c r="H127" t="str">
        <f>Companies!I157</f>
        <v>Varun Mohan</v>
      </c>
      <c r="I127" t="str">
        <f>Companies!J157</f>
        <v>Tool</v>
      </c>
      <c r="J127" t="str">
        <f>Companies!K157</f>
        <v>MLOps</v>
      </c>
      <c r="K127">
        <f>Companies!L157</f>
        <v>2021</v>
      </c>
      <c r="L127">
        <f>Companies!M157</f>
        <v>0</v>
      </c>
      <c r="M127" t="str">
        <f>Companies!N157</f>
        <v>Greenoaks, Founders Fund</v>
      </c>
      <c r="N127" t="str">
        <f>Companies!O157</f>
        <v>Seed</v>
      </c>
      <c r="O127">
        <f>Companies!P157</f>
        <v>3</v>
      </c>
      <c r="P127" t="str">
        <f>Companies!Q157</f>
        <v>Greenoaks, Carlos Delatorre, Howie Liu, Nitesh Banta, Richard Socher, Sahir Azam, Spencer Kimball</v>
      </c>
    </row>
    <row r="128" spans="2:16">
      <c r="B128" t="str">
        <f>Companies!B158</f>
        <v>Kili Technology</v>
      </c>
      <c r="C128" t="str">
        <f>Companies!C158</f>
        <v>Private</v>
      </c>
      <c r="D128">
        <f>Companies!D158</f>
        <v>100</v>
      </c>
      <c r="E128" t="str">
        <f>Companies!E158</f>
        <v>Series A</v>
      </c>
      <c r="F128">
        <f>Companies!F158</f>
        <v>25</v>
      </c>
      <c r="G128" t="str">
        <f>Companies!H158</f>
        <v>Data Cleaning</v>
      </c>
      <c r="H128" t="str">
        <f>Companies!I158</f>
        <v>Francois-Xavier Leduc</v>
      </c>
      <c r="I128" t="str">
        <f>Companies!J158</f>
        <v>Tool</v>
      </c>
      <c r="J128" t="str">
        <f>Companies!K158</f>
        <v>MLOps</v>
      </c>
      <c r="K128">
        <f>Companies!L158</f>
        <v>43435</v>
      </c>
      <c r="L128">
        <f>Companies!M158</f>
        <v>0</v>
      </c>
      <c r="M128" t="str">
        <f>Companies!N158</f>
        <v>Balderton Capital, Serena, Headline, Chris Schagen, Dimitri Sirota, Financiere Saint James, Olivier Pailhes</v>
      </c>
      <c r="N128" t="str">
        <f>Companies!O158</f>
        <v>Seed</v>
      </c>
      <c r="O128">
        <f>Companies!P158</f>
        <v>6</v>
      </c>
      <c r="P128" t="str">
        <f>Companies!Q158</f>
        <v>Headline, Stanislas de Bentzmann, Gus Robertson, Financiere Saint James, Olivier Pomel, Serena</v>
      </c>
    </row>
    <row r="129" spans="2:16">
      <c r="B129" t="str">
        <f>Companies!B159</f>
        <v>Aiola</v>
      </c>
      <c r="C129" t="str">
        <f>Companies!C159</f>
        <v>Private</v>
      </c>
      <c r="D129">
        <f>Companies!D159</f>
        <v>100</v>
      </c>
      <c r="E129" t="str">
        <f>Companies!E159</f>
        <v>Series A</v>
      </c>
      <c r="F129">
        <f>Companies!F159</f>
        <v>25</v>
      </c>
      <c r="G129" t="str">
        <f>Companies!H159</f>
        <v>Manufacturing NLP</v>
      </c>
      <c r="H129" t="str">
        <f>Companies!I159</f>
        <v>Guy Ernest</v>
      </c>
      <c r="I129" t="str">
        <f>Companies!J159</f>
        <v>Enterprise</v>
      </c>
      <c r="J129" t="str">
        <f>Companies!K159</f>
        <v>Voice</v>
      </c>
      <c r="K129" t="str">
        <f>Companies!L159</f>
        <v>2020</v>
      </c>
      <c r="L129">
        <f>Companies!M159</f>
        <v>0</v>
      </c>
      <c r="M129" t="str">
        <f>Companies!N159</f>
        <v>New Era Capital, Hamilton Lane</v>
      </c>
      <c r="N129" t="str">
        <f>Companies!O159</f>
        <v>Seed</v>
      </c>
      <c r="O129">
        <f>Companies!P159</f>
        <v>5</v>
      </c>
      <c r="P129" t="str">
        <f>Companies!Q159</f>
        <v>SAP.iO</v>
      </c>
    </row>
    <row r="130" spans="2:16">
      <c r="B130" t="str">
        <f>Companies!B160</f>
        <v>TruEra</v>
      </c>
      <c r="C130" t="str">
        <f>Companies!C160</f>
        <v>Private</v>
      </c>
      <c r="D130">
        <f>Companies!D160</f>
        <v>100</v>
      </c>
      <c r="E130" t="str">
        <f>Companies!E160</f>
        <v>Series B</v>
      </c>
      <c r="F130">
        <f>Companies!F160</f>
        <v>25</v>
      </c>
      <c r="G130" t="str">
        <f>Companies!H160</f>
        <v>TruLens</v>
      </c>
      <c r="H130" t="str">
        <f>Companies!I160</f>
        <v>Anupam Datta, Shayak Sen, Will Uppington</v>
      </c>
      <c r="I130" t="str">
        <f>Companies!J160</f>
        <v>Tool</v>
      </c>
      <c r="J130" t="str">
        <f>Companies!K160</f>
        <v>MLOps</v>
      </c>
      <c r="K130" t="str">
        <f>Companies!L160</f>
        <v>2019</v>
      </c>
      <c r="L130">
        <f>Companies!M160</f>
        <v>0</v>
      </c>
      <c r="M130" t="str">
        <f>Companies!N160</f>
        <v>Menlo Ventures, Wing Venture Capital, Harpoon, Greylock, Forgepoint Capital, Data Community Fund, Conversion Capital, B Capital Group</v>
      </c>
      <c r="N130" t="str">
        <f>Companies!O160</f>
        <v>Series A</v>
      </c>
      <c r="O130">
        <f>Companies!P160</f>
        <v>12.2</v>
      </c>
      <c r="P130" t="str">
        <f>Companies!Q160</f>
        <v>Wing Venture Capital, Harpoon, Greylock, Data Community Fund, Conversion Capital, B Capital Group</v>
      </c>
    </row>
    <row r="131" spans="2:16">
      <c r="B131" t="str">
        <f>Companies!B161</f>
        <v>Aporia</v>
      </c>
      <c r="C131" t="str">
        <f>Companies!C161</f>
        <v>Private</v>
      </c>
      <c r="D131">
        <f>Companies!D161</f>
        <v>100</v>
      </c>
      <c r="E131" t="str">
        <f>Companies!E161</f>
        <v>Series A</v>
      </c>
      <c r="F131">
        <f>Companies!F161</f>
        <v>25</v>
      </c>
      <c r="G131" t="str">
        <f>Companies!H161</f>
        <v>Observability &amp; Monitoring</v>
      </c>
      <c r="H131" t="str">
        <f>Companies!I161</f>
        <v>Alon Gubkin, Liran Hason</v>
      </c>
      <c r="I131" t="str">
        <f>Companies!J161</f>
        <v>Tool</v>
      </c>
      <c r="J131" t="str">
        <f>Companies!K161</f>
        <v>MLOps</v>
      </c>
      <c r="K131">
        <f>Companies!L161</f>
        <v>43709</v>
      </c>
      <c r="L131">
        <f>Companies!M161</f>
        <v>0</v>
      </c>
      <c r="M131" t="str">
        <f>Companies!N161</f>
        <v>Tiger, Vertex Ventures, TLV Partners, Tal Ventures, Samsung NEXT</v>
      </c>
      <c r="N131" t="str">
        <f>Companies!O161</f>
        <v>Seed</v>
      </c>
      <c r="O131">
        <f>Companies!P161</f>
        <v>5</v>
      </c>
      <c r="P131" t="str">
        <f>Companies!Q161</f>
        <v>Vertex Ventures, TLV Partners, Yevgeny Dibrov, Nadir Izrael, Gili Raanan</v>
      </c>
    </row>
    <row r="132" spans="2:16">
      <c r="B132" t="str">
        <f>Companies!B162</f>
        <v>CLARA Analytics</v>
      </c>
      <c r="C132" t="str">
        <f>Companies!C162</f>
        <v>Private</v>
      </c>
      <c r="D132">
        <f>Companies!D162</f>
        <v>100</v>
      </c>
      <c r="E132" t="str">
        <f>Companies!E162</f>
        <v>Series B</v>
      </c>
      <c r="F132">
        <f>Companies!F162</f>
        <v>25</v>
      </c>
      <c r="G132" t="str">
        <f>Companies!H162</f>
        <v>Insurance</v>
      </c>
      <c r="H132" t="str">
        <f>Companies!I162</f>
        <v>Jayant Lakshmikanthan</v>
      </c>
      <c r="I132" t="str">
        <f>Companies!J162</f>
        <v>Enterprise</v>
      </c>
      <c r="J132" t="str">
        <f>Companies!K162</f>
        <v>Insurance</v>
      </c>
      <c r="K132">
        <f>Companies!L162</f>
        <v>2016</v>
      </c>
      <c r="L132">
        <f>Companies!M162</f>
        <v>0</v>
      </c>
      <c r="M132" t="str">
        <f>Companies!N162</f>
        <v>Aspen Capital Group, Oak HC/FT</v>
      </c>
      <c r="N132" t="str">
        <f>Companies!O162</f>
        <v>Series A</v>
      </c>
      <c r="O132">
        <f>Companies!P162</f>
        <v>11.5</v>
      </c>
      <c r="P132" t="str">
        <f>Companies!Q162</f>
        <v>Oak HC/FT</v>
      </c>
    </row>
    <row r="133" spans="2:16">
      <c r="B133" t="str">
        <f>Companies!B163</f>
        <v>Deci AI</v>
      </c>
      <c r="C133" t="str">
        <f>Companies!C163</f>
        <v>Private</v>
      </c>
      <c r="D133">
        <f>Companies!D163</f>
        <v>100</v>
      </c>
      <c r="E133" t="str">
        <f>Companies!E163</f>
        <v>Series B</v>
      </c>
      <c r="F133">
        <f>Companies!F163</f>
        <v>25</v>
      </c>
      <c r="G133" t="str">
        <f>Companies!H163</f>
        <v>Hardware Platform</v>
      </c>
      <c r="H133" t="str">
        <f>Companies!I163</f>
        <v>Jonathan Elial, Ran El-Yaniv, Yonatan Geifman</v>
      </c>
      <c r="I133" t="str">
        <f>Companies!J163</f>
        <v>Tool</v>
      </c>
      <c r="J133" t="str">
        <f>Companies!K163</f>
        <v>MLOps</v>
      </c>
      <c r="K133" t="str">
        <f>Companies!L163</f>
        <v>2019</v>
      </c>
      <c r="L133">
        <f>Companies!M163</f>
        <v>0</v>
      </c>
      <c r="M133" t="str">
        <f>Companies!N163</f>
        <v>Square Peg Capital, Jibe Ventures, Insight Partners, ICON - Israel Collaboration Network, Fort Ross Ventures, Emerge</v>
      </c>
      <c r="N133" t="str">
        <f>Companies!O163</f>
        <v>Series A</v>
      </c>
      <c r="O133">
        <f>Companies!P163</f>
        <v>21</v>
      </c>
      <c r="P133" t="str">
        <f>Companies!Q163</f>
        <v>Insight Partners, Vintage Investment Partners, Square Peg Capital, Samsung NEXT, Fort Ross Ventures, Emerge</v>
      </c>
    </row>
    <row r="134" spans="2:16">
      <c r="B134" t="str">
        <f>Companies!B164</f>
        <v>Workera</v>
      </c>
      <c r="C134" t="str">
        <f>Companies!C164</f>
        <v>Private</v>
      </c>
      <c r="D134">
        <f>Companies!D164</f>
        <v>100</v>
      </c>
      <c r="E134" t="str">
        <f>Companies!E164</f>
        <v>Series B</v>
      </c>
      <c r="F134">
        <f>Companies!F164</f>
        <v>23.5</v>
      </c>
      <c r="G134" t="str">
        <f>Companies!H164</f>
        <v>AI/ML skills testing/training</v>
      </c>
      <c r="H134" t="str">
        <f>Companies!I164</f>
        <v>James Lee, Kian Katanforoosh, Andrew Ng</v>
      </c>
      <c r="I134" t="str">
        <f>Companies!J164</f>
        <v>Enterprise</v>
      </c>
      <c r="J134" t="str">
        <f>Companies!K164</f>
        <v>Skills</v>
      </c>
      <c r="K134">
        <f>Companies!L164</f>
        <v>2019</v>
      </c>
      <c r="L134">
        <f>Companies!M164</f>
        <v>0</v>
      </c>
      <c r="M134" t="str">
        <f>Companies!N164</f>
        <v>Jump Capital, Sozo Ventures, Owl Ventures, NEA, AI Fund</v>
      </c>
      <c r="N134" t="str">
        <f>Companies!O164</f>
        <v>Series A</v>
      </c>
      <c r="O134">
        <f>Companies!P164</f>
        <v>16</v>
      </c>
      <c r="P134" t="str">
        <f>Companies!Q164</f>
        <v>NEA, Owl Ventures, Pieter Abbeel, Mehran Sahami, Lake Dai</v>
      </c>
    </row>
    <row r="135" spans="2:16">
      <c r="B135" t="str">
        <f>Companies!B165</f>
        <v>Conjecture</v>
      </c>
      <c r="C135" t="str">
        <f>Companies!C165</f>
        <v>Private</v>
      </c>
      <c r="D135">
        <f>Companies!D165</f>
        <v>100</v>
      </c>
      <c r="E135" t="str">
        <f>Companies!E165</f>
        <v>Seed</v>
      </c>
      <c r="F135">
        <f>Companies!F165</f>
        <v>25</v>
      </c>
      <c r="G135" t="str">
        <f>Companies!H165</f>
        <v>LULWUT</v>
      </c>
      <c r="H135" t="str">
        <f>Companies!I165</f>
        <v>Connor Leahy</v>
      </c>
      <c r="I135" t="str">
        <f>Companies!J165</f>
        <v>AI Safety</v>
      </c>
      <c r="J135" t="str">
        <f>Companies!K165</f>
        <v>AI Safety</v>
      </c>
      <c r="K135">
        <f>Companies!L165</f>
        <v>2022</v>
      </c>
      <c r="L135" t="str">
        <f>Companies!M165</f>
        <v>Pre-product</v>
      </c>
      <c r="M135" t="str">
        <f>Companies!N165</f>
        <v>Plural Platform, Metaplanet, Nat Friedman</v>
      </c>
      <c r="N135" t="str">
        <f>Companies!O165</f>
        <v>N/A</v>
      </c>
      <c r="O135" t="str">
        <f>Companies!P165</f>
        <v>N/A</v>
      </c>
      <c r="P135" t="str">
        <f>Companies!Q165</f>
        <v>N/A</v>
      </c>
    </row>
    <row r="136" spans="2:16">
      <c r="B136" t="str">
        <f>Companies!B166</f>
        <v>Phaidra</v>
      </c>
      <c r="C136" t="str">
        <f>Companies!C166</f>
        <v>Private</v>
      </c>
      <c r="D136">
        <f>Companies!D166</f>
        <v>100</v>
      </c>
      <c r="E136" t="str">
        <f>Companies!E166</f>
        <v>Series A</v>
      </c>
      <c r="F136">
        <f>Companies!F166</f>
        <v>25</v>
      </c>
      <c r="G136" t="str">
        <f>Companies!H166</f>
        <v>Industrial</v>
      </c>
      <c r="H136">
        <f>Companies!I166</f>
        <v>0</v>
      </c>
      <c r="I136" t="str">
        <f>Companies!J166</f>
        <v>Enterprise</v>
      </c>
      <c r="J136" t="str">
        <f>Companies!K166</f>
        <v>Plant</v>
      </c>
      <c r="K136" t="str">
        <f>Companies!L166</f>
        <v>2019</v>
      </c>
      <c r="L136">
        <f>Companies!M166</f>
        <v>0</v>
      </c>
      <c r="M136" t="str">
        <f>Companies!N166</f>
        <v>Starshot Capital, Vela Partners, Section 32, Root and Shoot Ventures, Mustafa Suleyman, Helena, Flying Fish Partners, Character, Ahren Innovation Capital</v>
      </c>
      <c r="N136" t="str">
        <f>Companies!O166</f>
        <v>Seed</v>
      </c>
      <c r="O136">
        <f>Companies!P166</f>
        <v>4</v>
      </c>
      <c r="P136" t="str">
        <f>Companies!Q166</f>
        <v>Flying Fish Partners, Starshot Capital, Section 32, Root and Shoot Partners, Outcomes Fund, Mark Cuban, Character</v>
      </c>
    </row>
    <row r="137" spans="2:16">
      <c r="B137" t="str">
        <f>Companies!B167</f>
        <v>Nr2</v>
      </c>
      <c r="C137" t="str">
        <f>Companies!C167</f>
        <v>Private</v>
      </c>
      <c r="D137">
        <f>Companies!D167</f>
        <v>100</v>
      </c>
      <c r="E137" t="str">
        <f>Companies!E167</f>
        <v>Seed</v>
      </c>
      <c r="F137">
        <f>Companies!F167</f>
        <v>22.4</v>
      </c>
      <c r="G137" t="str">
        <f>Companies!H167</f>
        <v>Asian startup search engine</v>
      </c>
      <c r="H137" t="str">
        <f>Companies!I167</f>
        <v>Jordan Monnet, Maxim Parr</v>
      </c>
      <c r="I137" t="str">
        <f>Companies!J167</f>
        <v>Enterprise</v>
      </c>
      <c r="J137" t="str">
        <f>Companies!K167</f>
        <v>Searching for investments for investors</v>
      </c>
      <c r="K137">
        <f>Companies!L167</f>
        <v>2019</v>
      </c>
      <c r="L137">
        <f>Companies!M167</f>
        <v>0</v>
      </c>
      <c r="M137" t="str">
        <f>Companies!N167</f>
        <v>Simon Robey, Jacob Rothschild</v>
      </c>
      <c r="N137" t="str">
        <f>Companies!O167</f>
        <v>N/A</v>
      </c>
      <c r="O137" t="str">
        <f>Companies!P167</f>
        <v>N/A</v>
      </c>
      <c r="P137" t="str">
        <f>Companies!Q167</f>
        <v>N/A</v>
      </c>
    </row>
    <row r="138" spans="2:16">
      <c r="B138" t="str">
        <f>Companies!B168</f>
        <v>Nabla</v>
      </c>
      <c r="C138" t="str">
        <f>Companies!C168</f>
        <v>Private</v>
      </c>
      <c r="D138">
        <f>Companies!D168</f>
        <v>100</v>
      </c>
      <c r="E138" t="str">
        <f>Companies!E168</f>
        <v>Series A</v>
      </c>
      <c r="F138">
        <f>Companies!F168</f>
        <v>21</v>
      </c>
      <c r="G138" t="str">
        <f>Companies!H168</f>
        <v>GPT-3, patient conversations</v>
      </c>
      <c r="H138" t="str">
        <f>Companies!I168</f>
        <v>Alexandre Lebrun, Delphine Groll, Martin Raison</v>
      </c>
      <c r="I138" t="str">
        <f>Companies!J168</f>
        <v>Enterprise</v>
      </c>
      <c r="J138" t="str">
        <f>Companies!K168</f>
        <v>Healthcare</v>
      </c>
      <c r="K138">
        <f>Companies!L168</f>
        <v>43282</v>
      </c>
      <c r="L138">
        <f>Companies!M168</f>
        <v>0</v>
      </c>
      <c r="M138" t="str">
        <f>Companies!N168</f>
        <v>N/A</v>
      </c>
      <c r="N138" t="str">
        <f>Companies!O168</f>
        <v>Seed</v>
      </c>
      <c r="O138" t="str">
        <f>Companies!P168</f>
        <v>N/A</v>
      </c>
      <c r="P138" t="str">
        <f>Companies!Q168</f>
        <v>Julien Codorniou</v>
      </c>
    </row>
    <row r="139" spans="2:16">
      <c r="B139" t="str">
        <f>Companies!B169</f>
        <v>Enlitic</v>
      </c>
      <c r="C139" t="str">
        <f>Companies!C169</f>
        <v>Private</v>
      </c>
      <c r="D139">
        <f>Companies!D169</f>
        <v>100</v>
      </c>
      <c r="E139" t="str">
        <f>Companies!E169</f>
        <v>Series B</v>
      </c>
      <c r="F139">
        <f>Companies!F169</f>
        <v>25</v>
      </c>
      <c r="G139" t="str">
        <f>Companies!H169</f>
        <v>Radiology/PACS</v>
      </c>
      <c r="H139" t="str">
        <f>Companies!I169</f>
        <v>Jeremy Howard, Kevin Lyman</v>
      </c>
      <c r="I139" t="str">
        <f>Companies!J169</f>
        <v>Enterprise</v>
      </c>
      <c r="J139" t="str">
        <f>Companies!K169</f>
        <v>Healthcare</v>
      </c>
      <c r="K139">
        <f>Companies!L169</f>
        <v>2014</v>
      </c>
      <c r="L139">
        <f>Companies!M169</f>
        <v>0</v>
      </c>
      <c r="M139" t="str">
        <f>Companies!N169</f>
        <v>Thorney Investment, The Jagen Group, Regal Funds Management, Marubeni, Capitol Health, Amplify</v>
      </c>
      <c r="N139" t="str">
        <f>Companies!O169</f>
        <v>Series B</v>
      </c>
      <c r="O139">
        <f>Companies!P169</f>
        <v>15</v>
      </c>
      <c r="P139" t="str">
        <f>Companies!Q169</f>
        <v>Marubeni, Capitol Health, Allum Capital</v>
      </c>
    </row>
    <row r="140" spans="2:16">
      <c r="B140" t="str">
        <f>Companies!B170</f>
        <v>Quantiphi</v>
      </c>
      <c r="C140" t="str">
        <f>Companies!C170</f>
        <v>Private</v>
      </c>
      <c r="D140">
        <f>Companies!D170</f>
        <v>100</v>
      </c>
      <c r="E140" t="str">
        <f>Companies!E170</f>
        <v>Series A</v>
      </c>
      <c r="F140">
        <f>Companies!F170</f>
        <v>20</v>
      </c>
      <c r="G140" t="str">
        <f>Companies!H170</f>
        <v>ML Platform</v>
      </c>
      <c r="H140" t="str">
        <f>Companies!I170</f>
        <v>Asif Hasan</v>
      </c>
      <c r="I140" t="str">
        <f>Companies!J170</f>
        <v>Enterprise</v>
      </c>
      <c r="J140" t="str">
        <f>Companies!K170</f>
        <v>Platform</v>
      </c>
      <c r="K140">
        <f>Companies!L170</f>
        <v>2013</v>
      </c>
      <c r="L140">
        <f>Companies!M170</f>
        <v>0</v>
      </c>
      <c r="M140" t="str">
        <f>Companies!N170</f>
        <v>Multiples</v>
      </c>
      <c r="N140" t="str">
        <f>Companies!O170</f>
        <v>N/A</v>
      </c>
      <c r="O140" t="str">
        <f>Companies!P170</f>
        <v>N/A</v>
      </c>
      <c r="P140" t="str">
        <f>Companies!Q170</f>
        <v>N/A</v>
      </c>
    </row>
    <row r="141" spans="2:16">
      <c r="B141" t="str">
        <f>Companies!B171</f>
        <v>Protex AI</v>
      </c>
      <c r="C141" t="str">
        <f>Companies!C171</f>
        <v>Private</v>
      </c>
      <c r="D141">
        <f>Companies!D171</f>
        <v>100</v>
      </c>
      <c r="E141" t="str">
        <f>Companies!E171</f>
        <v>Series A</v>
      </c>
      <c r="F141">
        <f>Companies!F171</f>
        <v>20</v>
      </c>
      <c r="G141" t="str">
        <f>Companies!H171</f>
        <v>CCTV CV</v>
      </c>
      <c r="H141" t="str">
        <f>Companies!I171</f>
        <v>Ciarán O'Mara, Dan Hobbs</v>
      </c>
      <c r="I141" t="str">
        <f>Companies!J171</f>
        <v>Enterprise</v>
      </c>
      <c r="J141" t="str">
        <f>Companies!K171</f>
        <v>Workplace Safety</v>
      </c>
      <c r="K141">
        <f>Companies!L171</f>
        <v>2021</v>
      </c>
      <c r="L141">
        <f>Companies!M171</f>
        <v>0</v>
      </c>
      <c r="M141" t="str">
        <f>Companies!N171</f>
        <v>Notion Capital, SCOR Ventures, Playfair Capital, Flexport, Firstminute Capital, Elkstone Capital Partners, CircleRock Capital</v>
      </c>
      <c r="N141" t="str">
        <f>Companies!O171</f>
        <v>Pre-Seed</v>
      </c>
      <c r="O141">
        <f>Companies!P171</f>
        <v>0.125</v>
      </c>
      <c r="P141" t="str">
        <f>Companies!Q171</f>
        <v>Y Combinator</v>
      </c>
    </row>
    <row r="142" spans="2:16">
      <c r="B142" t="str">
        <f>Companies!B172</f>
        <v>Hyro</v>
      </c>
      <c r="C142" t="str">
        <f>Companies!C172</f>
        <v>Private</v>
      </c>
      <c r="D142">
        <f>Companies!D172</f>
        <v>100</v>
      </c>
      <c r="E142" t="str">
        <f>Companies!E172</f>
        <v>Series B</v>
      </c>
      <c r="F142">
        <f>Companies!F172</f>
        <v>20</v>
      </c>
      <c r="G142" t="str">
        <f>Companies!H172</f>
        <v>Healthcare, IVR</v>
      </c>
      <c r="H142" t="str">
        <f>Companies!I172</f>
        <v>Israel Krush, Rom Cohen</v>
      </c>
      <c r="I142" t="str">
        <f>Companies!J172</f>
        <v>Enterprise</v>
      </c>
      <c r="J142" t="str">
        <f>Companies!K172</f>
        <v>Healthcare</v>
      </c>
      <c r="K142">
        <f>Companies!L172</f>
        <v>2018</v>
      </c>
      <c r="L142">
        <f>Companies!M172</f>
        <v>0</v>
      </c>
      <c r="M142" t="str">
        <f>Companies!N172</f>
        <v>Macquarie Capital, Spero Ventures, Mindset Ventures, K20 Fund, Black Opal Ventures, Hanaco Venture Capital, Liberty Mutual Strategic Ventures</v>
      </c>
      <c r="N142" t="str">
        <f>Companies!O172</f>
        <v>Series A</v>
      </c>
      <c r="O142">
        <f>Companies!P172</f>
        <v>10.5</v>
      </c>
      <c r="P142" t="str">
        <f>Companies!Q172</f>
        <v>Spero Ventures, Twilio, Spider Capital, Mindset Ventures, Hanaco Venture Capital, Entrepreneurs Roundtable Accelerator</v>
      </c>
    </row>
    <row r="143" spans="2:16">
      <c r="B143" t="str">
        <f>Companies!B173</f>
        <v>Hour One</v>
      </c>
      <c r="C143" t="str">
        <f>Companies!C173</f>
        <v>Private</v>
      </c>
      <c r="D143">
        <f>Companies!D173</f>
        <v>100</v>
      </c>
      <c r="E143" t="str">
        <f>Companies!E173</f>
        <v>Series A</v>
      </c>
      <c r="F143">
        <f>Companies!F173</f>
        <v>20</v>
      </c>
      <c r="G143" t="str">
        <f>Companies!H173</f>
        <v>Virtual Presenters</v>
      </c>
      <c r="H143">
        <f>Companies!I173</f>
        <v>0</v>
      </c>
      <c r="I143" t="str">
        <f>Companies!J173</f>
        <v>Enterprise</v>
      </c>
      <c r="J143" t="str">
        <f>Companies!K173</f>
        <v>Video</v>
      </c>
      <c r="K143" t="str">
        <f>Companies!L173</f>
        <v>2019</v>
      </c>
      <c r="L143">
        <f>Companies!M173</f>
        <v>0</v>
      </c>
      <c r="M143" t="str">
        <f>Companies!N173</f>
        <v>Insight Partners, Remagine Ventures, Kindred Ventures, Galaxy Interactive, Eynat Guez, Digital Horizon, Cerca Partners, Amaranthine</v>
      </c>
      <c r="N143" t="str">
        <f>Companies!O173</f>
        <v>Seed</v>
      </c>
      <c r="O143">
        <f>Companies!P173</f>
        <v>5</v>
      </c>
      <c r="P143" t="str">
        <f>Companies!Q173</f>
        <v>Reimagine Ventures, Kindred Ventures, Galaxy Interactive, Amaranthine</v>
      </c>
    </row>
    <row r="144" spans="2:16">
      <c r="B144" t="str">
        <f>Companies!B174</f>
        <v>Paravision</v>
      </c>
      <c r="C144" t="str">
        <f>Companies!C174</f>
        <v>Private</v>
      </c>
      <c r="D144">
        <f>Companies!D174</f>
        <v>100</v>
      </c>
      <c r="E144" t="str">
        <f>Companies!E174</f>
        <v>Series C</v>
      </c>
      <c r="F144">
        <f>Companies!F174</f>
        <v>23</v>
      </c>
      <c r="G144" t="str">
        <f>Companies!H174</f>
        <v>Computer Vision</v>
      </c>
      <c r="H144" t="str">
        <f>Companies!I174</f>
        <v>Andrew Dudum, Charlie Melbye, Don Holly, Jon Mumm</v>
      </c>
      <c r="I144" t="str">
        <f>Companies!J174</f>
        <v>Enterprise</v>
      </c>
      <c r="J144" t="str">
        <f>Companies!K174</f>
        <v>Computer Vision</v>
      </c>
      <c r="K144">
        <f>Companies!L174</f>
        <v>2013</v>
      </c>
      <c r="L144">
        <f>Companies!M174</f>
        <v>0</v>
      </c>
      <c r="M144" t="str">
        <f>Companies!N174</f>
        <v>J2 Ventures, Red Cell Partners, Marlinspike Capital, Perot Jain, Atomic, HID Global, Icon Ventures</v>
      </c>
      <c r="N144" t="str">
        <f>Companies!O174</f>
        <v>Series B</v>
      </c>
      <c r="O144">
        <f>Companies!P174</f>
        <v>16</v>
      </c>
      <c r="P144" t="str">
        <f>Companies!Q174</f>
        <v>Icon Ventures, Khosla Ventures, Felicis</v>
      </c>
    </row>
    <row r="145" spans="2:16">
      <c r="B145" t="str">
        <f>Companies!B175</f>
        <v>hOS</v>
      </c>
      <c r="C145" t="str">
        <f>Companies!C175</f>
        <v>Private</v>
      </c>
      <c r="D145">
        <f>Companies!D175</f>
        <v>100</v>
      </c>
      <c r="E145" t="str">
        <f>Companies!E175</f>
        <v>Seed</v>
      </c>
      <c r="F145">
        <f>Companies!F175</f>
        <v>12.8</v>
      </c>
      <c r="G145" t="str">
        <f>Companies!H175</f>
        <v>QoL app</v>
      </c>
      <c r="H145" t="str">
        <f>Companies!I175</f>
        <v>Jeremy Achin</v>
      </c>
      <c r="I145" t="str">
        <f>Companies!J175</f>
        <v>Stealth</v>
      </c>
      <c r="J145" t="str">
        <f>Companies!K175</f>
        <v>Stealth</v>
      </c>
      <c r="K145">
        <f>Companies!L175</f>
        <v>2021</v>
      </c>
      <c r="L145" t="str">
        <f>Companies!M175</f>
        <v>Former DataRobot team</v>
      </c>
      <c r="M145" t="str">
        <f>Companies!N175</f>
        <v>NEA, Sequoia Capital, IA Ventures, Critical Ventures, B5 Capital</v>
      </c>
      <c r="N145" t="str">
        <f>Companies!O175</f>
        <v>N/A</v>
      </c>
      <c r="O145" t="str">
        <f>Companies!P175</f>
        <v>N/A</v>
      </c>
      <c r="P145" t="str">
        <f>Companies!Q175</f>
        <v>N/A</v>
      </c>
    </row>
    <row r="146" spans="2:16">
      <c r="B146" t="str">
        <f>Companies!B176</f>
        <v>Replika</v>
      </c>
      <c r="C146" t="str">
        <f>Companies!C176</f>
        <v>Private</v>
      </c>
      <c r="D146">
        <f>Companies!D176</f>
        <v>100</v>
      </c>
      <c r="E146" t="str">
        <f>Companies!E176</f>
        <v>Series A</v>
      </c>
      <c r="F146">
        <f>Companies!F176</f>
        <v>6.5</v>
      </c>
      <c r="G146">
        <f>Companies!H176</f>
        <v>0</v>
      </c>
      <c r="H146" t="str">
        <f>Companies!I176</f>
        <v>Eugenia Kuyda</v>
      </c>
      <c r="I146" t="str">
        <f>Companies!J176</f>
        <v>Consumer</v>
      </c>
      <c r="J146" t="str">
        <f>Companies!K176</f>
        <v>AI Companion</v>
      </c>
      <c r="K146">
        <f>Companies!L176</f>
        <v>2017</v>
      </c>
      <c r="L146">
        <f>Companies!M176</f>
        <v>0</v>
      </c>
      <c r="M146" t="str">
        <f>Companies!N176</f>
        <v>Khosla Ventures, ACME Capital, Phil Libin, Richard Socher</v>
      </c>
      <c r="N146" t="str">
        <f>Companies!O176</f>
        <v>Series A</v>
      </c>
      <c r="O146">
        <f>Companies!P176</f>
        <v>4.4000000000000004</v>
      </c>
      <c r="P146" t="str">
        <f>Companies!Q176</f>
        <v>ACME Capital, Y Combinator, Ludlow Ventures, Shervin Pishevar</v>
      </c>
    </row>
    <row r="147" spans="2:16">
      <c r="B147" t="str">
        <f>Companies!B177</f>
        <v>Axios HQ</v>
      </c>
      <c r="C147" t="str">
        <f>Companies!C177</f>
        <v>Private</v>
      </c>
      <c r="D147">
        <f>Companies!D177</f>
        <v>80</v>
      </c>
      <c r="E147" t="str">
        <f>Companies!E177</f>
        <v>Series A</v>
      </c>
      <c r="F147">
        <f>Companies!F177</f>
        <v>20</v>
      </c>
      <c r="G147" t="str">
        <f>Companies!H177</f>
        <v>Former Axios, communications software</v>
      </c>
      <c r="H147" t="str">
        <f>Companies!I177</f>
        <v>Roy Schwartz, Jim VandeHei</v>
      </c>
      <c r="I147" t="str">
        <f>Companies!J177</f>
        <v>Enterprise</v>
      </c>
      <c r="J147" t="str">
        <f>Companies!K177</f>
        <v>Content</v>
      </c>
      <c r="K147">
        <f>Companies!L177</f>
        <v>2021</v>
      </c>
      <c r="L147">
        <f>Companies!M177</f>
        <v>0</v>
      </c>
      <c r="M147" t="str">
        <f>Companies!N177</f>
        <v>Greycroft, Glade Brook, Cox Enterprises</v>
      </c>
      <c r="N147" t="str">
        <f>Companies!O177</f>
        <v>N/A</v>
      </c>
      <c r="O147" t="str">
        <f>Companies!P177</f>
        <v>N/A</v>
      </c>
      <c r="P147" t="str">
        <f>Companies!Q177</f>
        <v>N/A</v>
      </c>
    </row>
    <row r="148" spans="2:16">
      <c r="B148" t="str">
        <f>Companies!B178</f>
        <v>prezent.ai</v>
      </c>
      <c r="C148" t="str">
        <f>Companies!C178</f>
        <v>Private</v>
      </c>
      <c r="D148">
        <f>Companies!D178</f>
        <v>80</v>
      </c>
      <c r="E148" t="str">
        <f>Companies!E178</f>
        <v>Series A</v>
      </c>
      <c r="F148">
        <f>Companies!F178</f>
        <v>20</v>
      </c>
      <c r="G148" t="str">
        <f>Companies!H178</f>
        <v>Slideshow/presentations</v>
      </c>
      <c r="H148" t="str">
        <f>Companies!I178</f>
        <v>Rajat Mishra</v>
      </c>
      <c r="I148" t="str">
        <f>Companies!J178</f>
        <v>Enterprise</v>
      </c>
      <c r="J148" t="str">
        <f>Companies!K178</f>
        <v>Presentations</v>
      </c>
      <c r="K148">
        <f>Companies!L178</f>
        <v>2021</v>
      </c>
      <c r="L148">
        <f>Companies!M178</f>
        <v>0</v>
      </c>
      <c r="M148" t="str">
        <f>Companies!N178</f>
        <v>Greycroft, WestWave Capital, Emergent Ventures, Zoom</v>
      </c>
      <c r="N148" t="str">
        <f>Companies!O178</f>
        <v>N/A</v>
      </c>
      <c r="O148" t="str">
        <f>Companies!P178</f>
        <v>N/A</v>
      </c>
      <c r="P148" t="str">
        <f>Companies!Q178</f>
        <v>N/A</v>
      </c>
    </row>
    <row r="149" spans="2:16">
      <c r="B149" t="str">
        <f>Companies!B179</f>
        <v>Wysa</v>
      </c>
      <c r="C149" t="str">
        <f>Companies!C179</f>
        <v>Private</v>
      </c>
      <c r="D149">
        <f>Companies!D179</f>
        <v>80</v>
      </c>
      <c r="E149" t="str">
        <f>Companies!E179</f>
        <v>Series B</v>
      </c>
      <c r="F149">
        <f>Companies!F179</f>
        <v>20</v>
      </c>
      <c r="G149" t="str">
        <f>Companies!H179</f>
        <v>Mental Health</v>
      </c>
      <c r="H149" t="str">
        <f>Companies!I179</f>
        <v>Jo Aggarwal, Ramakant Vempati</v>
      </c>
      <c r="I149" t="str">
        <f>Companies!J179</f>
        <v>Consumer</v>
      </c>
      <c r="J149" t="str">
        <f>Companies!K179</f>
        <v>Health</v>
      </c>
      <c r="K149">
        <f>Companies!L179</f>
        <v>2015</v>
      </c>
      <c r="L149" t="str">
        <f>Companies!M179</f>
        <v>Not really AI, using chatbot</v>
      </c>
      <c r="M149" t="str">
        <f>Companies!N179</f>
        <v>HealthQuad, W Health Ventures, Pi Ventures, Kae Capital, Google Assistant Investments, British International Investment</v>
      </c>
      <c r="N149" t="str">
        <f>Companies!O179</f>
        <v>Series A</v>
      </c>
      <c r="O149">
        <f>Companies!P179</f>
        <v>5.5</v>
      </c>
      <c r="P149" t="str">
        <f>Companies!Q179</f>
        <v>W Health Ventures, Pi Ventures, Kae Capital, Google Assistant Investments</v>
      </c>
    </row>
    <row r="150" spans="2:16">
      <c r="B150" t="str">
        <f>Companies!B180</f>
        <v>Utilidata</v>
      </c>
      <c r="C150" t="str">
        <f>Companies!C180</f>
        <v>Private</v>
      </c>
      <c r="D150">
        <f>Companies!D180</f>
        <v>75</v>
      </c>
      <c r="E150" t="str">
        <f>Companies!E180</f>
        <v>Series B</v>
      </c>
      <c r="F150">
        <f>Companies!F180</f>
        <v>26.8</v>
      </c>
      <c r="G150" t="str">
        <f>Companies!H180</f>
        <v>Utilities/energy</v>
      </c>
      <c r="H150" t="str">
        <f>Companies!I180</f>
        <v>Jeremy Wilson</v>
      </c>
      <c r="I150" t="str">
        <f>Companies!J180</f>
        <v>Enterprise</v>
      </c>
      <c r="J150" t="str">
        <f>Companies!K180</f>
        <v>Energy</v>
      </c>
      <c r="K150">
        <f>Companies!L180</f>
        <v>2012</v>
      </c>
      <c r="L150">
        <f>Companies!M180</f>
        <v>0</v>
      </c>
      <c r="M150" t="str">
        <f>Companies!N180</f>
        <v>Moore, Nvidia, MUUS, Microsoft, Keyframe, Braemar</v>
      </c>
      <c r="N150" t="str">
        <f>Companies!O180</f>
        <v>Series A</v>
      </c>
      <c r="O150">
        <f>Companies!P180</f>
        <v>8.3000000000000007</v>
      </c>
      <c r="P150" t="str">
        <f>Companies!Q180</f>
        <v>Keyframe, Braemar, American Electric Power</v>
      </c>
    </row>
    <row r="151" spans="2:16">
      <c r="B151" t="str">
        <f>Companies!B181</f>
        <v>HireEz</v>
      </c>
      <c r="C151" t="str">
        <f>Companies!C181</f>
        <v>Private</v>
      </c>
      <c r="D151">
        <f>Companies!D181</f>
        <v>75</v>
      </c>
      <c r="E151" t="str">
        <f>Companies!E181</f>
        <v>Series B</v>
      </c>
      <c r="F151">
        <f>Companies!F181</f>
        <v>26</v>
      </c>
      <c r="G151">
        <f>Companies!H181</f>
        <v>0</v>
      </c>
      <c r="H151" t="str">
        <f>Companies!I181</f>
        <v>Steven Jiang, Xinwen Zhang</v>
      </c>
      <c r="I151" t="str">
        <f>Companies!J181</f>
        <v>Enterprise</v>
      </c>
      <c r="J151" t="str">
        <f>Companies!K181</f>
        <v>Recruitment</v>
      </c>
      <c r="K151">
        <f>Companies!L181</f>
        <v>2015</v>
      </c>
      <c r="L151">
        <f>Companies!M181</f>
        <v>0</v>
      </c>
      <c r="M151" t="str">
        <f>Companies!N181</f>
        <v>Conductive Ventures, Duke Chung</v>
      </c>
      <c r="N151" t="str">
        <f>Companies!O181</f>
        <v>Series B</v>
      </c>
      <c r="O151">
        <f>Companies!P181</f>
        <v>13</v>
      </c>
      <c r="P151" t="str">
        <f>Companies!Q181</f>
        <v>Oceanpine Capital</v>
      </c>
    </row>
    <row r="152" spans="2:16">
      <c r="B152" t="str">
        <f>Companies!B182</f>
        <v>Pieces</v>
      </c>
      <c r="C152" t="str">
        <f>Companies!C182</f>
        <v>Private</v>
      </c>
      <c r="D152">
        <f>Companies!D182</f>
        <v>75</v>
      </c>
      <c r="E152" t="str">
        <f>Companies!E182</f>
        <v>Series B</v>
      </c>
      <c r="F152">
        <f>Companies!F182</f>
        <v>25.7</v>
      </c>
      <c r="G152" t="str">
        <f>Companies!H182</f>
        <v>Hospital readmission</v>
      </c>
      <c r="H152" t="str">
        <f>Companies!I182</f>
        <v>Ruben Amarasingham</v>
      </c>
      <c r="I152" t="str">
        <f>Companies!J182</f>
        <v>Enterprise</v>
      </c>
      <c r="J152" t="str">
        <f>Companies!K182</f>
        <v>Healthcare</v>
      </c>
      <c r="K152">
        <f>Companies!L182</f>
        <v>2015</v>
      </c>
      <c r="L152">
        <f>Companies!M182</f>
        <v>0</v>
      </c>
      <c r="M152" t="str">
        <f>Companies!N182</f>
        <v>Concord Health Partners, OSF Ventures, Children's Health</v>
      </c>
      <c r="N152" t="str">
        <f>Companies!O182</f>
        <v>Series A</v>
      </c>
      <c r="O152">
        <f>Companies!P182</f>
        <v>21.6</v>
      </c>
      <c r="P152" t="str">
        <f>Companies!Q182</f>
        <v>Pacific Advantage Capital, Jump Capital, Tribeca Early Stage Partners, Saint Francis Health System, PCCI, Children's Health</v>
      </c>
    </row>
    <row r="153" spans="2:16">
      <c r="B153" t="str">
        <f>Companies!B183</f>
        <v>Navina</v>
      </c>
      <c r="C153" t="str">
        <f>Companies!C183</f>
        <v>Private</v>
      </c>
      <c r="D153">
        <f>Companies!D183</f>
        <v>75</v>
      </c>
      <c r="E153" t="str">
        <f>Companies!E183</f>
        <v>Series B</v>
      </c>
      <c r="F153">
        <f>Companies!F183</f>
        <v>22</v>
      </c>
      <c r="G153" t="str">
        <f>Companies!H183</f>
        <v>Helps GPs and physicians prepare to see patients</v>
      </c>
      <c r="H153" t="str">
        <f>Companies!I183</f>
        <v>Ronen Lavi, Shay Perera</v>
      </c>
      <c r="I153" t="str">
        <f>Companies!J183</f>
        <v>Enterprise</v>
      </c>
      <c r="J153" t="str">
        <f>Companies!K183</f>
        <v>Healthcare</v>
      </c>
      <c r="K153">
        <f>Companies!L183</f>
        <v>2018</v>
      </c>
      <c r="L153">
        <f>Companies!M183</f>
        <v>0</v>
      </c>
      <c r="M153" t="str">
        <f>Companies!N183</f>
        <v>ALIVE Israel HealthTech Fund, Vertex Ventures Israel, Schusterman Foundation, Grove Ventures</v>
      </c>
      <c r="N153" t="str">
        <f>Companies!O183</f>
        <v>Series A</v>
      </c>
      <c r="O153">
        <f>Companies!P183</f>
        <v>15</v>
      </c>
      <c r="P153" t="str">
        <f>Companies!Q183</f>
        <v>Vertex Ventures Israel, Schusterman Foundation, Grove Ventures</v>
      </c>
    </row>
    <row r="154" spans="2:16">
      <c r="B154" t="str">
        <f>Companies!B184</f>
        <v>Pactum</v>
      </c>
      <c r="C154" t="str">
        <f>Companies!C184</f>
        <v>Private</v>
      </c>
      <c r="D154">
        <f>Companies!D184</f>
        <v>75</v>
      </c>
      <c r="E154" t="str">
        <f>Companies!E184</f>
        <v>Series A</v>
      </c>
      <c r="F154">
        <f>Companies!F184</f>
        <v>20</v>
      </c>
      <c r="G154" t="str">
        <f>Companies!H184</f>
        <v>Automated Contract Negotiation</v>
      </c>
      <c r="H154" t="str">
        <f>Companies!I184</f>
        <v>Kaspar Korjus, Kristjan Korjus, Martin Rand</v>
      </c>
      <c r="I154" t="str">
        <f>Companies!J184</f>
        <v>Enterprise</v>
      </c>
      <c r="J154" t="str">
        <f>Companies!K184</f>
        <v>Procurement</v>
      </c>
      <c r="K154" t="str">
        <f>Companies!L184</f>
        <v>2019</v>
      </c>
      <c r="L154">
        <f>Companies!M184</f>
        <v>0</v>
      </c>
      <c r="M154" t="str">
        <f>Companies!N184</f>
        <v>3VC, Taavet+Sten, Project A Ventures, NordicNinja VC, Metaplanet Holdings, Maersk Growth, Atomico</v>
      </c>
      <c r="N154" t="str">
        <f>Companies!O184</f>
        <v>Series A</v>
      </c>
      <c r="O154">
        <f>Companies!P184</f>
        <v>11</v>
      </c>
      <c r="P154" t="str">
        <f>Companies!Q184</f>
        <v>Atomico, Taavet Hinrikus, Sten Tamkivi, Project A Ventures, Ott Kaukver, Metaplanet Holdings</v>
      </c>
    </row>
    <row r="155" spans="2:16">
      <c r="B155" t="str">
        <f>Companies!B185</f>
        <v>Wiz.ai</v>
      </c>
      <c r="C155" t="str">
        <f>Companies!C185</f>
        <v>Private</v>
      </c>
      <c r="D155">
        <f>Companies!D185</f>
        <v>75</v>
      </c>
      <c r="E155" t="str">
        <f>Companies!E185</f>
        <v>Series A</v>
      </c>
      <c r="F155">
        <f>Companies!F185</f>
        <v>20</v>
      </c>
      <c r="G155" t="str">
        <f>Companies!H185</f>
        <v>Customer Service bots</v>
      </c>
      <c r="H155">
        <f>Companies!I185</f>
        <v>0</v>
      </c>
      <c r="I155" t="str">
        <f>Companies!J185</f>
        <v>Enterprise</v>
      </c>
      <c r="J155" t="str">
        <f>Companies!K185</f>
        <v>Voice</v>
      </c>
      <c r="K155">
        <f>Companies!L185</f>
        <v>43510</v>
      </c>
      <c r="L155">
        <f>Companies!M185</f>
        <v>0</v>
      </c>
      <c r="M155" t="str">
        <f>Companies!N185</f>
        <v>Hillhouse, Gaorong Capital, Yunqi Partners, Wavemaker Partners, Singtel Innov8, K3 Ventures, Insignia Venture Partners, GGV Capital</v>
      </c>
      <c r="N155" t="str">
        <f>Companies!O185</f>
        <v>Seed</v>
      </c>
      <c r="O155">
        <f>Companies!P185</f>
        <v>6</v>
      </c>
      <c r="P155" t="str">
        <f>Companies!Q185</f>
        <v>ZWC Partners, GGV Capital, Insignia Ventures Partners, Wavemaker Partners</v>
      </c>
    </row>
    <row r="156" spans="2:16">
      <c r="B156" t="str">
        <f>Companies!B186</f>
        <v>Deepdub</v>
      </c>
      <c r="C156" t="str">
        <f>Companies!C186</f>
        <v>Private</v>
      </c>
      <c r="D156">
        <f>Companies!D186</f>
        <v>75</v>
      </c>
      <c r="E156" t="str">
        <f>Companies!E186</f>
        <v>Series A</v>
      </c>
      <c r="F156">
        <f>Companies!F186</f>
        <v>20</v>
      </c>
      <c r="G156" t="str">
        <f>Companies!H186</f>
        <v>Dubbing</v>
      </c>
      <c r="H156" t="str">
        <f>Companies!I186</f>
        <v>Nir Krakowski, Ofir Krakowski</v>
      </c>
      <c r="I156" t="str">
        <f>Companies!J186</f>
        <v>Enterprise</v>
      </c>
      <c r="J156" t="str">
        <f>Companies!K186</f>
        <v>Voice</v>
      </c>
      <c r="K156">
        <f>Companies!L186</f>
        <v>2019</v>
      </c>
      <c r="L156">
        <f>Companies!M186</f>
        <v>0</v>
      </c>
      <c r="M156" t="str">
        <f>Companies!N186</f>
        <v>Insight Partners, Swift Ventures, Stardom Ventures, Matias Ventures, Booster Ventures Roi Tiger, Kevin Reilly, Gideon Marks, Emiliano Calemzuk, Danny Grander, Daniel Chadash</v>
      </c>
      <c r="N156" t="str">
        <f>Companies!O186</f>
        <v>N/A</v>
      </c>
      <c r="O156" t="str">
        <f>Companies!P186</f>
        <v>N/A</v>
      </c>
      <c r="P156" t="str">
        <f>Companies!Q186</f>
        <v>N/A</v>
      </c>
    </row>
    <row r="157" spans="2:16">
      <c r="B157" t="str">
        <f>Companies!B187</f>
        <v>Daloopa</v>
      </c>
      <c r="C157" t="str">
        <f>Companies!C187</f>
        <v>Private</v>
      </c>
      <c r="D157">
        <f>Companies!D187</f>
        <v>75</v>
      </c>
      <c r="E157" t="str">
        <f>Companies!E187</f>
        <v>Series A</v>
      </c>
      <c r="F157">
        <f>Companies!F187</f>
        <v>20</v>
      </c>
      <c r="G157" t="str">
        <f>Companies!H187</f>
        <v>Document retrieval, data extraction</v>
      </c>
      <c r="H157" t="str">
        <f>Companies!I187</f>
        <v>Daniel Chen, Jeremy Huang, Thomas Li</v>
      </c>
      <c r="I157" t="str">
        <f>Companies!J187</f>
        <v>Enterprise</v>
      </c>
      <c r="J157" t="str">
        <f>Companies!K187</f>
        <v>Finance</v>
      </c>
      <c r="K157">
        <f>Companies!L187</f>
        <v>2019</v>
      </c>
      <c r="L157">
        <f>Companies!M187</f>
        <v>0</v>
      </c>
      <c r="M157" t="str">
        <f>Companies!N187</f>
        <v>Credit Suisse NEXT Investors, Hack VC, Uncorrelated Ventures, Nexus Venture Partners, Bossanova Investimentos</v>
      </c>
      <c r="N157" t="str">
        <f>Companies!O187</f>
        <v>Seed</v>
      </c>
      <c r="O157">
        <f>Companies!P187</f>
        <v>3.4</v>
      </c>
      <c r="P157" t="str">
        <f>Companies!Q187</f>
        <v>Nexus Venture Partners</v>
      </c>
    </row>
    <row r="158" spans="2:16">
      <c r="B158" t="str">
        <f>Companies!B188</f>
        <v>Two Platforms (two.ai)</v>
      </c>
      <c r="C158" t="str">
        <f>Companies!C188</f>
        <v>Private</v>
      </c>
      <c r="D158">
        <f>Companies!D188</f>
        <v>75</v>
      </c>
      <c r="E158" t="str">
        <f>Companies!E188</f>
        <v>Series A</v>
      </c>
      <c r="F158">
        <f>Companies!F188</f>
        <v>20</v>
      </c>
      <c r="G158" t="str">
        <f>Companies!H188</f>
        <v>AutoCameo, video</v>
      </c>
      <c r="H158">
        <f>Companies!I188</f>
        <v>0</v>
      </c>
      <c r="I158" t="str">
        <f>Companies!J188</f>
        <v>Tool</v>
      </c>
      <c r="J158" t="str">
        <f>Companies!K188</f>
        <v>Artificial Reality</v>
      </c>
      <c r="K158">
        <f>Companies!L188</f>
        <v>2021</v>
      </c>
      <c r="L158">
        <f>Companies!M188</f>
        <v>0</v>
      </c>
      <c r="M158" t="str">
        <f>Companies!N188</f>
        <v>Reliance Jio, Naver</v>
      </c>
      <c r="N158" t="str">
        <f>Companies!O188</f>
        <v>N/A</v>
      </c>
      <c r="O158" t="str">
        <f>Companies!P188</f>
        <v>N/A</v>
      </c>
      <c r="P158" t="str">
        <f>Companies!Q188</f>
        <v>N/A</v>
      </c>
    </row>
    <row r="159" spans="2:16">
      <c r="B159" t="str">
        <f>Companies!B189</f>
        <v>Roboflow</v>
      </c>
      <c r="C159" t="str">
        <f>Companies!C189</f>
        <v>Private</v>
      </c>
      <c r="D159">
        <f>Companies!D189</f>
        <v>75</v>
      </c>
      <c r="E159" t="str">
        <f>Companies!E189</f>
        <v>Series A</v>
      </c>
      <c r="F159">
        <f>Companies!F189</f>
        <v>20</v>
      </c>
      <c r="G159" t="str">
        <f>Companies!H189</f>
        <v>Computer vision models, dev tools</v>
      </c>
      <c r="H159" t="str">
        <f>Companies!I189</f>
        <v>Brad Dwyer, Joseph Nelson</v>
      </c>
      <c r="I159" t="str">
        <f>Companies!J189</f>
        <v>Tool</v>
      </c>
      <c r="J159" t="str">
        <f>Companies!K189</f>
        <v>Computer Vision</v>
      </c>
      <c r="K159" t="str">
        <f>Companies!L189</f>
        <v>2019</v>
      </c>
      <c r="L159">
        <f>Companies!M189</f>
        <v>0</v>
      </c>
      <c r="M159" t="str">
        <f>Companies!N189</f>
        <v>Craft Ventures, Sam Altman, Quiet Capital, Mike Maples Jr, Max Altman, Lachy Groom, Joe Morrissey, Jack Altman, Harry Hurst, Greg Brockman, DJ Patil, Cassidy Williams</v>
      </c>
      <c r="N159" t="str">
        <f>Companies!O189</f>
        <v>Seed</v>
      </c>
      <c r="O159" t="str">
        <f>Companies!P189</f>
        <v>Craft Ventures, Next Level Ventures, Lachy Groom, Leore Avidar, Kevin Liu, James Tamplin, Elizabeth Caven, Calvin French-Owen, Aston Motes</v>
      </c>
      <c r="P159" t="str">
        <f>Companies!Q189</f>
        <v>N/A</v>
      </c>
    </row>
    <row r="160" spans="2:16">
      <c r="B160" t="str">
        <f>Companies!B190</f>
        <v>Rasgo</v>
      </c>
      <c r="C160" t="str">
        <f>Companies!C190</f>
        <v>Private</v>
      </c>
      <c r="D160">
        <f>Companies!D190</f>
        <v>75</v>
      </c>
      <c r="E160" t="str">
        <f>Companies!E190</f>
        <v>Series A</v>
      </c>
      <c r="F160">
        <f>Companies!F190</f>
        <v>20</v>
      </c>
      <c r="G160" t="str">
        <f>Companies!H190</f>
        <v>Data inconsistency</v>
      </c>
      <c r="H160" t="str">
        <f>Companies!I190</f>
        <v>Jared Parker, Patrick Dougherty</v>
      </c>
      <c r="I160" t="str">
        <f>Companies!J190</f>
        <v>Enterprise</v>
      </c>
      <c r="J160" t="str">
        <f>Companies!K190</f>
        <v>Business Intelligence</v>
      </c>
      <c r="K160">
        <f>Companies!L190</f>
        <v>2020</v>
      </c>
      <c r="L160">
        <f>Companies!M190</f>
        <v>0</v>
      </c>
      <c r="M160" t="str">
        <f>Companies!N190</f>
        <v>Insight Partners, Unusual Ventures</v>
      </c>
      <c r="N160" t="str">
        <f>Companies!O190</f>
        <v>N/A</v>
      </c>
      <c r="O160" t="str">
        <f>Companies!P190</f>
        <v>N/A</v>
      </c>
      <c r="P160" t="str">
        <f>Companies!Q190</f>
        <v>N/A</v>
      </c>
    </row>
    <row r="161" spans="2:16">
      <c r="B161" t="str">
        <f>Companies!B191</f>
        <v>Enchanted Tools</v>
      </c>
      <c r="C161" t="str">
        <f>Companies!C191</f>
        <v>Private</v>
      </c>
      <c r="D161">
        <f>Companies!D191</f>
        <v>75</v>
      </c>
      <c r="E161" t="str">
        <f>Companies!E191</f>
        <v>Seed</v>
      </c>
      <c r="F161">
        <f>Companies!F191</f>
        <v>20</v>
      </c>
      <c r="G161" t="str">
        <f>Companies!H191</f>
        <v>Mirokai, furry robot</v>
      </c>
      <c r="H161" t="str">
        <f>Companies!I191</f>
        <v>Jerome Monceaux</v>
      </c>
      <c r="I161" t="str">
        <f>Companies!J191</f>
        <v>Robotics</v>
      </c>
      <c r="J161" t="str">
        <f>Companies!K191</f>
        <v>Humanoid</v>
      </c>
      <c r="K161">
        <f>Companies!L191</f>
        <v>2021</v>
      </c>
      <c r="L161">
        <f>Companies!M191</f>
        <v>0</v>
      </c>
      <c r="M161" t="str">
        <f>Companies!N191</f>
        <v>N/A</v>
      </c>
      <c r="N161" t="str">
        <f>Companies!O191</f>
        <v>N/A</v>
      </c>
      <c r="O161" t="str">
        <f>Companies!P191</f>
        <v>N/A</v>
      </c>
      <c r="P161" t="str">
        <f>Companies!Q191</f>
        <v>N/A</v>
      </c>
    </row>
    <row r="162" spans="2:16">
      <c r="B162" t="str">
        <f>Companies!B192</f>
        <v>Chroma</v>
      </c>
      <c r="C162" t="str">
        <f>Companies!C192</f>
        <v>Private</v>
      </c>
      <c r="D162">
        <f>Companies!D192</f>
        <v>75</v>
      </c>
      <c r="E162" t="str">
        <f>Companies!E192</f>
        <v>Seed</v>
      </c>
      <c r="F162">
        <f>Companies!F192</f>
        <v>18</v>
      </c>
      <c r="G162" t="str">
        <f>Companies!H192</f>
        <v>My favorite VDB</v>
      </c>
      <c r="H162">
        <f>Companies!I192</f>
        <v>0</v>
      </c>
      <c r="I162" t="str">
        <f>Companies!J192</f>
        <v>Enterprise</v>
      </c>
      <c r="J162" t="str">
        <f>Companies!K192</f>
        <v>Vector</v>
      </c>
      <c r="K162">
        <f>Companies!L192</f>
        <v>2022</v>
      </c>
      <c r="L162" t="str">
        <f>Companies!M192</f>
        <v>AI Grant batch 1</v>
      </c>
      <c r="M162" t="str">
        <f>Companies!N192</f>
        <v>Quiet Capital, Spencer Kimball, Naval Ravikant, Max Altman, Jordan Tigani, Jack Altman, Guillermo Rauch, Amjad Masad, Akshay Kothari</v>
      </c>
      <c r="N162" t="str">
        <f>Companies!O192</f>
        <v>Pre-Seed</v>
      </c>
      <c r="O162">
        <f>Companies!P192</f>
        <v>2.2999999999999998</v>
      </c>
      <c r="P162" t="str">
        <f>Companies!Q192</f>
        <v>Nat Friedman, James Cham, Daniel Gross, Anthony Goldbloom</v>
      </c>
    </row>
    <row r="163" spans="2:16">
      <c r="B163" t="str">
        <f>Companies!B193</f>
        <v>Synthesis AI</v>
      </c>
      <c r="C163" t="str">
        <f>Companies!C193</f>
        <v>Private</v>
      </c>
      <c r="D163">
        <f>Companies!D193</f>
        <v>75</v>
      </c>
      <c r="E163" t="str">
        <f>Companies!E193</f>
        <v>Series A</v>
      </c>
      <c r="F163">
        <f>Companies!F193</f>
        <v>17</v>
      </c>
      <c r="G163" t="str">
        <f>Companies!H193</f>
        <v>Data generation, synthetic data</v>
      </c>
      <c r="H163" t="str">
        <f>Companies!I193</f>
        <v>Yashar Behzadi</v>
      </c>
      <c r="I163" t="str">
        <f>Companies!J193</f>
        <v>Tool</v>
      </c>
      <c r="J163" t="str">
        <f>Companies!K193</f>
        <v>Computer Vision</v>
      </c>
      <c r="K163">
        <f>Companies!L193</f>
        <v>2019</v>
      </c>
      <c r="L163">
        <f>Companies!M193</f>
        <v>0</v>
      </c>
      <c r="M163" t="str">
        <f>Companies!N193</f>
        <v>468 Capital, Strawberry Creek Ventures, Sorenson Ventures, PJC, Kubera Venture Capital, iRobot Ventures, Boom Capital, Bee Partners</v>
      </c>
      <c r="N163" t="str">
        <f>Companies!O193</f>
        <v>Seed</v>
      </c>
      <c r="O163">
        <f>Companies!P193</f>
        <v>4.5</v>
      </c>
      <c r="P163" t="str">
        <f>Companies!Q193</f>
        <v>Swift Ventures, PJC, LETA Capital, Kubera Venture Capital, iRobot Ventures, Bossanova Investimentos, Boom Capital, Bee Capital</v>
      </c>
    </row>
    <row r="164" spans="2:16">
      <c r="B164" t="str">
        <f>Companies!B194</f>
        <v>Alethea AI</v>
      </c>
      <c r="C164" t="str">
        <f>Companies!C194</f>
        <v>Private</v>
      </c>
      <c r="D164">
        <f>Companies!D194</f>
        <v>75</v>
      </c>
      <c r="E164" t="str">
        <f>Companies!E194</f>
        <v>Seed</v>
      </c>
      <c r="F164">
        <f>Companies!F194</f>
        <v>16</v>
      </c>
      <c r="G164" t="str">
        <f>Companies!H194</f>
        <v>CharacterGPT, Interactive Agent NFTs</v>
      </c>
      <c r="H164" t="str">
        <f>Companies!I194</f>
        <v>Arif Khan</v>
      </c>
      <c r="I164" t="str">
        <f>Companies!J194</f>
        <v>Consumer</v>
      </c>
      <c r="J164" t="str">
        <f>Companies!K194</f>
        <v>Content</v>
      </c>
      <c r="K164">
        <f>Companies!L194</f>
        <v>2020</v>
      </c>
      <c r="L164">
        <f>Companies!M194</f>
        <v>0</v>
      </c>
      <c r="M164" t="str">
        <f>Companies!N194</f>
        <v>Multicoin Capital, Mark Cuban, IOSG Ventures, Crypto.com, Bitkraft Ventures, Alameda Ventures, 6th Man Ventures</v>
      </c>
      <c r="N164" t="str">
        <f>Companies!O194</f>
        <v>Pre-Seed</v>
      </c>
      <c r="O164" t="str">
        <f>Companies!P194</f>
        <v>N/A</v>
      </c>
      <c r="P164" t="str">
        <f>Companies!Q194</f>
        <v>Kid Venture Capital</v>
      </c>
    </row>
    <row r="165" spans="2:16">
      <c r="B165" t="str">
        <f>Companies!B195</f>
        <v>Torre</v>
      </c>
      <c r="C165" t="str">
        <f>Companies!C195</f>
        <v>Private</v>
      </c>
      <c r="D165">
        <f>Companies!D195</f>
        <v>75</v>
      </c>
      <c r="E165" t="str">
        <f>Companies!E195</f>
        <v>Seed</v>
      </c>
      <c r="F165">
        <f>Companies!F195</f>
        <v>16</v>
      </c>
      <c r="G165">
        <f>Companies!H195</f>
        <v>0</v>
      </c>
      <c r="H165" t="str">
        <f>Companies!I195</f>
        <v>Alexander Torrenegra, Andres Cajiao</v>
      </c>
      <c r="I165" t="str">
        <f>Companies!J195</f>
        <v>Enterprise</v>
      </c>
      <c r="J165" t="str">
        <f>Companies!K195</f>
        <v>Recruiting</v>
      </c>
      <c r="K165">
        <f>Companies!L195</f>
        <v>2019</v>
      </c>
      <c r="L165">
        <f>Companies!M195</f>
        <v>0</v>
      </c>
      <c r="M165" t="str">
        <f>Companies!N195</f>
        <v>Emma Group, TBD Angels, Simma Capital, Salkantay Ventures, MatterScale Ventures, Rodrigo Schmidt, Mike Shoemaker, Michael Lazerow, Kass Lazerow, Haiping Zhao, Diego Piacentini, Brian Requarth</v>
      </c>
      <c r="N165" t="str">
        <f>Companies!O195</f>
        <v>Seed</v>
      </c>
      <c r="O165" t="str">
        <f>Companies!P195</f>
        <v>N/A</v>
      </c>
      <c r="P165" t="str">
        <f>Companies!Q195</f>
        <v>Beta Ventures, The Ark Fund</v>
      </c>
    </row>
    <row r="166" spans="2:16">
      <c r="B166" t="str">
        <f>Companies!B196</f>
        <v>Neural Magic</v>
      </c>
      <c r="C166" t="str">
        <f>Companies!C196</f>
        <v>Private</v>
      </c>
      <c r="D166">
        <f>Companies!D196</f>
        <v>75</v>
      </c>
      <c r="E166" t="str">
        <f>Companies!E196</f>
        <v>Series A</v>
      </c>
      <c r="F166">
        <f>Companies!F196</f>
        <v>30</v>
      </c>
      <c r="G166" t="str">
        <f>Companies!H196</f>
        <v>DeepSparse, SparseML, compute on CPU</v>
      </c>
      <c r="H166" t="str">
        <f>Companies!I196</f>
        <v>Alex Matveev</v>
      </c>
      <c r="I166" t="str">
        <f>Companies!J196</f>
        <v>Enterprise</v>
      </c>
      <c r="J166" t="str">
        <f>Companies!K196</f>
        <v>Compute</v>
      </c>
      <c r="K166">
        <f>Companies!L196</f>
        <v>2017</v>
      </c>
      <c r="L166">
        <f>Companies!M196</f>
        <v>0</v>
      </c>
      <c r="M166" t="str">
        <f>Companies!N196</f>
        <v>NEA, Ridgeline, Pillar VC, Comcast Ventures, a16z, Amdocs</v>
      </c>
      <c r="N166" t="str">
        <f>Companies!O196</f>
        <v>Seed</v>
      </c>
      <c r="O166">
        <f>Companies!P196</f>
        <v>15</v>
      </c>
      <c r="P166" t="str">
        <f>Companies!Q196</f>
        <v>Comcast Ventures, Pillar, NEA, a16z, Amdocs</v>
      </c>
    </row>
    <row r="167" spans="2:16">
      <c r="B167" t="str">
        <f>Companies!B197</f>
        <v>Zuva</v>
      </c>
      <c r="C167" t="str">
        <f>Companies!C197</f>
        <v>Private</v>
      </c>
      <c r="D167">
        <f>Companies!D197</f>
        <v>75</v>
      </c>
      <c r="E167" t="str">
        <f>Companies!E197</f>
        <v>Series A</v>
      </c>
      <c r="F167">
        <f>Companies!F197</f>
        <v>15</v>
      </c>
      <c r="G167" t="str">
        <f>Companies!H197</f>
        <v>Document AI</v>
      </c>
      <c r="H167">
        <f>Companies!I197</f>
        <v>0</v>
      </c>
      <c r="I167" t="str">
        <f>Companies!J197</f>
        <v>Enterprise</v>
      </c>
      <c r="J167" t="str">
        <f>Companies!K197</f>
        <v>Legal</v>
      </c>
      <c r="K167">
        <f>Companies!L197</f>
        <v>2021</v>
      </c>
      <c r="L167">
        <f>Companies!M197</f>
        <v>0</v>
      </c>
      <c r="M167" t="str">
        <f>Companies!N197</f>
        <v>Insight Partners, Alexander Hudek, Noah Waisberg</v>
      </c>
      <c r="N167" t="str">
        <f>Companies!O197</f>
        <v>N/A</v>
      </c>
      <c r="O167" t="str">
        <f>Companies!P197</f>
        <v>N/A</v>
      </c>
      <c r="P167" t="str">
        <f>Companies!Q197</f>
        <v>N/A</v>
      </c>
    </row>
    <row r="168" spans="2:16">
      <c r="B168" t="str">
        <f>Companies!B198</f>
        <v>Facet.ai</v>
      </c>
      <c r="C168" t="str">
        <f>Companies!C198</f>
        <v>Private</v>
      </c>
      <c r="D168">
        <f>Companies!D198</f>
        <v>75</v>
      </c>
      <c r="E168" t="str">
        <f>Companies!E198</f>
        <v>Series A</v>
      </c>
      <c r="F168">
        <f>Companies!F198</f>
        <v>13</v>
      </c>
      <c r="G168" t="str">
        <f>Companies!H198</f>
        <v>Image Tools</v>
      </c>
      <c r="H168" t="str">
        <f>Companies!I198</f>
        <v>Joseph Reisinger, Matt Stanton</v>
      </c>
      <c r="I168" t="str">
        <f>Companies!J198</f>
        <v>Enterprise</v>
      </c>
      <c r="J168" t="str">
        <f>Companies!K198</f>
        <v>Image Workflow</v>
      </c>
      <c r="K168">
        <f>Companies!L198</f>
        <v>2017</v>
      </c>
      <c r="L168">
        <f>Companies!M198</f>
        <v>0</v>
      </c>
      <c r="M168" t="str">
        <f>Companies!N198</f>
        <v>Two Sigma Ventures, Spacecadet Ventures, South Park Commons, Slow Ventures, Basis Set Ventures, Accel</v>
      </c>
      <c r="N168" t="str">
        <f>Companies!O198</f>
        <v>Seed</v>
      </c>
      <c r="O168">
        <f>Companies!P198</f>
        <v>2.5</v>
      </c>
      <c r="P168" t="str">
        <f>Companies!Q198</f>
        <v>Spacecadet Ventures, 10X Capital</v>
      </c>
    </row>
    <row r="169" spans="2:16">
      <c r="B169" t="str">
        <f>Companies!B199</f>
        <v>EnCharge AI</v>
      </c>
      <c r="C169" t="str">
        <f>Companies!C199</f>
        <v>Private</v>
      </c>
      <c r="D169">
        <f>Companies!D199</f>
        <v>60</v>
      </c>
      <c r="E169" t="str">
        <f>Companies!E199</f>
        <v>Series A</v>
      </c>
      <c r="F169">
        <f>Companies!F199</f>
        <v>21.7</v>
      </c>
      <c r="G169" t="str">
        <f>Companies!H199</f>
        <v>FPGA for AI</v>
      </c>
      <c r="H169">
        <f>Companies!I199</f>
        <v>0</v>
      </c>
      <c r="I169" t="str">
        <f>Companies!J199</f>
        <v>Hardware</v>
      </c>
      <c r="J169" t="str">
        <f>Companies!K199</f>
        <v>FPGA</v>
      </c>
      <c r="K169">
        <f>Companies!L199</f>
        <v>2022</v>
      </c>
      <c r="L169">
        <f>Companies!M199</f>
        <v>0</v>
      </c>
      <c r="M169" t="str">
        <f>Companies!N199</f>
        <v>Anzu Partners, The E14 Fund, Silicon Catalyst, Scout Ventures, Schams Ventures, Alumni Ventures, AlleyCorp</v>
      </c>
      <c r="N169" t="str">
        <f>Companies!O199</f>
        <v>N/A</v>
      </c>
      <c r="O169" t="str">
        <f>Companies!P199</f>
        <v>N/A</v>
      </c>
      <c r="P169" t="str">
        <f>Companies!Q199</f>
        <v>N/A</v>
      </c>
    </row>
    <row r="170" spans="2:16">
      <c r="B170" t="str">
        <f>Companies!B200</f>
        <v>Ava</v>
      </c>
      <c r="C170" t="str">
        <f>Companies!C200</f>
        <v>Private</v>
      </c>
      <c r="D170">
        <f>Companies!D200</f>
        <v>60</v>
      </c>
      <c r="E170" t="str">
        <f>Companies!E200</f>
        <v>Series A</v>
      </c>
      <c r="F170">
        <f>Companies!F200</f>
        <v>10</v>
      </c>
      <c r="G170" t="str">
        <f>Companies!H200</f>
        <v>Real-time transcription</v>
      </c>
      <c r="H170" t="str">
        <f>Companies!I200</f>
        <v>Pieter Doevendans, Skinner Cheng, Thibault Duchemin</v>
      </c>
      <c r="I170" t="str">
        <f>Companies!J200</f>
        <v>Enterprise</v>
      </c>
      <c r="J170" t="str">
        <f>Companies!K200</f>
        <v>Transcription</v>
      </c>
      <c r="K170">
        <f>Companies!L200</f>
        <v>2014</v>
      </c>
      <c r="L170">
        <f>Companies!M200</f>
        <v>0</v>
      </c>
      <c r="M170" t="str">
        <f>Companies!N200</f>
        <v>Khosla Ventures, Sorenson Ventures, Ring Capital, Lerer Hippeau, FrenchFounders, Initialized Capital</v>
      </c>
      <c r="N170" t="str">
        <f>Companies!O200</f>
        <v>Seed</v>
      </c>
      <c r="O170">
        <f>Companies!P200</f>
        <v>4.5</v>
      </c>
      <c r="P170" t="str">
        <f>Companies!Q200</f>
        <v>Khosla Ventures, Initialized Capital, Day One Ventures</v>
      </c>
    </row>
    <row r="171" spans="2:16">
      <c r="B171" t="str">
        <f>Companies!B201</f>
        <v>ZeroEyes</v>
      </c>
      <c r="C171" t="str">
        <f>Companies!C201</f>
        <v>Private</v>
      </c>
      <c r="D171">
        <f>Companies!D201</f>
        <v>50</v>
      </c>
      <c r="E171" t="str">
        <f>Companies!E201</f>
        <v>Series A</v>
      </c>
      <c r="F171">
        <f>Companies!F201</f>
        <v>20.9</v>
      </c>
      <c r="G171" t="str">
        <f>Companies!H201</f>
        <v>AI Gun Detection</v>
      </c>
      <c r="H171" t="str">
        <f>Companies!I201</f>
        <v>Billy Hunter, Caleb Jones, Dustin Brooks, Mike Lahiff, Rob Huberty, Sam Alaimo, Tim Sulzer</v>
      </c>
      <c r="I171" t="str">
        <f>Companies!J201</f>
        <v>Enterprise</v>
      </c>
      <c r="J171" t="str">
        <f>Companies!K201</f>
        <v>Safety</v>
      </c>
      <c r="K171">
        <f>Companies!L201</f>
        <v>2018</v>
      </c>
      <c r="L171">
        <f>Companies!M201</f>
        <v>0</v>
      </c>
      <c r="M171" t="str">
        <f>Companies!N201</f>
        <v>Octave Ventures LLC, Legion Capital, Grateful Ventures, Alpha Intelligence Capital, Alliance Holdings GP</v>
      </c>
      <c r="N171" t="str">
        <f>Companies!O201</f>
        <v>Seed</v>
      </c>
      <c r="O171">
        <f>Companies!P201</f>
        <v>1.5</v>
      </c>
      <c r="P171" t="str">
        <f>Companies!Q201</f>
        <v>Natoma, Legion Capital, Grateful Ventures, Backswing Ventures</v>
      </c>
    </row>
    <row r="172" spans="2:16">
      <c r="B172" t="str">
        <f>Companies!B202</f>
        <v>Essential AI</v>
      </c>
      <c r="C172" t="str">
        <f>Companies!C202</f>
        <v>Private</v>
      </c>
      <c r="D172">
        <f>Companies!D202</f>
        <v>50</v>
      </c>
      <c r="E172" t="str">
        <f>Companies!E202</f>
        <v>Seed</v>
      </c>
      <c r="F172">
        <f>Companies!F202</f>
        <v>18.5</v>
      </c>
      <c r="G172" t="str">
        <f>Companies!H202</f>
        <v>LLM tools</v>
      </c>
      <c r="H172" t="str">
        <f>Companies!I202</f>
        <v>Ashish Vaswani, Niki Parmar</v>
      </c>
      <c r="I172" t="str">
        <f>Companies!J202</f>
        <v>Enterprise</v>
      </c>
      <c r="J172" t="str">
        <f>Companies!K202</f>
        <v>MLOps</v>
      </c>
      <c r="K172">
        <f>Companies!L202</f>
        <v>2023</v>
      </c>
      <c r="L172">
        <f>Companies!M202</f>
        <v>0</v>
      </c>
      <c r="M172" t="str">
        <f>Companies!N202</f>
        <v>Elad Gil, Thrive Capital</v>
      </c>
      <c r="N172" t="str">
        <f>Companies!O202</f>
        <v>N/A</v>
      </c>
      <c r="O172" t="str">
        <f>Companies!P202</f>
        <v>N/A</v>
      </c>
      <c r="P172" t="str">
        <f>Companies!Q202</f>
        <v>N/A</v>
      </c>
    </row>
    <row r="173" spans="2:16">
      <c r="B173" t="str">
        <f>Companies!B203</f>
        <v>Galileo</v>
      </c>
      <c r="C173" t="str">
        <f>Companies!C203</f>
        <v>Private</v>
      </c>
      <c r="D173">
        <f>Companies!D203</f>
        <v>50</v>
      </c>
      <c r="E173" t="str">
        <f>Companies!E203</f>
        <v>Series A</v>
      </c>
      <c r="F173">
        <f>Companies!F203</f>
        <v>18</v>
      </c>
      <c r="G173" t="str">
        <f>Companies!H203</f>
        <v>Unstructured data, LLM studio</v>
      </c>
      <c r="H173" t="str">
        <f>Companies!I203</f>
        <v>Atindriyo Sanyal, Vikram Chatterji, Yash Sheth</v>
      </c>
      <c r="I173" t="str">
        <f>Companies!J203</f>
        <v>Enterprise</v>
      </c>
      <c r="J173" t="str">
        <f>Companies!K203</f>
        <v>MLOps</v>
      </c>
      <c r="K173">
        <f>Companies!L203</f>
        <v>2021</v>
      </c>
      <c r="L173">
        <f>Companies!M203</f>
        <v>0</v>
      </c>
      <c r="M173" t="str">
        <f>Companies!N203</f>
        <v>Battery Ventures, Walden Catalyst, FPV Ventures, The Factory, Anthony Goldbloom</v>
      </c>
      <c r="N173" t="str">
        <f>Companies!O203</f>
        <v>Seed</v>
      </c>
      <c r="O173">
        <f>Companies!P203</f>
        <v>5.0999999999999996</v>
      </c>
      <c r="P173" t="str">
        <f>Companies!Q203</f>
        <v>Factory, Anthony Goldbloom, Young Sohn, Remi El-Ouazzane, Lip-Bu Tan, Amarjit Gill, Ajay Shah</v>
      </c>
    </row>
    <row r="174" spans="2:16">
      <c r="B174" t="str">
        <f>Companies!B204</f>
        <v>Tabnine</v>
      </c>
      <c r="C174" t="str">
        <f>Companies!C204</f>
        <v>Private</v>
      </c>
      <c r="D174">
        <f>Companies!D204</f>
        <v>50</v>
      </c>
      <c r="E174" t="str">
        <f>Companies!E204</f>
        <v>Series A</v>
      </c>
      <c r="F174">
        <f>Companies!F204</f>
        <v>15.5</v>
      </c>
      <c r="G174" t="str">
        <f>Companies!H204</f>
        <v>Code completion</v>
      </c>
      <c r="H174" t="str">
        <f>Companies!I204</f>
        <v>Dror Weiss, Eran Yahav</v>
      </c>
      <c r="I174" t="str">
        <f>Companies!J204</f>
        <v>Enterprise</v>
      </c>
      <c r="J174" t="str">
        <f>Companies!K204</f>
        <v>Programming</v>
      </c>
      <c r="K174">
        <f>Companies!L204</f>
        <v>2013</v>
      </c>
      <c r="L174">
        <f>Companies!M204</f>
        <v>0</v>
      </c>
      <c r="M174" t="str">
        <f>Companies!N204</f>
        <v>Samsung NEXT, Qualcomm Ventures, OurCrowd, TPY Capital, Khosla Ventures, Hetz Ventures, Headline</v>
      </c>
      <c r="N174" t="str">
        <f>Companies!O204</f>
        <v>Series A</v>
      </c>
      <c r="O174">
        <f>Companies!P204</f>
        <v>12</v>
      </c>
      <c r="P174" t="str">
        <f>Companies!Q204</f>
        <v>Headline, TPY Capital, Khosla, Hetz</v>
      </c>
    </row>
    <row r="175" spans="2:16">
      <c r="B175" t="str">
        <f>Companies!B205</f>
        <v>Noogata</v>
      </c>
      <c r="C175" t="str">
        <f>Companies!C205</f>
        <v>Private</v>
      </c>
      <c r="D175">
        <f>Companies!D205</f>
        <v>50</v>
      </c>
      <c r="E175" t="str">
        <f>Companies!E205</f>
        <v>Series A</v>
      </c>
      <c r="F175">
        <f>Companies!F205</f>
        <v>16</v>
      </c>
      <c r="G175" t="str">
        <f>Companies!H205</f>
        <v>Growth/Marketing just for Amazon channel</v>
      </c>
      <c r="H175" t="str">
        <f>Companies!I205</f>
        <v>Assaf Egozi, Oren Raboy</v>
      </c>
      <c r="I175" t="str">
        <f>Companies!J205</f>
        <v>Enterprise</v>
      </c>
      <c r="J175" t="str">
        <f>Companies!K205</f>
        <v>Retail</v>
      </c>
      <c r="K175">
        <f>Companies!L205</f>
        <v>2019</v>
      </c>
      <c r="L175">
        <f>Companies!M205</f>
        <v>0</v>
      </c>
      <c r="M175" t="str">
        <f>Companies!N205</f>
        <v>Eight Roads Ventures, Allon Ventures</v>
      </c>
      <c r="N175" t="str">
        <f>Companies!O205</f>
        <v>Seed</v>
      </c>
      <c r="O175">
        <f>Companies!P205</f>
        <v>12</v>
      </c>
      <c r="P175" t="str">
        <f>Companies!Q205</f>
        <v>Team8, Inference Partners, Conviction VC</v>
      </c>
    </row>
    <row r="176" spans="2:16">
      <c r="B176" t="str">
        <f>Companies!B206</f>
        <v>Botpress</v>
      </c>
      <c r="C176" t="str">
        <f>Companies!C206</f>
        <v>Private</v>
      </c>
      <c r="D176">
        <f>Companies!D206</f>
        <v>50</v>
      </c>
      <c r="E176" t="str">
        <f>Companies!E206</f>
        <v>Series A</v>
      </c>
      <c r="F176">
        <f>Companies!F206</f>
        <v>15</v>
      </c>
      <c r="G176" t="str">
        <f>Companies!H206</f>
        <v>Chatbot automater</v>
      </c>
      <c r="H176" t="str">
        <f>Companies!I206</f>
        <v>Sylvain Perron</v>
      </c>
      <c r="I176" t="str">
        <f>Companies!J206</f>
        <v>Enterprise</v>
      </c>
      <c r="J176" t="str">
        <f>Companies!K206</f>
        <v>Chatbots</v>
      </c>
      <c r="K176">
        <f>Companies!L206</f>
        <v>2017</v>
      </c>
      <c r="L176">
        <f>Companies!M206</f>
        <v>0</v>
      </c>
      <c r="M176" t="str">
        <f>Companies!N206</f>
        <v>Decibel, Real Ventures, overtime.vc, Inovia Capital, Hike Ventures, Bossanova Investimentos</v>
      </c>
      <c r="N176" t="str">
        <f>Companies!O206</f>
        <v>Pre-Seed</v>
      </c>
      <c r="O176" t="str">
        <f>Companies!P206</f>
        <v>N/A</v>
      </c>
      <c r="P176" t="str">
        <f>Companies!Q206</f>
        <v>Panache Ventures, Real Ventures, One Way Ventures, Hike Ventures, Fonds Innovexport, Creative Destruction Lab, BoxOne Ventures</v>
      </c>
    </row>
    <row r="177" spans="2:16">
      <c r="B177" t="str">
        <f>Companies!B207</f>
        <v>Spellbook (Rally)</v>
      </c>
      <c r="C177" t="str">
        <f>Companies!C207</f>
        <v>Private</v>
      </c>
      <c r="D177">
        <f>Companies!D207</f>
        <v>50</v>
      </c>
      <c r="E177" t="str">
        <f>Companies!E207</f>
        <v>Series A</v>
      </c>
      <c r="F177">
        <f>Companies!F207</f>
        <v>11</v>
      </c>
      <c r="G177" t="str">
        <f>Companies!H207</f>
        <v>Contracts</v>
      </c>
      <c r="H177">
        <f>Companies!I207</f>
        <v>0</v>
      </c>
      <c r="I177" t="str">
        <f>Companies!J207</f>
        <v>Enterprise</v>
      </c>
      <c r="J177" t="str">
        <f>Companies!K207</f>
        <v>Legal</v>
      </c>
      <c r="K177">
        <f>Companies!L207</f>
        <v>2018</v>
      </c>
      <c r="L177">
        <f>Companies!M207</f>
        <v>0</v>
      </c>
      <c r="M177" t="str">
        <f>Companies!N207</f>
        <v>Moxxie Ventures, Thomson Reuters Ventures, Bling Capital, Concrete Ventures, BDC Venture Capital, Good News Ventures, Inovia Capital, N49P, The LegalTech Fund</v>
      </c>
      <c r="N177" t="str">
        <f>Companies!O207</f>
        <v>Seed</v>
      </c>
      <c r="O177" t="str">
        <f>Companies!P207</f>
        <v>N/A</v>
      </c>
      <c r="P177" t="str">
        <f>Companies!Q207</f>
        <v>Path Ventures</v>
      </c>
    </row>
    <row r="178" spans="2:16">
      <c r="B178" t="str">
        <f>Companies!B208</f>
        <v>Xembly</v>
      </c>
      <c r="C178" t="str">
        <f>Companies!C208</f>
        <v>Private</v>
      </c>
      <c r="D178">
        <f>Companies!D208</f>
        <v>50</v>
      </c>
      <c r="E178" t="str">
        <f>Companies!E208</f>
        <v>Series A</v>
      </c>
      <c r="F178">
        <f>Companies!F208</f>
        <v>15</v>
      </c>
      <c r="G178" t="str">
        <f>Companies!H208</f>
        <v>"Chief of staff"</v>
      </c>
      <c r="H178" t="str">
        <f>Companies!I208</f>
        <v>Jason Flaks</v>
      </c>
      <c r="I178" t="str">
        <f>Companies!J208</f>
        <v>Enterprise</v>
      </c>
      <c r="J178" t="str">
        <f>Companies!K208</f>
        <v>Assistant</v>
      </c>
      <c r="K178">
        <f>Companies!L208</f>
        <v>2020</v>
      </c>
      <c r="L178">
        <f>Companies!M208</f>
        <v>0</v>
      </c>
      <c r="M178" t="str">
        <f>Companies!N208</f>
        <v>Norwest Venture Partners, Seven Peaks Ventures, Lightspeed, Ascend</v>
      </c>
      <c r="N178" t="str">
        <f>Companies!O208</f>
        <v>N/A</v>
      </c>
      <c r="O178" t="str">
        <f>Companies!P208</f>
        <v>N/A</v>
      </c>
      <c r="P178" t="str">
        <f>Companies!Q208</f>
        <v>N/A</v>
      </c>
    </row>
    <row r="179" spans="2:16">
      <c r="B179" t="str">
        <f>Companies!B209</f>
        <v>Abridge</v>
      </c>
      <c r="C179" t="str">
        <f>Companies!C209</f>
        <v>Private</v>
      </c>
      <c r="D179">
        <f>Companies!D209</f>
        <v>50</v>
      </c>
      <c r="E179" t="str">
        <f>Companies!E209</f>
        <v>Series A</v>
      </c>
      <c r="F179">
        <f>Companies!F209</f>
        <v>12.5</v>
      </c>
      <c r="G179" t="str">
        <f>Companies!H209</f>
        <v>Doctor notes</v>
      </c>
      <c r="H179" t="str">
        <f>Companies!I209</f>
        <v>Florian Metze, Sandeep Konam, Shivdev Rao</v>
      </c>
      <c r="I179" t="str">
        <f>Companies!J209</f>
        <v>Enterprise</v>
      </c>
      <c r="J179" t="str">
        <f>Companies!K209</f>
        <v>Healthcare</v>
      </c>
      <c r="K179">
        <f>Companies!L209</f>
        <v>2018</v>
      </c>
      <c r="L179">
        <f>Companies!M209</f>
        <v>0</v>
      </c>
      <c r="M179" t="str">
        <f>Companies!N209</f>
        <v>Wittington Ventures, Whistler Capital Partners, UPMC Enterprises, Union Square Ventures, Pillar VC, Bessemer Venture Partners</v>
      </c>
      <c r="N179" t="str">
        <f>Companies!O209</f>
        <v>Series A</v>
      </c>
      <c r="O179">
        <f>Companies!P209</f>
        <v>10</v>
      </c>
      <c r="P179" t="str">
        <f>Companies!Q209</f>
        <v>Union Square Ventures, UPMC, Zen Chu, Pillar VC, KdT Ventures, Bessemer Venture Partners, Esther Dyson, Aneesh Chopra</v>
      </c>
    </row>
    <row r="180" spans="2:16">
      <c r="B180" t="str">
        <f>Companies!B210</f>
        <v>Gan.ai</v>
      </c>
      <c r="C180" t="str">
        <f>Companies!C210</f>
        <v>Private</v>
      </c>
      <c r="D180">
        <f>Companies!D210</f>
        <v>50</v>
      </c>
      <c r="E180" t="str">
        <f>Companies!E210</f>
        <v>Seed</v>
      </c>
      <c r="F180">
        <f>Companies!F210</f>
        <v>5.3</v>
      </c>
      <c r="G180" t="str">
        <f>Companies!H210</f>
        <v>Personalized Videos</v>
      </c>
      <c r="H180" t="str">
        <f>Companies!I210</f>
        <v>Suvrat Bhooshan</v>
      </c>
      <c r="I180" t="str">
        <f>Companies!J210</f>
        <v>Enterprise</v>
      </c>
      <c r="J180" t="str">
        <f>Companies!K210</f>
        <v>Video</v>
      </c>
      <c r="K180">
        <f>Companies!L210</f>
        <v>44531</v>
      </c>
      <c r="L180">
        <f>Companies!M210</f>
        <v>0</v>
      </c>
      <c r="M180" t="str">
        <f>Companies!N210</f>
        <v>Surge, Emergent Ventures</v>
      </c>
      <c r="N180" t="str">
        <f>Companies!O210</f>
        <v>Pre-Seed</v>
      </c>
      <c r="O180" t="str">
        <f>Companies!P210</f>
        <v>N/A</v>
      </c>
      <c r="P180" t="str">
        <f>Companies!Q210</f>
        <v>Surge</v>
      </c>
    </row>
    <row r="181" spans="2:16">
      <c r="B181" t="str">
        <f>Companies!B211</f>
        <v>Tenyx</v>
      </c>
      <c r="C181" t="str">
        <f>Companies!C211</f>
        <v>Private</v>
      </c>
      <c r="D181">
        <f>Companies!D211</f>
        <v>50</v>
      </c>
      <c r="E181" t="str">
        <f>Companies!E211</f>
        <v>Seed</v>
      </c>
      <c r="F181">
        <f>Companies!F211</f>
        <v>15</v>
      </c>
      <c r="G181" t="str">
        <f>Companies!H211</f>
        <v>Customer Service bots</v>
      </c>
      <c r="H181" t="str">
        <f>Companies!I211</f>
        <v>Itamer Arel, Ron Chrisley</v>
      </c>
      <c r="I181" t="str">
        <f>Companies!J211</f>
        <v>Enterprise</v>
      </c>
      <c r="J181" t="str">
        <f>Companies!K211</f>
        <v>Customer Service</v>
      </c>
      <c r="K181">
        <f>Companies!L211</f>
        <v>44362</v>
      </c>
      <c r="L181">
        <f>Companies!M211</f>
        <v>0</v>
      </c>
      <c r="M181" t="str">
        <f>Companies!N211</f>
        <v>StageOne Ventures, Point72 Ventures, Pathbreaker Ventures, Morado Ventures, Cota Capital, Coelius Capital, AME Cloud Ventures, Zach Coelius, John Lilly, Jaan Tallinn, Georges Harik</v>
      </c>
      <c r="N181" t="str">
        <f>Companies!O211</f>
        <v>N/A</v>
      </c>
      <c r="O181" t="str">
        <f>Companies!P211</f>
        <v>N/A</v>
      </c>
      <c r="P181" t="str">
        <f>Companies!Q211</f>
        <v>N/A</v>
      </c>
    </row>
    <row r="182" spans="2:16">
      <c r="B182" t="str">
        <f>Companies!B212</f>
        <v>Encord</v>
      </c>
      <c r="C182" t="str">
        <f>Companies!C212</f>
        <v>Private</v>
      </c>
      <c r="D182">
        <f>Companies!D212</f>
        <v>50</v>
      </c>
      <c r="E182" t="str">
        <f>Companies!E212</f>
        <v>Series A</v>
      </c>
      <c r="F182">
        <f>Companies!F212</f>
        <v>15</v>
      </c>
      <c r="G182" t="str">
        <f>Companies!H212</f>
        <v>Computer Vision, Annotation</v>
      </c>
      <c r="H182" t="str">
        <f>Companies!I212</f>
        <v>Eric Landau</v>
      </c>
      <c r="I182" t="str">
        <f>Companies!J212</f>
        <v>Enterprise</v>
      </c>
      <c r="J182" t="str">
        <f>Companies!K212</f>
        <v>MLOps</v>
      </c>
      <c r="K182">
        <f>Companies!L212</f>
        <v>2020</v>
      </c>
      <c r="L182">
        <f>Companies!M212</f>
        <v>0</v>
      </c>
      <c r="M182" t="str">
        <f>Companies!N212</f>
        <v>CRV, Y Combinator, Harpoon, Crane</v>
      </c>
      <c r="N182" t="str">
        <f>Companies!O212</f>
        <v>Seed</v>
      </c>
      <c r="O182">
        <f>Companies!P212</f>
        <v>4.5</v>
      </c>
      <c r="P182" t="str">
        <f>Companies!Q212</f>
        <v>CRV, Y Combinator, WndrCo, Harvard, Des Traynor, Crane Venture</v>
      </c>
    </row>
    <row r="183" spans="2:16">
      <c r="B183" t="str">
        <f>Companies!B213</f>
        <v>SuperAnnotate</v>
      </c>
      <c r="C183" t="str">
        <f>Companies!C213</f>
        <v>Private</v>
      </c>
      <c r="D183">
        <f>Companies!D213</f>
        <v>50</v>
      </c>
      <c r="E183" t="str">
        <f>Companies!E213</f>
        <v>Series A</v>
      </c>
      <c r="F183">
        <f>Companies!F213</f>
        <v>14.5</v>
      </c>
      <c r="G183" t="str">
        <f>Companies!H213</f>
        <v>Training Data platform, CV pipeline</v>
      </c>
      <c r="H183" t="str">
        <f>Companies!I213</f>
        <v>Davit Badalyan, Tigran Petrosyan</v>
      </c>
      <c r="I183" t="str">
        <f>Companies!J213</f>
        <v>Enterprise</v>
      </c>
      <c r="J183" t="str">
        <f>Companies!K213</f>
        <v>MLOps</v>
      </c>
      <c r="K183">
        <f>Companies!L213</f>
        <v>2019</v>
      </c>
      <c r="L183">
        <f>Companies!M213</f>
        <v>0</v>
      </c>
      <c r="M183" t="str">
        <f>Companies!N213</f>
        <v>Base10 Partners, Runa Capital, Point Nine, Plug and Play, Fathom Capital</v>
      </c>
      <c r="N183" t="str">
        <f>Companies!O213</f>
        <v>Seed</v>
      </c>
      <c r="O183">
        <f>Companies!P213</f>
        <v>3</v>
      </c>
      <c r="P183" t="str">
        <f>Companies!Q213</f>
        <v>Point Nine, SmartGateVC, Runa Capital, Point Nine, Granatus Ventures, Fathom Capital, Berkeley SkyDeck Fund</v>
      </c>
    </row>
    <row r="184" spans="2:16">
      <c r="B184" t="str">
        <f>Companies!B214</f>
        <v>Graft</v>
      </c>
      <c r="C184" t="str">
        <f>Companies!C214</f>
        <v>Private</v>
      </c>
      <c r="D184">
        <f>Companies!D214</f>
        <v>50</v>
      </c>
      <c r="E184" t="str">
        <f>Companies!E214</f>
        <v>Seed</v>
      </c>
      <c r="F184">
        <f>Companies!F214</f>
        <v>15</v>
      </c>
      <c r="G184" t="str">
        <f>Companies!H214</f>
        <v>ML Platform</v>
      </c>
      <c r="H184" t="str">
        <f>Companies!I214</f>
        <v>Adam Oliner</v>
      </c>
      <c r="I184" t="str">
        <f>Companies!J214</f>
        <v>Enterprise</v>
      </c>
      <c r="J184" t="str">
        <f>Companies!K214</f>
        <v>MLOps</v>
      </c>
      <c r="K184">
        <f>Companies!L214</f>
        <v>2021</v>
      </c>
      <c r="L184" t="str">
        <f>Companies!M214</f>
        <v>Former head of ML at Slack</v>
      </c>
      <c r="M184" t="str">
        <f>Companies!N214</f>
        <v>N/A</v>
      </c>
      <c r="N184" t="str">
        <f>Companies!O214</f>
        <v>Pre-Seed</v>
      </c>
      <c r="O184">
        <f>Companies!P214</f>
        <v>4.5</v>
      </c>
      <c r="P184" t="str">
        <f>Companies!Q214</f>
        <v>Google Ventures, SVA, NEA, Formula Ventures, Essence VC</v>
      </c>
    </row>
    <row r="185" spans="2:16">
      <c r="B185" t="str">
        <f>Companies!B215</f>
        <v>Zowie</v>
      </c>
      <c r="C185" t="str">
        <f>Companies!C215</f>
        <v>Private</v>
      </c>
      <c r="D185">
        <f>Companies!D215</f>
        <v>50</v>
      </c>
      <c r="E185" t="str">
        <f>Companies!E215</f>
        <v>Series A</v>
      </c>
      <c r="F185">
        <f>Companies!F215</f>
        <v>14</v>
      </c>
      <c r="G185" t="str">
        <f>Companies!H215</f>
        <v>Customer Service bots</v>
      </c>
      <c r="H185" t="str">
        <f>Companies!I215</f>
        <v>Maja Schaefer, Matt Ciolek</v>
      </c>
      <c r="I185" t="str">
        <f>Companies!J215</f>
        <v>Enterprise</v>
      </c>
      <c r="J185" t="str">
        <f>Companies!K215</f>
        <v>Customer Service</v>
      </c>
      <c r="K185">
        <f>Companies!L215</f>
        <v>2019</v>
      </c>
      <c r="L185">
        <f>Companies!M215</f>
        <v>0</v>
      </c>
      <c r="M185" t="str">
        <f>Companies!N215</f>
        <v>Tiger, Inovo VC, Gradient Ventures, 10x Founders, Jack Altman</v>
      </c>
      <c r="N185" t="str">
        <f>Companies!O215</f>
        <v>Seed</v>
      </c>
      <c r="O185">
        <f>Companies!P215</f>
        <v>5</v>
      </c>
      <c r="P185" t="str">
        <f>Companies!Q215</f>
        <v>Gradient Ventures, 10x Founders, Pascal Weinberger, Jack Altman</v>
      </c>
    </row>
    <row r="186" spans="2:16">
      <c r="B186" t="str">
        <f>Companies!B216</f>
        <v>Mind Foundry</v>
      </c>
      <c r="C186" t="str">
        <f>Companies!C216</f>
        <v>Private</v>
      </c>
      <c r="D186">
        <f>Companies!D216</f>
        <v>50</v>
      </c>
      <c r="E186" t="str">
        <f>Companies!E216</f>
        <v>Series A</v>
      </c>
      <c r="F186">
        <f>Companies!F216</f>
        <v>13.6</v>
      </c>
      <c r="G186" t="str">
        <f>Companies!H216</f>
        <v>ML platform</v>
      </c>
      <c r="H186" t="str">
        <f>Companies!I216</f>
        <v>Michael Osborne, Stephen Roberts</v>
      </c>
      <c r="I186" t="str">
        <f>Companies!J216</f>
        <v>Enterprise</v>
      </c>
      <c r="J186" t="str">
        <f>Companies!K216</f>
        <v>Platform</v>
      </c>
      <c r="K186">
        <f>Companies!L216</f>
        <v>2016</v>
      </c>
      <c r="L186">
        <f>Companies!M216</f>
        <v>0</v>
      </c>
      <c r="M186" t="str">
        <f>Companies!N216</f>
        <v>Aioi Nissay Dowa Insurance</v>
      </c>
      <c r="N186" t="str">
        <f>Companies!O216</f>
        <v>Series A</v>
      </c>
      <c r="O186">
        <f>Companies!P216</f>
        <v>6</v>
      </c>
      <c r="P186" t="str">
        <f>Companies!Q216</f>
        <v>Parkwalk Advisors</v>
      </c>
    </row>
    <row r="187" spans="2:16">
      <c r="B187" t="str">
        <f>Companies!B217</f>
        <v>Haiper</v>
      </c>
      <c r="C187" t="str">
        <f>Companies!C217</f>
        <v>Private</v>
      </c>
      <c r="D187">
        <f>Companies!D217</f>
        <v>50</v>
      </c>
      <c r="E187" t="str">
        <f>Companies!E217</f>
        <v>Seed</v>
      </c>
      <c r="F187">
        <f>Companies!F217</f>
        <v>13.75</v>
      </c>
      <c r="G187" t="str">
        <f>Companies!H217</f>
        <v>3D Reconstruction</v>
      </c>
      <c r="H187" t="str">
        <f>Companies!I217</f>
        <v>Ziyu Wang</v>
      </c>
      <c r="I187" t="str">
        <f>Companies!J217</f>
        <v>Tool</v>
      </c>
      <c r="J187" t="str">
        <f>Companies!K217</f>
        <v>Text-to-3D</v>
      </c>
      <c r="K187">
        <f>Companies!L217</f>
        <v>2021</v>
      </c>
      <c r="L187" t="str">
        <f>Companies!M217</f>
        <v>Unimpressive</v>
      </c>
      <c r="M187" t="str">
        <f>Companies!N217</f>
        <v>N/A</v>
      </c>
      <c r="N187" t="str">
        <f>Companies!O217</f>
        <v>Seed</v>
      </c>
      <c r="O187">
        <f>Companies!P217</f>
        <v>5.4</v>
      </c>
      <c r="P187" t="str">
        <f>Companies!Q217</f>
        <v>N/A</v>
      </c>
    </row>
    <row r="188" spans="2:16">
      <c r="B188" t="str">
        <f>Companies!B218</f>
        <v>Hume AI</v>
      </c>
      <c r="C188" t="str">
        <f>Companies!C218</f>
        <v>Private</v>
      </c>
      <c r="D188">
        <f>Companies!D218</f>
        <v>50</v>
      </c>
      <c r="E188" t="str">
        <f>Companies!E218</f>
        <v>Series A</v>
      </c>
      <c r="F188">
        <f>Companies!F218</f>
        <v>12.7</v>
      </c>
      <c r="G188" t="str">
        <f>Companies!H218</f>
        <v>Emotion analysis</v>
      </c>
      <c r="H188" t="str">
        <f>Companies!I218</f>
        <v>Alan Cowen</v>
      </c>
      <c r="I188" t="str">
        <f>Companies!J218</f>
        <v>Enterprise</v>
      </c>
      <c r="J188" t="str">
        <f>Companies!K218</f>
        <v>Autism</v>
      </c>
      <c r="K188">
        <f>Companies!L218</f>
        <v>2021</v>
      </c>
      <c r="L188">
        <f>Companies!M218</f>
        <v>0</v>
      </c>
      <c r="M188" t="str">
        <f>Companies!N218</f>
        <v>Union Square Ventures, Wisdom Ventures, Northwell Holdings, LG Technology Ventures, Comcast Ventures, Evan Sharp</v>
      </c>
      <c r="N188" t="str">
        <f>Companies!O218</f>
        <v>Seed</v>
      </c>
      <c r="O188">
        <f>Companies!P218</f>
        <v>5</v>
      </c>
      <c r="P188" t="str">
        <f>Companies!Q218</f>
        <v>Aegis Ventures</v>
      </c>
    </row>
    <row r="189" spans="2:16">
      <c r="B189" t="str">
        <f>Companies!B219</f>
        <v>Bridgewise</v>
      </c>
      <c r="C189" t="str">
        <f>Companies!C219</f>
        <v>Private</v>
      </c>
      <c r="D189">
        <f>Companies!D219</f>
        <v>50</v>
      </c>
      <c r="E189" t="str">
        <f>Companies!E219</f>
        <v>Seed</v>
      </c>
      <c r="F189">
        <f>Companies!F219</f>
        <v>13</v>
      </c>
      <c r="G189" t="str">
        <f>Companies!H219</f>
        <v>Finance research</v>
      </c>
      <c r="H189" t="str">
        <f>Companies!I219</f>
        <v>Dor Eligula, Gabriel Diamant, Or Eligula</v>
      </c>
      <c r="I189" t="str">
        <f>Companies!J219</f>
        <v>Enterprise</v>
      </c>
      <c r="J189" t="str">
        <f>Companies!K219</f>
        <v>Finance</v>
      </c>
      <c r="K189">
        <f>Companies!L219</f>
        <v>2019</v>
      </c>
      <c r="L189">
        <f>Companies!M219</f>
        <v>0</v>
      </c>
      <c r="M189" t="str">
        <f>Companies!N219</f>
        <v>Group 11, L4 Venture Builder, Mangrove</v>
      </c>
      <c r="N189" t="str">
        <f>Companies!O219</f>
        <v>Pre-Seed</v>
      </c>
      <c r="O189">
        <f>Companies!P219</f>
        <v>1</v>
      </c>
      <c r="P189" t="str">
        <f>Companies!Q219</f>
        <v>N/A</v>
      </c>
    </row>
    <row r="190" spans="2:16">
      <c r="B190" t="str">
        <f>Companies!B220</f>
        <v>Vectice</v>
      </c>
      <c r="C190" t="str">
        <f>Companies!C220</f>
        <v>Private</v>
      </c>
      <c r="D190">
        <f>Companies!D220</f>
        <v>50</v>
      </c>
      <c r="E190" t="str">
        <f>Companies!E220</f>
        <v>Series A</v>
      </c>
      <c r="F190">
        <f>Companies!F220</f>
        <v>12.6</v>
      </c>
      <c r="G190" t="str">
        <f>Companies!H220</f>
        <v>Platform</v>
      </c>
      <c r="H190" t="str">
        <f>Companies!I220</f>
        <v>Cyril Brignone</v>
      </c>
      <c r="I190" t="str">
        <f>Companies!J220</f>
        <v>Enterprise</v>
      </c>
      <c r="J190" t="str">
        <f>Companies!K220</f>
        <v>MLOps</v>
      </c>
      <c r="K190">
        <f>Companies!L220</f>
        <v>2020</v>
      </c>
      <c r="L190">
        <f>Companies!M220</f>
        <v>0</v>
      </c>
      <c r="M190" t="str">
        <f>Companies!N220</f>
        <v>Sorenson Ventures, Crosslink Capital, Spider Capital, Silicon Valley Bank, Global Founders Capital</v>
      </c>
      <c r="N190" t="str">
        <f>Companies!O220</f>
        <v>Seed</v>
      </c>
      <c r="O190">
        <f>Companies!P220</f>
        <v>3</v>
      </c>
      <c r="P190" t="str">
        <f>Companies!Q220</f>
        <v>Spider Capital, Crosslink Capital, Global Founders Capital</v>
      </c>
    </row>
    <row r="191" spans="2:16">
      <c r="B191" t="str">
        <f>Companies!B221</f>
        <v>Numbers Station</v>
      </c>
      <c r="C191" t="str">
        <f>Companies!C221</f>
        <v>Private</v>
      </c>
      <c r="D191">
        <f>Companies!D221</f>
        <v>50</v>
      </c>
      <c r="E191" t="str">
        <f>Companies!E221</f>
        <v>Series A</v>
      </c>
      <c r="F191">
        <f>Companies!F221</f>
        <v>12.5</v>
      </c>
      <c r="G191" t="str">
        <f>Companies!H221</f>
        <v>Data stack automation</v>
      </c>
      <c r="H191">
        <f>Companies!I221</f>
        <v>0</v>
      </c>
      <c r="I191" t="str">
        <f>Companies!J221</f>
        <v>Enterprise</v>
      </c>
      <c r="J191" t="str">
        <f>Companies!K221</f>
        <v>MLOps</v>
      </c>
      <c r="K191">
        <f>Companies!L221</f>
        <v>2021</v>
      </c>
      <c r="L191">
        <f>Companies!M221</f>
        <v>0</v>
      </c>
      <c r="M191" t="str">
        <f>Companies!N221</f>
        <v>Madrona, Norwest Venture Partners, Factory, Jeff Hammerbacher, Charles Zedlewski</v>
      </c>
      <c r="N191" t="str">
        <f>Companies!O221</f>
        <v>Seed</v>
      </c>
      <c r="O191">
        <f>Companies!P221</f>
        <v>5</v>
      </c>
      <c r="P191" t="str">
        <f>Companies!Q221</f>
        <v>Firestreak</v>
      </c>
    </row>
    <row r="192" spans="2:16">
      <c r="B192" t="str">
        <f>Companies!B222</f>
        <v>Replicate</v>
      </c>
      <c r="C192" t="str">
        <f>Companies!C222</f>
        <v>Private</v>
      </c>
      <c r="D192">
        <f>Companies!D222</f>
        <v>50</v>
      </c>
      <c r="E192" t="str">
        <f>Companies!E222</f>
        <v>Series A</v>
      </c>
      <c r="F192">
        <f>Companies!F222</f>
        <v>12.5</v>
      </c>
      <c r="G192" t="str">
        <f>Companies!H222</f>
        <v>Hosting Models</v>
      </c>
      <c r="H192" t="str">
        <f>Companies!I222</f>
        <v>Ben Firshman</v>
      </c>
      <c r="I192" t="str">
        <f>Companies!J222</f>
        <v>Enterprise</v>
      </c>
      <c r="J192" t="str">
        <f>Companies!K222</f>
        <v>MLOps</v>
      </c>
      <c r="K192">
        <f>Companies!L222</f>
        <v>2019</v>
      </c>
      <c r="L192" t="str">
        <f>Companies!M222</f>
        <v>AI Grant batch 1</v>
      </c>
      <c r="M192" t="str">
        <f>Companies!N222</f>
        <v>a16z, Sequoia Capital, SVA, YC, Guillermo Rauch, Dylan Field, Lachy Groom, Andrej Karpathy</v>
      </c>
      <c r="N192" t="str">
        <f>Companies!O222</f>
        <v>Seed</v>
      </c>
      <c r="O192" t="str">
        <f>Companies!P222</f>
        <v>N/A</v>
      </c>
      <c r="P192" t="str">
        <f>Companies!Q222</f>
        <v>Y Combinator</v>
      </c>
    </row>
    <row r="193" spans="2:16">
      <c r="B193" t="str">
        <f>Companies!B223</f>
        <v>Credo AI</v>
      </c>
      <c r="C193" t="str">
        <f>Companies!C223</f>
        <v>Private</v>
      </c>
      <c r="D193">
        <f>Companies!D223</f>
        <v>50</v>
      </c>
      <c r="E193" t="str">
        <f>Companies!E223</f>
        <v>Series A</v>
      </c>
      <c r="F193">
        <f>Companies!F223</f>
        <v>12.8</v>
      </c>
      <c r="G193" t="str">
        <f>Companies!H223</f>
        <v>AI Compliance, Ethics</v>
      </c>
      <c r="H193">
        <f>Companies!I223</f>
        <v>0</v>
      </c>
      <c r="I193" t="str">
        <f>Companies!J223</f>
        <v>Enterprise</v>
      </c>
      <c r="J193" t="str">
        <f>Companies!K223</f>
        <v>MLOps</v>
      </c>
      <c r="K193">
        <f>Companies!L223</f>
        <v>2020</v>
      </c>
      <c r="L193">
        <f>Companies!M223</f>
        <v>0</v>
      </c>
      <c r="M193" t="str">
        <f>Companies!N223</f>
        <v>Sands Capital, Decibel Partners, AI Fund</v>
      </c>
      <c r="N193" t="str">
        <f>Companies!O223</f>
        <v>Seed</v>
      </c>
      <c r="O193">
        <f>Companies!P223</f>
        <v>5.5</v>
      </c>
      <c r="P193" t="str">
        <f>Companies!Q223</f>
        <v>Decibel, Village Global, AI Fund</v>
      </c>
    </row>
    <row r="194" spans="2:16">
      <c r="B194" t="str">
        <f>Companies!B224</f>
        <v>Voxel51</v>
      </c>
      <c r="C194" t="str">
        <f>Companies!C224</f>
        <v>Private</v>
      </c>
      <c r="D194">
        <f>Companies!D224</f>
        <v>50</v>
      </c>
      <c r="E194" t="str">
        <f>Companies!E224</f>
        <v>Series A</v>
      </c>
      <c r="F194">
        <f>Companies!F224</f>
        <v>12.5</v>
      </c>
      <c r="G194" t="str">
        <f>Companies!H224</f>
        <v>Computer Vision platform</v>
      </c>
      <c r="H194" t="str">
        <f>Companies!I224</f>
        <v>Brian Moore</v>
      </c>
      <c r="I194" t="str">
        <f>Companies!J224</f>
        <v>Enterprise</v>
      </c>
      <c r="J194" t="str">
        <f>Companies!K224</f>
        <v>MLOps</v>
      </c>
      <c r="K194">
        <f>Companies!L224</f>
        <v>2018</v>
      </c>
      <c r="L194">
        <f>Companies!M224</f>
        <v>0</v>
      </c>
      <c r="M194" t="str">
        <f>Companies!N224</f>
        <v>Top Harvest Capital, Shasta Ventures, Drive Capital</v>
      </c>
      <c r="N194" t="str">
        <f>Companies!O224</f>
        <v>Seed</v>
      </c>
      <c r="O194">
        <f>Companies!P224</f>
        <v>2</v>
      </c>
      <c r="P194" t="str">
        <f>Companies!Q224</f>
        <v>eLab Ventures</v>
      </c>
    </row>
    <row r="195" spans="2:16">
      <c r="B195" t="str">
        <f>Companies!B225</f>
        <v>Synthetaic</v>
      </c>
      <c r="C195" t="str">
        <f>Companies!C225</f>
        <v>Private</v>
      </c>
      <c r="D195">
        <f>Companies!D225</f>
        <v>50</v>
      </c>
      <c r="E195" t="str">
        <f>Companies!E225</f>
        <v>Series A</v>
      </c>
      <c r="F195">
        <f>Companies!F225</f>
        <v>13</v>
      </c>
      <c r="G195" t="str">
        <f>Companies!H225</f>
        <v>Image labeling</v>
      </c>
      <c r="H195" t="str">
        <f>Companies!I225</f>
        <v>Corey Jaskolski</v>
      </c>
      <c r="I195" t="str">
        <f>Companies!J225</f>
        <v>Enterprise</v>
      </c>
      <c r="J195" t="str">
        <f>Companies!K225</f>
        <v>MLOps</v>
      </c>
      <c r="K195">
        <f>Companies!L225</f>
        <v>2019</v>
      </c>
      <c r="L195">
        <f>Companies!M225</f>
        <v>0</v>
      </c>
      <c r="M195" t="str">
        <f>Companies!N225</f>
        <v>Lupa Systems, TitletownTech, Esri, Booz Allen Ventures, Betaworks Ventures</v>
      </c>
      <c r="N195" t="str">
        <f>Companies!O225</f>
        <v>Seed</v>
      </c>
      <c r="O195">
        <f>Companies!P225</f>
        <v>3.5</v>
      </c>
      <c r="P195" t="str">
        <f>Companies!Q225</f>
        <v>Lupa Systems, Titletown Tech, Betaworks, Esri, Booz Allen, Betaworks Ventures</v>
      </c>
    </row>
    <row r="196" spans="2:16">
      <c r="B196" t="str">
        <f>Companies!B226</f>
        <v>Faros AI</v>
      </c>
      <c r="C196" t="str">
        <f>Companies!C226</f>
        <v>Private</v>
      </c>
      <c r="D196">
        <f>Companies!D226</f>
        <v>50</v>
      </c>
      <c r="E196" t="str">
        <f>Companies!E226</f>
        <v>Seed</v>
      </c>
      <c r="F196">
        <f>Companies!F226</f>
        <v>12.25</v>
      </c>
      <c r="G196" t="str">
        <f>Companies!H226</f>
        <v>DevOps, monitoring</v>
      </c>
      <c r="H196" t="str">
        <f>Companies!I226</f>
        <v>Vitaly Gordon</v>
      </c>
      <c r="I196" t="str">
        <f>Companies!J226</f>
        <v>Enterprise</v>
      </c>
      <c r="J196" t="str">
        <f>Companies!K226</f>
        <v>MLOps</v>
      </c>
      <c r="K196">
        <f>Companies!L226</f>
        <v>2019</v>
      </c>
      <c r="L196" t="str">
        <f>Companies!M226</f>
        <v>Former Salesforce people</v>
      </c>
      <c r="M196" t="str">
        <f>Companies!N226</f>
        <v>SignalFire, Salesforce, Global Founders Capital, Maynard Webb, Frederic Kerrest, Adam Gross</v>
      </c>
      <c r="N196" t="str">
        <f>Companies!O226</f>
        <v>Seed</v>
      </c>
      <c r="O196">
        <f>Companies!P226</f>
        <v>3.8</v>
      </c>
      <c r="P196" t="str">
        <f>Companies!Q226</f>
        <v>N/A</v>
      </c>
    </row>
    <row r="197" spans="2:16">
      <c r="B197" t="str">
        <f>Companies!B227</f>
        <v>Paperspace</v>
      </c>
      <c r="C197" t="str">
        <f>Companies!C227</f>
        <v>Private</v>
      </c>
      <c r="D197">
        <f>Companies!D227</f>
        <v>50</v>
      </c>
      <c r="E197" t="str">
        <f>Companies!E227</f>
        <v>Series A</v>
      </c>
      <c r="F197">
        <f>Companies!F227</f>
        <v>12</v>
      </c>
      <c r="G197" t="str">
        <f>Companies!H227</f>
        <v>GPU Cloud Compute</v>
      </c>
      <c r="H197" t="str">
        <f>Companies!I227</f>
        <v>Daniel Kobran, Dillon Erb</v>
      </c>
      <c r="I197" t="str">
        <f>Companies!J227</f>
        <v>Enterprise</v>
      </c>
      <c r="J197" t="str">
        <f>Companies!K227</f>
        <v>Compute</v>
      </c>
      <c r="K197">
        <f>Companies!L227</f>
        <v>2014</v>
      </c>
      <c r="L197">
        <f>Companies!M227</f>
        <v>0</v>
      </c>
      <c r="M197" t="str">
        <f>Companies!N227</f>
        <v>Sorenson Capital, Intel Capital, SineWave Ventures, Battery Ventures, Rocketship.vc, Initialized Capital</v>
      </c>
      <c r="N197" t="str">
        <f>Companies!O227</f>
        <v>Seed</v>
      </c>
      <c r="O197">
        <f>Companies!P227</f>
        <v>4</v>
      </c>
      <c r="P197" t="str">
        <f>Companies!Q227</f>
        <v>Ludlow Ventures, Initialized Capital, DCVC</v>
      </c>
    </row>
    <row r="198" spans="2:16">
      <c r="B198" t="str">
        <f>Companies!B228</f>
        <v>Baseten</v>
      </c>
      <c r="C198" t="str">
        <f>Companies!C228</f>
        <v>Private</v>
      </c>
      <c r="D198">
        <f>Companies!D228</f>
        <v>50</v>
      </c>
      <c r="E198" t="str">
        <f>Companies!E228</f>
        <v>Series A</v>
      </c>
      <c r="F198">
        <f>Companies!F228</f>
        <v>12</v>
      </c>
      <c r="G198" t="str">
        <f>Companies!H228</f>
        <v>Serverless</v>
      </c>
      <c r="H198" t="str">
        <f>Companies!I228</f>
        <v>Amir Haghighat, Pankaj Gupta, Philip Howes, Tuhin Srivastava</v>
      </c>
      <c r="I198" t="str">
        <f>Companies!J228</f>
        <v>Enterprise</v>
      </c>
      <c r="J198" t="str">
        <f>Companies!K228</f>
        <v>MLOps</v>
      </c>
      <c r="K198">
        <f>Companies!L228</f>
        <v>2019</v>
      </c>
      <c r="L198">
        <f>Companies!M228</f>
        <v>0</v>
      </c>
      <c r="M198" t="str">
        <f>Companies!N228</f>
        <v>Greylock, South Park Commons, Lachy Groom, Jean-Denis Greze, Jay Simons, Dev Ittycheria, Cristina Cordova</v>
      </c>
      <c r="N198" t="str">
        <f>Companies!O228</f>
        <v>Seed</v>
      </c>
      <c r="O198">
        <f>Companies!P228</f>
        <v>8</v>
      </c>
      <c r="P198" t="str">
        <f>Companies!Q228</f>
        <v>Greylock, South Park Commons, AI Fund, Caffeinated Capital, DJ Patil, Dylan Field, Greg Brockman, Lachy Groom, Mustafa Suleyman</v>
      </c>
    </row>
    <row r="199" spans="2:16">
      <c r="B199" t="str">
        <f>Companies!B229</f>
        <v>LatticeFlow</v>
      </c>
      <c r="C199" t="str">
        <f>Companies!C229</f>
        <v>Private</v>
      </c>
      <c r="D199">
        <f>Companies!D229</f>
        <v>50</v>
      </c>
      <c r="E199" t="str">
        <f>Companies!E229</f>
        <v>Series A</v>
      </c>
      <c r="F199">
        <f>Companies!F229</f>
        <v>12</v>
      </c>
      <c r="G199" t="str">
        <f>Companies!H229</f>
        <v>Computer Vision</v>
      </c>
      <c r="H199" t="str">
        <f>Companies!I229</f>
        <v>Andreas Krause, Martin Vechev, Pavol Bielik, Petar Tsankov</v>
      </c>
      <c r="I199" t="str">
        <f>Companies!J229</f>
        <v>Enterprise</v>
      </c>
      <c r="J199" t="str">
        <f>Companies!K229</f>
        <v>MLOps</v>
      </c>
      <c r="K199">
        <f>Companies!L229</f>
        <v>2020</v>
      </c>
      <c r="L199" t="str">
        <f>Companies!M229</f>
        <v>ETH spinoff</v>
      </c>
      <c r="M199" t="str">
        <f>Companies!N229</f>
        <v>OpenOcean, Atlantic Bridge, FPV Ventures, Global Founders Capital, b2venture</v>
      </c>
      <c r="N199" t="str">
        <f>Companies!O229</f>
        <v>Seed</v>
      </c>
      <c r="O199">
        <f>Companies!P229</f>
        <v>2.8</v>
      </c>
      <c r="P199" t="str">
        <f>Companies!Q229</f>
        <v>Global Founders Capital, b2venture</v>
      </c>
    </row>
    <row r="200" spans="2:16">
      <c r="B200" t="str">
        <f>Companies!B230</f>
        <v>Fixie.ai</v>
      </c>
      <c r="C200" t="str">
        <f>Companies!C230</f>
        <v>Private</v>
      </c>
      <c r="D200">
        <f>Companies!D230</f>
        <v>50</v>
      </c>
      <c r="E200" t="str">
        <f>Companies!E230</f>
        <v>Series A</v>
      </c>
      <c r="F200">
        <f>Companies!F230</f>
        <v>12</v>
      </c>
      <c r="G200" t="str">
        <f>Companies!H230</f>
        <v>Javascript library</v>
      </c>
      <c r="H200" t="str">
        <f>Companies!I230</f>
        <v>Hessam Bagherinezhad, Justin Uberti, Matt Welsh, Zach Koch</v>
      </c>
      <c r="I200" t="str">
        <f>Companies!J230</f>
        <v>Enterprise</v>
      </c>
      <c r="J200" t="str">
        <f>Companies!K230</f>
        <v>MLOps</v>
      </c>
      <c r="K200">
        <f>Companies!L230</f>
        <v>2022</v>
      </c>
      <c r="L200">
        <f>Companies!M230</f>
        <v>0</v>
      </c>
      <c r="M200" t="str">
        <f>Companies!N230</f>
        <v>Redpoint, Signalfire, Madrona, Bloomberg Beta, Zetta, Kearny Jackson</v>
      </c>
      <c r="N200" t="str">
        <f>Companies!O230</f>
        <v>Seed</v>
      </c>
      <c r="O200">
        <f>Companies!P230</f>
        <v>5</v>
      </c>
      <c r="P200" t="str">
        <f>Companies!Q230</f>
        <v>Zetta, SignalFire, Bloomberg Beta, Kearny Jackson</v>
      </c>
    </row>
    <row r="201" spans="2:16">
      <c r="B201" t="str">
        <f>Companies!B231</f>
        <v>CopyAI</v>
      </c>
      <c r="C201" t="str">
        <f>Companies!C231</f>
        <v>Private</v>
      </c>
      <c r="D201">
        <f>Companies!D231</f>
        <v>50</v>
      </c>
      <c r="E201" t="str">
        <f>Companies!E231</f>
        <v>Series A</v>
      </c>
      <c r="F201">
        <f>Companies!F231</f>
        <v>11</v>
      </c>
      <c r="G201" t="str">
        <f>Companies!H231</f>
        <v>Marketing copy</v>
      </c>
      <c r="H201" t="str">
        <f>Companies!I231</f>
        <v>Chris Lu</v>
      </c>
      <c r="I201" t="str">
        <f>Companies!J231</f>
        <v>Enterprise</v>
      </c>
      <c r="J201" t="str">
        <f>Companies!K231</f>
        <v>Sales</v>
      </c>
      <c r="K201">
        <f>Companies!L231</f>
        <v>2020</v>
      </c>
      <c r="L201">
        <f>Companies!M231</f>
        <v>0</v>
      </c>
      <c r="M201" t="str">
        <f>Companies!N231</f>
        <v>Wing Venture Capital, Tiger Global, Sequoia, Craft Ventures, Elad Gil</v>
      </c>
      <c r="N201" t="str">
        <f>Companies!O231</f>
        <v>Seed</v>
      </c>
      <c r="O201">
        <f>Companies!P231</f>
        <v>2.9</v>
      </c>
      <c r="P201" t="str">
        <f>Companies!Q231</f>
        <v>Craft Ventures, Sequoia Capital, Atelier Ventures</v>
      </c>
    </row>
    <row r="202" spans="2:16">
      <c r="B202" t="str">
        <f>Companies!B232</f>
        <v>Lavender</v>
      </c>
      <c r="C202" t="str">
        <f>Companies!C232</f>
        <v>Private</v>
      </c>
      <c r="D202">
        <f>Companies!D232</f>
        <v>50</v>
      </c>
      <c r="E202" t="str">
        <f>Companies!E232</f>
        <v>Series A</v>
      </c>
      <c r="F202">
        <f>Companies!F232</f>
        <v>11</v>
      </c>
      <c r="G202" t="str">
        <f>Companies!H232</f>
        <v>Rewrite cold emails</v>
      </c>
      <c r="H202" t="str">
        <f>Companies!I232</f>
        <v>Will Allred</v>
      </c>
      <c r="I202" t="str">
        <f>Companies!J232</f>
        <v>Enterprise</v>
      </c>
      <c r="J202" t="str">
        <f>Companies!K232</f>
        <v>Sales</v>
      </c>
      <c r="K202">
        <f>Companies!L232</f>
        <v>2020</v>
      </c>
      <c r="L202">
        <f>Companies!M232</f>
        <v>0</v>
      </c>
      <c r="M202" t="str">
        <f>Companies!N232</f>
        <v>Norwest Venture Partners, Signia Venture Partners</v>
      </c>
      <c r="N202" t="str">
        <f>Companies!O232</f>
        <v>Seed</v>
      </c>
      <c r="O202">
        <f>Companies!P232</f>
        <v>2.2000000000000002</v>
      </c>
      <c r="P202" t="str">
        <f>Companies!Q232</f>
        <v>Signia Venture Partners, Position Ventures, CapitalX, Troy Osinoff, CapitalX, Braydan Young, Arash Ferdowsi, Alex Lieberman</v>
      </c>
    </row>
    <row r="203" spans="2:16">
      <c r="B203" t="str">
        <f>Companies!B233</f>
        <v>Rephrase.ai</v>
      </c>
      <c r="C203" t="str">
        <f>Companies!C233</f>
        <v>Private</v>
      </c>
      <c r="D203">
        <f>Companies!D233</f>
        <v>50</v>
      </c>
      <c r="E203" t="str">
        <f>Companies!E233</f>
        <v>Series A</v>
      </c>
      <c r="F203">
        <f>Companies!F233</f>
        <v>10.6</v>
      </c>
      <c r="G203" t="str">
        <f>Companies!H233</f>
        <v>Generative video, audio</v>
      </c>
      <c r="H203" t="str">
        <f>Companies!I233</f>
        <v>Ashray Malhotra, Nisheeth Lahoti, Shivam Mangla</v>
      </c>
      <c r="I203" t="str">
        <f>Companies!J233</f>
        <v>Enterprise</v>
      </c>
      <c r="J203" t="str">
        <f>Companies!K233</f>
        <v>Video</v>
      </c>
      <c r="K203">
        <f>Companies!L233</f>
        <v>2019</v>
      </c>
      <c r="L203">
        <f>Companies!M233</f>
        <v>0</v>
      </c>
      <c r="M203" t="str">
        <f>Companies!N233</f>
        <v>Red Ventures, Silver Lake, 8VC</v>
      </c>
      <c r="N203" t="str">
        <f>Companies!O233</f>
        <v>Seed</v>
      </c>
      <c r="O203">
        <f>Companies!P233</f>
        <v>1.5</v>
      </c>
      <c r="P203" t="str">
        <f>Companies!Q233</f>
        <v>Lightspeed India, AV8 Ventures</v>
      </c>
    </row>
    <row r="204" spans="2:16">
      <c r="B204" t="str">
        <f>Companies!B234</f>
        <v>CodiumAI</v>
      </c>
      <c r="C204" t="str">
        <f>Companies!C234</f>
        <v>Private</v>
      </c>
      <c r="D204">
        <f>Companies!D234</f>
        <v>50</v>
      </c>
      <c r="E204" t="str">
        <f>Companies!E234</f>
        <v>Seed</v>
      </c>
      <c r="F204">
        <f>Companies!F234</f>
        <v>10.6</v>
      </c>
      <c r="G204" t="str">
        <f>Companies!H234</f>
        <v>Test Suites</v>
      </c>
      <c r="H204" t="str">
        <f>Companies!I234</f>
        <v>Dedy Kredo, Itamar Friedman</v>
      </c>
      <c r="I204" t="str">
        <f>Companies!J234</f>
        <v>Enterprise</v>
      </c>
      <c r="J204" t="str">
        <f>Companies!K234</f>
        <v>Programming</v>
      </c>
      <c r="K204">
        <f>Companies!L234</f>
        <v>2022</v>
      </c>
      <c r="L204">
        <f>Companies!M234</f>
        <v>0</v>
      </c>
      <c r="M204" t="str">
        <f>Companies!N234</f>
        <v>Vine Ventures, TLV Partners</v>
      </c>
      <c r="N204" t="str">
        <f>Companies!O234</f>
        <v>N/A</v>
      </c>
      <c r="O204" t="str">
        <f>Companies!P234</f>
        <v>N/A</v>
      </c>
      <c r="P204" t="str">
        <f>Companies!Q234</f>
        <v>N/A</v>
      </c>
    </row>
    <row r="205" spans="2:16">
      <c r="B205" t="str">
        <f>Companies!B235</f>
        <v>Robin AI</v>
      </c>
      <c r="C205" t="str">
        <f>Companies!C235</f>
        <v>Private</v>
      </c>
      <c r="D205">
        <f>Companies!D235</f>
        <v>50</v>
      </c>
      <c r="E205" t="str">
        <f>Companies!E235</f>
        <v>Seed</v>
      </c>
      <c r="F205">
        <f>Companies!F235</f>
        <v>10.5</v>
      </c>
      <c r="G205" t="str">
        <f>Companies!H235</f>
        <v>Contracts</v>
      </c>
      <c r="H205" t="str">
        <f>Companies!I235</f>
        <v>Richard Robinson</v>
      </c>
      <c r="I205" t="str">
        <f>Companies!J235</f>
        <v>Enterprise</v>
      </c>
      <c r="J205" t="str">
        <f>Companies!K235</f>
        <v>Legal</v>
      </c>
      <c r="K205">
        <f>Companies!L235</f>
        <v>2019</v>
      </c>
      <c r="L205">
        <f>Companies!M235</f>
        <v>0</v>
      </c>
      <c r="M205" t="str">
        <f>Companies!N235</f>
        <v>Plural Platform, Episode 1, Tom Blomfield</v>
      </c>
      <c r="N205" t="str">
        <f>Companies!O235</f>
        <v>Seed</v>
      </c>
      <c r="O205">
        <f>Companies!P235</f>
        <v>3</v>
      </c>
      <c r="P205" t="str">
        <f>Companies!Q235</f>
        <v>SoftBank, Forward Partners, Episode 1, Tom Blomfield</v>
      </c>
    </row>
    <row r="206" spans="2:16">
      <c r="B206" t="str">
        <f>Companies!B236</f>
        <v>Capitol</v>
      </c>
      <c r="C206" t="str">
        <f>Companies!C236</f>
        <v>Private</v>
      </c>
      <c r="D206">
        <f>Companies!D236</f>
        <v>50</v>
      </c>
      <c r="E206" t="str">
        <f>Companies!E236</f>
        <v>Seed</v>
      </c>
      <c r="F206">
        <f>Companies!F236</f>
        <v>10</v>
      </c>
      <c r="G206" t="str">
        <f>Companies!H236</f>
        <v>HMOs</v>
      </c>
      <c r="H206" t="str">
        <f>Companies!I236</f>
        <v>Shaun Modi</v>
      </c>
      <c r="I206" t="str">
        <f>Companies!J236</f>
        <v>Enterprise</v>
      </c>
      <c r="J206" t="str">
        <f>Companies!K236</f>
        <v>Healthcare</v>
      </c>
      <c r="K206">
        <f>Companies!L236</f>
        <v>2021</v>
      </c>
      <c r="L206">
        <f>Companies!M236</f>
        <v>0</v>
      </c>
      <c r="M206" t="str">
        <f>Companies!N236</f>
        <v>468 Capital, Tokyo Black, Sanno Capital, Nomad Capital, Fuel Capital, AirAngels, Designer Fund, Chase Coleman, Brian Chesky, John McCormick</v>
      </c>
      <c r="N206" t="str">
        <f>Companies!O236</f>
        <v>N/A</v>
      </c>
      <c r="O206" t="str">
        <f>Companies!P236</f>
        <v>N/A</v>
      </c>
      <c r="P206" t="str">
        <f>Companies!Q236</f>
        <v>N/A</v>
      </c>
    </row>
    <row r="207" spans="2:16">
      <c r="B207" t="str">
        <f>Companies!B237</f>
        <v>Wispr</v>
      </c>
      <c r="C207" t="str">
        <f>Companies!C237</f>
        <v>Private</v>
      </c>
      <c r="D207">
        <f>Companies!D237</f>
        <v>50</v>
      </c>
      <c r="E207" t="str">
        <f>Companies!E237</f>
        <v>Seed</v>
      </c>
      <c r="F207">
        <f>Companies!F237</f>
        <v>10</v>
      </c>
      <c r="G207" t="str">
        <f>Companies!H237</f>
        <v>Mind-reading wearable</v>
      </c>
      <c r="H207" t="str">
        <f>Companies!I237</f>
        <v>Tanay Kothari</v>
      </c>
      <c r="I207" t="str">
        <f>Companies!J237</f>
        <v>Consumer</v>
      </c>
      <c r="J207" t="str">
        <f>Companies!K237</f>
        <v>Personal Computing</v>
      </c>
      <c r="K207">
        <f>Companies!L237</f>
        <v>2021</v>
      </c>
      <c r="L207">
        <f>Companies!M237</f>
        <v>0</v>
      </c>
      <c r="M207" t="str">
        <f>Companies!N237</f>
        <v>TriplePoint Capital, Neo, NEA, Modern Venture Partners, 8VC, Vijay Krishnan, Fred Ehrsam, Arash Ferdowski</v>
      </c>
      <c r="N207" t="str">
        <f>Companies!O237</f>
        <v>Seed</v>
      </c>
      <c r="O207">
        <f>Companies!P237</f>
        <v>4.5999999999999996</v>
      </c>
      <c r="P207" t="str">
        <f>Companies!Q237</f>
        <v>NEA, 8VC, AIX Ventures, Vijay Krishnan</v>
      </c>
    </row>
    <row r="208" spans="2:16">
      <c r="B208" t="str">
        <f>Companies!B238</f>
        <v>Kogniz</v>
      </c>
      <c r="C208" t="str">
        <f>Companies!C238</f>
        <v>Private</v>
      </c>
      <c r="D208">
        <f>Companies!D238</f>
        <v>50</v>
      </c>
      <c r="E208" t="str">
        <f>Companies!E238</f>
        <v>Series A</v>
      </c>
      <c r="F208">
        <f>Companies!F238</f>
        <v>10</v>
      </c>
      <c r="G208" t="str">
        <f>Companies!H238</f>
        <v>Accidents</v>
      </c>
      <c r="H208" t="str">
        <f>Companies!I238</f>
        <v>Jed Putterman</v>
      </c>
      <c r="I208" t="str">
        <f>Companies!J238</f>
        <v>Enterprise</v>
      </c>
      <c r="J208" t="str">
        <f>Companies!K238</f>
        <v>CV</v>
      </c>
      <c r="K208">
        <f>Companies!L238</f>
        <v>2016</v>
      </c>
      <c r="L208">
        <f>Companies!M238</f>
        <v>0</v>
      </c>
      <c r="M208" t="str">
        <f>Companies!N238</f>
        <v>Ulu Ventures, VentureStudio, The Indy Fund, K20 Fund, H. Barton Asset Management, Tom Chavez</v>
      </c>
      <c r="N208" t="str">
        <f>Companies!O238</f>
        <v>Seed</v>
      </c>
      <c r="O208">
        <f>Companies!P238</f>
        <v>4</v>
      </c>
      <c r="P208" t="str">
        <f>Companies!Q238</f>
        <v>The Entrepreneurs' Fund, Tom Chavez, Auren Hoffman</v>
      </c>
    </row>
    <row r="209" spans="2:16">
      <c r="B209" t="str">
        <f>Companies!B239</f>
        <v>Ask-AI</v>
      </c>
      <c r="C209" t="str">
        <f>Companies!C239</f>
        <v>Private</v>
      </c>
      <c r="D209">
        <f>Companies!D239</f>
        <v>50</v>
      </c>
      <c r="E209" t="str">
        <f>Companies!E239</f>
        <v>Seed</v>
      </c>
      <c r="F209">
        <f>Companies!F239</f>
        <v>9</v>
      </c>
      <c r="G209" t="str">
        <f>Companies!H239</f>
        <v>Enterprise search</v>
      </c>
      <c r="H209" t="str">
        <f>Companies!I239</f>
        <v>Dr. Alon Talmor</v>
      </c>
      <c r="I209" t="str">
        <f>Companies!J239</f>
        <v>Enterprise</v>
      </c>
      <c r="J209" t="str">
        <f>Companies!K239</f>
        <v>Search</v>
      </c>
      <c r="K209">
        <f>Companies!L239</f>
        <v>2021</v>
      </c>
      <c r="L209" t="str">
        <f>Companies!M239</f>
        <v>ex-Salesforce</v>
      </c>
      <c r="M209" t="str">
        <f>Companies!N239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t="str">
        <f>Companies!O239</f>
        <v>N/A</v>
      </c>
      <c r="O209" t="str">
        <f>Companies!P239</f>
        <v>N/A</v>
      </c>
      <c r="P209" t="str">
        <f>Companies!Q239</f>
        <v>N/A</v>
      </c>
    </row>
    <row r="210" spans="2:16">
      <c r="B210" t="str">
        <f>Companies!B240</f>
        <v>Yembo</v>
      </c>
      <c r="C210" t="str">
        <f>Companies!C240</f>
        <v>Private</v>
      </c>
      <c r="D210">
        <f>Companies!D240</f>
        <v>50</v>
      </c>
      <c r="E210" t="str">
        <f>Companies!E240</f>
        <v>Series A</v>
      </c>
      <c r="F210">
        <f>Companies!F240</f>
        <v>8.5</v>
      </c>
      <c r="G210" t="str">
        <f>Companies!H240</f>
        <v>AI Inspections for Moving &amp; Insurance</v>
      </c>
      <c r="H210" t="str">
        <f>Companies!I240</f>
        <v>Siddharth Mohan, Zach Rattner</v>
      </c>
      <c r="I210" t="str">
        <f>Companies!J240</f>
        <v>Enterprise</v>
      </c>
      <c r="J210" t="str">
        <f>Companies!K240</f>
        <v>Logistics</v>
      </c>
      <c r="K210">
        <f>Companies!L240</f>
        <v>2016</v>
      </c>
      <c r="L210">
        <f>Companies!M240</f>
        <v>0</v>
      </c>
      <c r="M210" t="str">
        <f>Companies!N240</f>
        <v xml:space="preserve">Imagen Capital Partners, </v>
      </c>
      <c r="N210" t="str">
        <f>Companies!O240</f>
        <v>Seed</v>
      </c>
      <c r="O210">
        <f>Companies!P240</f>
        <v>4.4000000000000004</v>
      </c>
      <c r="P210" t="str">
        <f>Companies!Q240</f>
        <v>N/A</v>
      </c>
    </row>
    <row r="211" spans="2:16">
      <c r="B211" t="str">
        <f>Companies!B241</f>
        <v>One AI</v>
      </c>
      <c r="C211" t="str">
        <f>Companies!C241</f>
        <v>Private</v>
      </c>
      <c r="D211">
        <f>Companies!D241</f>
        <v>50</v>
      </c>
      <c r="E211" t="str">
        <f>Companies!E241</f>
        <v>Seed</v>
      </c>
      <c r="F211">
        <f>Companies!F241</f>
        <v>8</v>
      </c>
      <c r="G211" t="str">
        <f>Companies!H241</f>
        <v>Low-code, no-code API</v>
      </c>
      <c r="H211" t="str">
        <f>Companies!I241</f>
        <v>Amit Ben Shahar, Asi Shefer, Aviv Dror, Yochai Levi</v>
      </c>
      <c r="I211" t="str">
        <f>Companies!J241</f>
        <v>Enterprise</v>
      </c>
      <c r="J211" t="str">
        <f>Companies!K241</f>
        <v>Programming</v>
      </c>
      <c r="K211">
        <f>Companies!L241</f>
        <v>2021</v>
      </c>
      <c r="L211" t="str">
        <f>Companies!M241</f>
        <v>Pretty cool</v>
      </c>
      <c r="M211" t="str">
        <f>Companies!N241</f>
        <v>TechAviv Founder Partners, Ariel Maislos, Tomer Weingarten</v>
      </c>
      <c r="N211" t="str">
        <f>Companies!O241</f>
        <v>N/A</v>
      </c>
      <c r="O211" t="str">
        <f>Companies!P241</f>
        <v>N/A</v>
      </c>
      <c r="P211" t="str">
        <f>Companies!Q241</f>
        <v>N/A</v>
      </c>
    </row>
    <row r="212" spans="2:16">
      <c r="B212" t="str">
        <f>Companies!B242</f>
        <v>Vcat.ai (Pion)</v>
      </c>
      <c r="C212" t="str">
        <f>Companies!C242</f>
        <v>Private</v>
      </c>
      <c r="D212">
        <f>Companies!D242</f>
        <v>50</v>
      </c>
      <c r="E212" t="str">
        <f>Companies!E242</f>
        <v>Series A</v>
      </c>
      <c r="F212">
        <f>Companies!F242</f>
        <v>8</v>
      </c>
      <c r="G212" t="str">
        <f>Companies!H242</f>
        <v>AI promotional videos</v>
      </c>
      <c r="H212">
        <f>Companies!I242</f>
        <v>0</v>
      </c>
      <c r="I212" t="str">
        <f>Companies!J242</f>
        <v>Enterprise</v>
      </c>
      <c r="J212" t="str">
        <f>Companies!K242</f>
        <v>Video</v>
      </c>
      <c r="K212">
        <f>Companies!L242</f>
        <v>2019</v>
      </c>
      <c r="L212">
        <f>Companies!M242</f>
        <v>0</v>
      </c>
      <c r="M212" t="str">
        <f>Companies!N242</f>
        <v>Premier Partners, SmileGate, KT Investment, KB Investment</v>
      </c>
      <c r="N212" t="str">
        <f>Companies!O242</f>
        <v>N/A</v>
      </c>
      <c r="O212" t="str">
        <f>Companies!P242</f>
        <v>N/A</v>
      </c>
      <c r="P212" t="str">
        <f>Companies!Q242</f>
        <v>N/A</v>
      </c>
    </row>
    <row r="213" spans="2:16">
      <c r="B213" t="str">
        <f>Companies!B243</f>
        <v>Kognitos</v>
      </c>
      <c r="C213" t="str">
        <f>Companies!C243</f>
        <v>Private</v>
      </c>
      <c r="D213">
        <f>Companies!D243</f>
        <v>50</v>
      </c>
      <c r="E213" t="str">
        <f>Companies!E243</f>
        <v>Seed</v>
      </c>
      <c r="F213">
        <f>Companies!F243</f>
        <v>6.8</v>
      </c>
      <c r="G213" t="str">
        <f>Companies!H243</f>
        <v>Exception handling</v>
      </c>
      <c r="H213" t="str">
        <f>Companies!I243</f>
        <v>Binny Gill</v>
      </c>
      <c r="I213" t="str">
        <f>Companies!J243</f>
        <v>Enterprise</v>
      </c>
      <c r="J213" t="str">
        <f>Companies!K243</f>
        <v>BPO</v>
      </c>
      <c r="K213">
        <f>Companies!L243</f>
        <v>2021</v>
      </c>
      <c r="L213">
        <f>Companies!M243</f>
        <v>0</v>
      </c>
      <c r="M213" t="str">
        <f>Companies!N243</f>
        <v>Clear Ventures, Wipro Ventures, Engineering Capital</v>
      </c>
      <c r="N213" t="str">
        <f>Companies!O243</f>
        <v>Seed</v>
      </c>
      <c r="O213">
        <f>Companies!P243</f>
        <v>1.6</v>
      </c>
      <c r="P213" t="str">
        <f>Companies!Q243</f>
        <v>Engineering Capital, Clear Ventures</v>
      </c>
    </row>
    <row r="214" spans="2:16">
      <c r="B214" t="str">
        <f>Companies!B244</f>
        <v>Birdie</v>
      </c>
      <c r="C214" t="str">
        <f>Companies!C244</f>
        <v>Private</v>
      </c>
      <c r="D214">
        <f>Companies!D244</f>
        <v>50</v>
      </c>
      <c r="E214" t="str">
        <f>Companies!E244</f>
        <v>Seed</v>
      </c>
      <c r="F214">
        <f>Companies!F244</f>
        <v>7</v>
      </c>
      <c r="G214" t="str">
        <f>Companies!H244</f>
        <v>Customer Feedback</v>
      </c>
      <c r="H214" t="str">
        <f>Companies!I244</f>
        <v>Alexandre Hadade, Everton Cherman, Patricia Osorio</v>
      </c>
      <c r="I214" t="str">
        <f>Companies!J244</f>
        <v>Enterprise</v>
      </c>
      <c r="J214" t="str">
        <f>Companies!K244</f>
        <v>Customer</v>
      </c>
      <c r="K214">
        <f>Companies!L244</f>
        <v>2019</v>
      </c>
      <c r="L214">
        <f>Companies!M244</f>
        <v>0</v>
      </c>
      <c r="M214" t="str">
        <f>Companies!N244</f>
        <v>Softbank, Upload Ventures, Illuminate Ventures, Scale-Up Ventures, Fusion Fund, Endeavor Catalyst, Astella</v>
      </c>
      <c r="N214" t="str">
        <f>Companies!O244</f>
        <v>Pre-Seed</v>
      </c>
      <c r="O214">
        <f>Companies!P244</f>
        <v>1.1000000000000001</v>
      </c>
      <c r="P214" t="str">
        <f>Companies!Q244</f>
        <v>Astella</v>
      </c>
    </row>
    <row r="215" spans="2:16">
      <c r="B215" t="str">
        <f>Companies!B245</f>
        <v>Orby AI</v>
      </c>
      <c r="C215" t="str">
        <f>Companies!C245</f>
        <v>Private</v>
      </c>
      <c r="D215">
        <f>Companies!D245</f>
        <v>50</v>
      </c>
      <c r="E215" t="str">
        <f>Companies!E245</f>
        <v>Seed</v>
      </c>
      <c r="F215">
        <f>Companies!F245</f>
        <v>4.5</v>
      </c>
      <c r="G215" t="str">
        <f>Companies!H245</f>
        <v>Automates by watching you work</v>
      </c>
      <c r="H215" t="str">
        <f>Companies!I245</f>
        <v>Bella Liu, Will Lu</v>
      </c>
      <c r="I215" t="str">
        <f>Companies!J245</f>
        <v>Enterprise</v>
      </c>
      <c r="J215" t="str">
        <f>Companies!K245</f>
        <v>Productivity</v>
      </c>
      <c r="K215">
        <f>Companies!L245</f>
        <v>2022</v>
      </c>
      <c r="L215">
        <f>Companies!M245</f>
        <v>0</v>
      </c>
      <c r="M215" t="str">
        <f>Companies!N245</f>
        <v>NEA, Pear VC, Wing Venture Capital</v>
      </c>
      <c r="N215" t="str">
        <f>Companies!O245</f>
        <v>N/A</v>
      </c>
      <c r="O215" t="str">
        <f>Companies!P245</f>
        <v>N/A</v>
      </c>
      <c r="P215" t="str">
        <f>Companies!Q245</f>
        <v>N/A</v>
      </c>
    </row>
    <row r="216" spans="2:16">
      <c r="B216" t="str">
        <f>Companies!B246</f>
        <v>Telmai</v>
      </c>
      <c r="C216" t="str">
        <f>Companies!C246</f>
        <v>Private</v>
      </c>
      <c r="D216">
        <f>Companies!D246</f>
        <v>50</v>
      </c>
      <c r="E216" t="str">
        <f>Companies!E246</f>
        <v>Seed</v>
      </c>
      <c r="F216">
        <f>Companies!F246</f>
        <v>5.5</v>
      </c>
      <c r="G216" t="str">
        <f>Companies!H246</f>
        <v>Observability</v>
      </c>
      <c r="H216">
        <f>Companies!I246</f>
        <v>0</v>
      </c>
      <c r="I216" t="str">
        <f>Companies!J246</f>
        <v>Enterprise</v>
      </c>
      <c r="J216" t="str">
        <f>Companies!K246</f>
        <v>MLOps</v>
      </c>
      <c r="K216">
        <f>Companies!L246</f>
        <v>44176</v>
      </c>
      <c r="L216">
        <f>Companies!M246</f>
        <v>0</v>
      </c>
      <c r="M216" t="str">
        <f>Companies!N246</f>
        <v>Glasswing Ventures, .406 Ventures, Zetta Venture Partners, Y Combinator</v>
      </c>
      <c r="N216" t="str">
        <f>Companies!O246</f>
        <v>Pre-Seed</v>
      </c>
      <c r="O216">
        <f>Companies!P246</f>
        <v>0.125</v>
      </c>
      <c r="P216" t="str">
        <f>Companies!Q246</f>
        <v>YC</v>
      </c>
    </row>
    <row r="217" spans="2:16">
      <c r="B217" t="str">
        <f>Companies!B247</f>
        <v>NinjaTech AI</v>
      </c>
      <c r="C217" t="str">
        <f>Companies!C247</f>
        <v>Private</v>
      </c>
      <c r="D217">
        <f>Companies!D247</f>
        <v>50</v>
      </c>
      <c r="E217" t="str">
        <f>Companies!E247</f>
        <v>Seed</v>
      </c>
      <c r="F217">
        <f>Companies!F247</f>
        <v>5.6</v>
      </c>
      <c r="G217" t="str">
        <f>Companies!H247</f>
        <v>Enterprise personal assistant</v>
      </c>
      <c r="H217" t="str">
        <f>Companies!I247</f>
        <v>Babak Pahlavan, Sam Naghshineh</v>
      </c>
      <c r="I217" t="str">
        <f>Companies!J247</f>
        <v>Enterprise</v>
      </c>
      <c r="J217" t="str">
        <f>Companies!K247</f>
        <v>Assistant</v>
      </c>
      <c r="K217">
        <f>Companies!L247</f>
        <v>2022</v>
      </c>
      <c r="L217" t="str">
        <f>Companies!M247</f>
        <v>ex-GOOG, META, AWS</v>
      </c>
      <c r="M217" t="str">
        <f>Companies!N247</f>
        <v>SRI Ventures, DCVC, Candou Ventures, Laszlo Bock</v>
      </c>
      <c r="N217" t="str">
        <f>Companies!O247</f>
        <v>N/A</v>
      </c>
      <c r="O217" t="str">
        <f>Companies!P247</f>
        <v>N/A</v>
      </c>
      <c r="P217" t="str">
        <f>Companies!Q247</f>
        <v>N/A</v>
      </c>
    </row>
    <row r="218" spans="2:16">
      <c r="B218" t="str">
        <f>Companies!B248</f>
        <v>Kubiya.ai</v>
      </c>
      <c r="C218" t="str">
        <f>Companies!C248</f>
        <v>Private</v>
      </c>
      <c r="D218">
        <f>Companies!D248</f>
        <v>50</v>
      </c>
      <c r="E218" t="str">
        <f>Companies!E248</f>
        <v>Seed</v>
      </c>
      <c r="F218">
        <f>Companies!F248</f>
        <v>6</v>
      </c>
      <c r="G218" t="str">
        <f>Companies!H248</f>
        <v>ChatGPT for DevOps</v>
      </c>
      <c r="H218" t="str">
        <f>Companies!I248</f>
        <v>Amit Eyal Govrin, Shaked Askayo</v>
      </c>
      <c r="I218" t="str">
        <f>Companies!J248</f>
        <v>Enterprise</v>
      </c>
      <c r="J218" t="str">
        <f>Companies!K248</f>
        <v>DevOps</v>
      </c>
      <c r="K218">
        <f>Companies!L248</f>
        <v>2022</v>
      </c>
      <c r="L218">
        <f>Companies!M248</f>
        <v>0</v>
      </c>
      <c r="M218" t="str">
        <f>Companies!N248</f>
        <v>Hyperwise Ventures, Pierre Lamond, Giora Yaron, Avery More</v>
      </c>
      <c r="N218" t="str">
        <f>Companies!O248</f>
        <v>N/A</v>
      </c>
      <c r="O218" t="str">
        <f>Companies!P248</f>
        <v>N/A</v>
      </c>
      <c r="P218" t="str">
        <f>Companies!Q248</f>
        <v>N/A</v>
      </c>
    </row>
    <row r="219" spans="2:16">
      <c r="B219" t="str">
        <f>Companies!B249</f>
        <v>Dust</v>
      </c>
      <c r="C219" t="str">
        <f>Companies!C249</f>
        <v>Private</v>
      </c>
      <c r="D219">
        <f>Companies!D249</f>
        <v>50</v>
      </c>
      <c r="E219" t="str">
        <f>Companies!E249</f>
        <v>Seed</v>
      </c>
      <c r="F219">
        <f>Companies!F249</f>
        <v>6</v>
      </c>
      <c r="G219" t="str">
        <f>Companies!H249</f>
        <v>Business tools, very generic</v>
      </c>
      <c r="H219">
        <f>Companies!I249</f>
        <v>0</v>
      </c>
      <c r="I219" t="str">
        <f>Companies!J249</f>
        <v>Enterprise</v>
      </c>
      <c r="J219" t="str">
        <f>Companies!K249</f>
        <v>Tools</v>
      </c>
      <c r="K219">
        <f>Companies!L249</f>
        <v>2023</v>
      </c>
      <c r="L219" t="str">
        <f>Companies!M249</f>
        <v>AI Grant batch 1</v>
      </c>
      <c r="M219" t="str">
        <f>Companies!N249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t="str">
        <f>Companies!O249</f>
        <v>N/A</v>
      </c>
      <c r="O219" t="str">
        <f>Companies!P249</f>
        <v>N/A</v>
      </c>
      <c r="P219" t="str">
        <f>Companies!Q249</f>
        <v>N/A</v>
      </c>
    </row>
    <row r="220" spans="2:16">
      <c r="B220" t="str">
        <f>Companies!B250</f>
        <v>Yoodli</v>
      </c>
      <c r="C220" t="str">
        <f>Companies!C250</f>
        <v>Private</v>
      </c>
      <c r="D220">
        <f>Companies!D250</f>
        <v>50</v>
      </c>
      <c r="E220" t="str">
        <f>Companies!E250</f>
        <v>Seed</v>
      </c>
      <c r="F220">
        <f>Companies!F250</f>
        <v>6</v>
      </c>
      <c r="G220" t="str">
        <f>Companies!H250</f>
        <v>Communication improvement tool</v>
      </c>
      <c r="H220" t="str">
        <f>Companies!I250</f>
        <v>Esha Joshi, Varun Puri</v>
      </c>
      <c r="I220" t="str">
        <f>Companies!J250</f>
        <v>Enterprise</v>
      </c>
      <c r="J220" t="str">
        <f>Companies!K250</f>
        <v>Communication</v>
      </c>
      <c r="K220">
        <f>Companies!L250</f>
        <v>2021</v>
      </c>
      <c r="L220">
        <f>Companies!M250</f>
        <v>0</v>
      </c>
      <c r="M220" t="str">
        <f>Companies!N250</f>
        <v>Madrona, Cercano Management, J4.Ventures, Ascend, Renn Vara, Maureen Taylor, Jeff Richards, Dave Rosenberg</v>
      </c>
      <c r="N220" t="str">
        <f>Companies!O250</f>
        <v>Pre-Seed</v>
      </c>
      <c r="O220">
        <f>Companies!P250</f>
        <v>1</v>
      </c>
      <c r="P220" t="str">
        <f>Companies!Q250</f>
        <v>Allen AI, Madrona</v>
      </c>
    </row>
    <row r="221" spans="2:16">
      <c r="B221" t="str">
        <f>Companies!B251</f>
        <v>Mimica Automation</v>
      </c>
      <c r="C221" t="str">
        <f>Companies!C251</f>
        <v>Private</v>
      </c>
      <c r="D221">
        <f>Companies!D251</f>
        <v>50</v>
      </c>
      <c r="E221" t="str">
        <f>Companies!E251</f>
        <v>Series A</v>
      </c>
      <c r="F221">
        <f>Companies!F251</f>
        <v>5</v>
      </c>
      <c r="G221" t="str">
        <f>Companies!H251</f>
        <v>Business process automation</v>
      </c>
      <c r="H221" t="str">
        <f>Companies!I251</f>
        <v>Raphael Holca-Lamarre, Tuhin Chakraborty</v>
      </c>
      <c r="I221" t="str">
        <f>Companies!J251</f>
        <v>Enterprise</v>
      </c>
      <c r="J221" t="str">
        <f>Companies!K251</f>
        <v>Automation</v>
      </c>
      <c r="K221">
        <f>Companies!L251</f>
        <v>2018</v>
      </c>
      <c r="L221">
        <f>Companies!M251</f>
        <v>0</v>
      </c>
      <c r="M221" t="str">
        <f>Companies!N251</f>
        <v>Khosla Ventures, Episode 1, Entrepreneur First</v>
      </c>
      <c r="N221" t="str">
        <f>Companies!O251</f>
        <v>Seed</v>
      </c>
      <c r="O221" t="str">
        <f>Companies!P251</f>
        <v>N/A</v>
      </c>
      <c r="P221" t="str">
        <f>Companies!Q251</f>
        <v>Entrepreneur First, Episode 1</v>
      </c>
    </row>
    <row r="222" spans="2:16">
      <c r="B222" t="str">
        <f>Companies!B252</f>
        <v>Waymark</v>
      </c>
      <c r="C222" t="str">
        <f>Companies!C252</f>
        <v>Private</v>
      </c>
      <c r="D222">
        <f>Companies!D252</f>
        <v>50</v>
      </c>
      <c r="E222" t="str">
        <f>Companies!E252</f>
        <v>Series B</v>
      </c>
      <c r="F222">
        <f>Companies!F252</f>
        <v>5</v>
      </c>
      <c r="G222" t="str">
        <f>Companies!H252</f>
        <v>Pivoted to AI</v>
      </c>
      <c r="H222">
        <f>Companies!I252</f>
        <v>0</v>
      </c>
      <c r="I222" t="str">
        <f>Companies!J252</f>
        <v>Enterprise</v>
      </c>
      <c r="J222" t="str">
        <f>Companies!K252</f>
        <v>Video</v>
      </c>
      <c r="K222">
        <f>Companies!L252</f>
        <v>40483</v>
      </c>
      <c r="L222">
        <f>Companies!M252</f>
        <v>0</v>
      </c>
      <c r="M222" t="str">
        <f>Companies!N252</f>
        <v>Series B</v>
      </c>
      <c r="N222" t="str">
        <f>Companies!O252</f>
        <v>N/A</v>
      </c>
      <c r="O222" t="str">
        <f>Companies!P252</f>
        <v>N/A</v>
      </c>
      <c r="P222" t="str">
        <f>Companies!Q252</f>
        <v>Series A</v>
      </c>
    </row>
    <row r="223" spans="2:16">
      <c r="B223" t="str">
        <f>Companies!B253</f>
        <v>DarwinAI</v>
      </c>
      <c r="C223" t="str">
        <f>Companies!C253</f>
        <v>Private</v>
      </c>
      <c r="D223">
        <f>Companies!D253</f>
        <v>50</v>
      </c>
      <c r="E223" t="str">
        <f>Companies!E253</f>
        <v>Series A</v>
      </c>
      <c r="F223">
        <f>Companies!F253</f>
        <v>6</v>
      </c>
      <c r="G223" t="str">
        <f>Companies!H253</f>
        <v>Quality control, efficiency for electronics manufacturing</v>
      </c>
      <c r="H223">
        <f>Companies!I253</f>
        <v>0</v>
      </c>
      <c r="I223" t="str">
        <f>Companies!J253</f>
        <v>Enterprise</v>
      </c>
      <c r="J223" t="str">
        <f>Companies!K253</f>
        <v>Manufacturing</v>
      </c>
      <c r="K223">
        <f>Companies!L253</f>
        <v>0</v>
      </c>
      <c r="L223">
        <f>Companies!M253</f>
        <v>0</v>
      </c>
      <c r="M223" t="str">
        <f>Companies!N253</f>
        <v>BDC Venture Capital, Obvious Ventures, Inovia Capital, Honeywell</v>
      </c>
      <c r="N223" t="str">
        <f>Companies!O253</f>
        <v>Seed</v>
      </c>
      <c r="O223">
        <f>Companies!P253</f>
        <v>5.9</v>
      </c>
      <c r="P223" t="str">
        <f>Companies!Q253</f>
        <v>Honeywell, ACVC Partners</v>
      </c>
    </row>
    <row r="224" spans="2:16">
      <c r="B224" t="str">
        <f>Companies!B254</f>
        <v>Common Sense Machines</v>
      </c>
      <c r="C224" t="str">
        <f>Companies!C254</f>
        <v>Private</v>
      </c>
      <c r="D224">
        <f>Companies!D254</f>
        <v>50</v>
      </c>
      <c r="E224" t="str">
        <f>Companies!E254</f>
        <v>SAFE</v>
      </c>
      <c r="F224">
        <f>Companies!F254</f>
        <v>2.5</v>
      </c>
      <c r="G224" t="str">
        <f>Companies!H254</f>
        <v>3D Perception/Simulation</v>
      </c>
      <c r="H224" t="str">
        <f>Companies!I254</f>
        <v>Josh Tenenbaum, Max Kleiman-Weiner, Tejas Kulkarni, Vikash Mansinghka</v>
      </c>
      <c r="I224" t="str">
        <f>Companies!J254</f>
        <v>Enterprise</v>
      </c>
      <c r="J224" t="str">
        <f>Companies!K254</f>
        <v>CV</v>
      </c>
      <c r="K224">
        <f>Companies!L254</f>
        <v>2020</v>
      </c>
      <c r="L224" t="str">
        <f>Companies!M254</f>
        <v>Cool Demo</v>
      </c>
      <c r="M224" t="str">
        <f>Companies!N254</f>
        <v>N/A</v>
      </c>
      <c r="N224" t="str">
        <f>Companies!O254</f>
        <v>Seed</v>
      </c>
      <c r="O224">
        <f>Companies!P254</f>
        <v>5.0999999999999996</v>
      </c>
      <c r="P224" t="str">
        <f>Companies!Q254</f>
        <v>Toyota Ventures, Omidyar Technology Ventures, Intel Capital, Glasswing Ventures, Blindspot Ventures</v>
      </c>
    </row>
    <row r="225" spans="2:16">
      <c r="B225" t="str">
        <f>Companies!B255</f>
        <v>Writesonic</v>
      </c>
      <c r="C225" t="str">
        <f>Companies!C255</f>
        <v>Private</v>
      </c>
      <c r="D225">
        <f>Companies!D255</f>
        <v>50</v>
      </c>
      <c r="E225" t="str">
        <f>Companies!E255</f>
        <v>Seed</v>
      </c>
      <c r="F225">
        <f>Companies!F255</f>
        <v>2.5</v>
      </c>
      <c r="G225" t="str">
        <f>Companies!H255</f>
        <v>GPT-generated content</v>
      </c>
      <c r="H225" t="str">
        <f>Companies!I255</f>
        <v>Samanyou Garg</v>
      </c>
      <c r="I225" t="str">
        <f>Companies!J255</f>
        <v>Enterprise</v>
      </c>
      <c r="J225" t="str">
        <f>Companies!K255</f>
        <v>Content</v>
      </c>
      <c r="K225">
        <f>Companies!L255</f>
        <v>44211</v>
      </c>
      <c r="L225">
        <f>Companies!M255</f>
        <v>0</v>
      </c>
      <c r="M225" t="str">
        <f>Companies!N255</f>
        <v>HOF Capital, Soma Capital, Rebel Fund, Broom Ventures, BluePointe Ventures, Atlas Pacific Capital, Amino Capital</v>
      </c>
      <c r="N225" t="str">
        <f>Companies!O255</f>
        <v>Pre-Seed</v>
      </c>
      <c r="O225" t="str">
        <f>Companies!P255</f>
        <v>N/A</v>
      </c>
      <c r="P225" t="str">
        <f>Companies!Q255</f>
        <v>YC</v>
      </c>
    </row>
    <row r="226" spans="2:16">
      <c r="B226" t="str">
        <f>Companies!B256</f>
        <v>Workhack</v>
      </c>
      <c r="C226" t="str">
        <f>Companies!C256</f>
        <v>Private</v>
      </c>
      <c r="D226">
        <f>Companies!D256</f>
        <v>50</v>
      </c>
      <c r="E226" t="str">
        <f>Companies!E256</f>
        <v>Seed</v>
      </c>
      <c r="F226">
        <f>Companies!F256</f>
        <v>1.5</v>
      </c>
      <c r="G226" t="str">
        <f>Companies!H256</f>
        <v>Conversational Bots</v>
      </c>
      <c r="H226" t="str">
        <f>Companies!I256</f>
        <v>Akshat Tyagi</v>
      </c>
      <c r="I226" t="str">
        <f>Companies!J256</f>
        <v>Consumer</v>
      </c>
      <c r="J226" t="str">
        <f>Companies!K256</f>
        <v>Bots</v>
      </c>
      <c r="K226">
        <f>Companies!L256</f>
        <v>2023</v>
      </c>
      <c r="L226">
        <f>Companies!M256</f>
        <v>0</v>
      </c>
      <c r="M226" t="str">
        <f>Companies!N256</f>
        <v>Together Fund, Nexus Venture Partners, The New Normal Fund</v>
      </c>
      <c r="N226" t="str">
        <f>Companies!O256</f>
        <v>N/A</v>
      </c>
      <c r="O226" t="str">
        <f>Companies!P256</f>
        <v>N/A</v>
      </c>
      <c r="P226" t="str">
        <f>Companies!Q256</f>
        <v>N/A</v>
      </c>
    </row>
    <row r="227" spans="2:16">
      <c r="B227" t="str">
        <f>Companies!B257</f>
        <v>Booth AI</v>
      </c>
      <c r="C227" t="str">
        <f>Companies!C257</f>
        <v>Private</v>
      </c>
      <c r="D227">
        <f>Companies!D257</f>
        <v>50</v>
      </c>
      <c r="E227" t="str">
        <f>Companies!E257</f>
        <v>Seed</v>
      </c>
      <c r="F227">
        <f>Companies!F257</f>
        <v>0.5</v>
      </c>
      <c r="G227" t="str">
        <f>Companies!H257</f>
        <v>Photography</v>
      </c>
      <c r="H227">
        <f>Companies!I257</f>
        <v>0</v>
      </c>
      <c r="I227" t="str">
        <f>Companies!J257</f>
        <v>Enterprise</v>
      </c>
      <c r="J227" t="str">
        <f>Companies!K257</f>
        <v>Photo</v>
      </c>
      <c r="K227">
        <f>Companies!L257</f>
        <v>2022</v>
      </c>
      <c r="L227" t="str">
        <f>Companies!M257</f>
        <v>YC W23</v>
      </c>
      <c r="M227" t="str">
        <f>Companies!N257</f>
        <v>Y Combinator</v>
      </c>
      <c r="N227" t="str">
        <f>Companies!O257</f>
        <v>Seed</v>
      </c>
      <c r="O227">
        <f>Companies!P257</f>
        <v>0.56999999999999995</v>
      </c>
      <c r="P227" t="str">
        <f>Companies!Q257</f>
        <v>Caffeinated Capital</v>
      </c>
    </row>
    <row r="228" spans="2:16">
      <c r="B228" t="str">
        <f>Companies!B258</f>
        <v>Play.HT</v>
      </c>
      <c r="C228" t="str">
        <f>Companies!C258</f>
        <v>Private</v>
      </c>
      <c r="D228">
        <f>Companies!D258</f>
        <v>50</v>
      </c>
      <c r="E228" t="str">
        <f>Companies!E258</f>
        <v>Pre-Seed</v>
      </c>
      <c r="F228">
        <f>Companies!F258</f>
        <v>0.5</v>
      </c>
      <c r="G228" t="str">
        <f>Companies!H258</f>
        <v>Great TTS product</v>
      </c>
      <c r="H228" t="str">
        <f>Companies!I258</f>
        <v>Hammad Syed, Mahmoud Felfel</v>
      </c>
      <c r="I228" t="str">
        <f>Companies!J258</f>
        <v>Enterprise</v>
      </c>
      <c r="J228" t="str">
        <f>Companies!K258</f>
        <v>Voice</v>
      </c>
      <c r="K228">
        <f>Companies!L258</f>
        <v>42609</v>
      </c>
      <c r="L228" t="str">
        <f>Companies!M258</f>
        <v>YC W23, AI Grant batch 1</v>
      </c>
      <c r="M228" t="str">
        <f>Companies!N258</f>
        <v>Y Combinator, 500 Global</v>
      </c>
      <c r="N228" t="str">
        <f>Companies!O258</f>
        <v>N/A</v>
      </c>
      <c r="O228" t="str">
        <f>Companies!P258</f>
        <v>N/A</v>
      </c>
      <c r="P228" t="str">
        <f>Companies!Q258</f>
        <v>N/A</v>
      </c>
    </row>
    <row r="229" spans="2:16">
      <c r="B229" t="str">
        <f>Companies!B259</f>
        <v>Arithmer</v>
      </c>
      <c r="C229" t="str">
        <f>Companies!C259</f>
        <v>Private</v>
      </c>
      <c r="D229">
        <f>Companies!D259</f>
        <v>40</v>
      </c>
      <c r="E229" t="str">
        <f>Companies!E259</f>
        <v>Series B</v>
      </c>
      <c r="F229">
        <f>Companies!F259</f>
        <v>5</v>
      </c>
      <c r="G229" t="str">
        <f>Companies!H259</f>
        <v>Japanese and weird.</v>
      </c>
      <c r="H229" t="str">
        <f>Companies!I259</f>
        <v>Yoshihiro Daejeon</v>
      </c>
      <c r="I229" t="str">
        <f>Companies!J259</f>
        <v>Enterprise</v>
      </c>
      <c r="J229" t="str">
        <f>Companies!K259</f>
        <v>Hardware</v>
      </c>
      <c r="K229">
        <f>Companies!L259</f>
        <v>2016</v>
      </c>
      <c r="L229" t="str">
        <f>Companies!M259</f>
        <v>Mostly Japanese clients, not clear what they do exactly</v>
      </c>
      <c r="M229" t="str">
        <f>Companies!N259</f>
        <v>Tokushima Taisho Bank, Pegasus Tech Ventures</v>
      </c>
      <c r="N229" t="str">
        <f>Companies!O259</f>
        <v>Series B</v>
      </c>
      <c r="O229">
        <f>Companies!P259</f>
        <v>14</v>
      </c>
      <c r="P229" t="str">
        <f>Companies!Q259</f>
        <v>Toyota Tsusho, Sumitomo Mitsui Trust Bank, Mitsui Sumitomo Insurance VC, Japan Investment Adviser, JAFCO</v>
      </c>
    </row>
    <row r="230" spans="2:16">
      <c r="B230" t="str">
        <f>Companies!B260</f>
        <v>Koxy AI</v>
      </c>
      <c r="C230" t="str">
        <f>Companies!C260</f>
        <v>Private</v>
      </c>
      <c r="D230">
        <f>Companies!D260</f>
        <v>40</v>
      </c>
      <c r="E230" t="str">
        <f>Companies!E260</f>
        <v>Seed</v>
      </c>
      <c r="F230">
        <f>Companies!F260</f>
        <v>10</v>
      </c>
      <c r="G230" t="str">
        <f>Companies!H260</f>
        <v>Smart APIs?</v>
      </c>
      <c r="H230">
        <f>Companies!I260</f>
        <v>0</v>
      </c>
      <c r="I230" t="str">
        <f>Companies!J260</f>
        <v>Stealth</v>
      </c>
      <c r="J230" t="str">
        <f>Companies!K260</f>
        <v>Stealth</v>
      </c>
      <c r="K230">
        <f>Companies!L260</f>
        <v>2023</v>
      </c>
      <c r="L230">
        <f>Companies!M260</f>
        <v>0</v>
      </c>
      <c r="M230" t="str">
        <f>Companies!N260</f>
        <v>N/A</v>
      </c>
      <c r="N230" t="str">
        <f>Companies!O260</f>
        <v>N/A</v>
      </c>
      <c r="O230" t="str">
        <f>Companies!P260</f>
        <v>N/A</v>
      </c>
      <c r="P230" t="str">
        <f>Companies!Q260</f>
        <v>N/A</v>
      </c>
    </row>
    <row r="231" spans="2:16">
      <c r="B231" t="str">
        <f>Companies!B261</f>
        <v>Supernormal</v>
      </c>
      <c r="C231" t="str">
        <f>Companies!C261</f>
        <v>Private</v>
      </c>
      <c r="D231">
        <f>Companies!D261</f>
        <v>40</v>
      </c>
      <c r="E231" t="str">
        <f>Companies!E261</f>
        <v>Series A</v>
      </c>
      <c r="F231">
        <f>Companies!F261</f>
        <v>10</v>
      </c>
      <c r="G231" t="str">
        <f>Companies!H261</f>
        <v>Transcribes meeting notes</v>
      </c>
      <c r="H231" t="str">
        <f>Companies!I261</f>
        <v>Colin Treseler</v>
      </c>
      <c r="I231" t="str">
        <f>Companies!J261</f>
        <v>Enterprise</v>
      </c>
      <c r="J231" t="str">
        <f>Companies!K261</f>
        <v>Meetings</v>
      </c>
      <c r="K231">
        <f>Companies!L261</f>
        <v>2020</v>
      </c>
      <c r="L231">
        <f>Companies!M261</f>
        <v>0</v>
      </c>
      <c r="M231" t="str">
        <f>Companies!N261</f>
        <v>Balderton Capital, Acequia Capital, byFounders, EQT Ventures</v>
      </c>
      <c r="N231" t="str">
        <f>Companies!O261</f>
        <v>Seed</v>
      </c>
      <c r="O231">
        <f>Companies!P261</f>
        <v>2</v>
      </c>
      <c r="P231" t="str">
        <f>Companies!Q261</f>
        <v>N/A</v>
      </c>
    </row>
    <row r="232" spans="2:16">
      <c r="B232" t="str">
        <f>Companies!B262</f>
        <v>MURF.AI</v>
      </c>
      <c r="C232" t="str">
        <f>Companies!C262</f>
        <v>Private</v>
      </c>
      <c r="D232">
        <f>Companies!D262</f>
        <v>40</v>
      </c>
      <c r="E232" t="str">
        <f>Companies!E262</f>
        <v>Series A</v>
      </c>
      <c r="F232">
        <f>Companies!F262</f>
        <v>10</v>
      </c>
      <c r="G232" t="str">
        <f>Companies!H262</f>
        <v>Voice generation</v>
      </c>
      <c r="H232">
        <f>Companies!I262</f>
        <v>0</v>
      </c>
      <c r="I232" t="str">
        <f>Companies!J262</f>
        <v>Enterprise</v>
      </c>
      <c r="J232" t="str">
        <f>Companies!K262</f>
        <v>Voice</v>
      </c>
      <c r="K232">
        <f>Companies!L262</f>
        <v>2020</v>
      </c>
      <c r="L232">
        <f>Companies!M262</f>
        <v>0</v>
      </c>
      <c r="M232" t="str">
        <f>Companies!N262</f>
        <v>Matrix Partners India, Elevation Capital, Yamini Bhat, Pushkar Mukewar, Ajay Arora, Ankit Bhati, Ashwini Asokan</v>
      </c>
      <c r="N232" t="str">
        <f>Companies!O262</f>
        <v>Seed</v>
      </c>
      <c r="O232">
        <f>Companies!P262</f>
        <v>1.5</v>
      </c>
      <c r="P232" t="str">
        <f>Companies!Q262</f>
        <v>Elevation Capital, Vidit Aatrey, Sanjeev Barnwal, Kashyap Deorah, Ashish Goel</v>
      </c>
    </row>
    <row r="233" spans="2:16">
      <c r="B233" t="str">
        <f>Companies!B263</f>
        <v>Got It AI</v>
      </c>
      <c r="C233" t="str">
        <f>Companies!C263</f>
        <v>Private</v>
      </c>
      <c r="D233">
        <f>Companies!D263</f>
        <v>40</v>
      </c>
      <c r="E233" t="str">
        <f>Companies!E263</f>
        <v>Series A</v>
      </c>
      <c r="F233">
        <f>Companies!F263</f>
        <v>10</v>
      </c>
      <c r="G233" t="str">
        <f>Companies!H263</f>
        <v>Enterprise LLM with 'guardrails'</v>
      </c>
      <c r="H233" t="str">
        <f>Companies!I263</f>
        <v>Amol Kelkar, Chandra Khatri, David Chu, Hung Tran, James Cremer, Peter Relan</v>
      </c>
      <c r="I233" t="str">
        <f>Companies!J263</f>
        <v>Enterprise</v>
      </c>
      <c r="J233" t="str">
        <f>Companies!K263</f>
        <v>Customer Service</v>
      </c>
      <c r="K233">
        <f>Companies!L263</f>
        <v>2019</v>
      </c>
      <c r="L233">
        <f>Companies!M263</f>
        <v>0</v>
      </c>
      <c r="M233" t="str">
        <f>Companies!N263</f>
        <v>Relan Global</v>
      </c>
      <c r="N233" t="str">
        <f>Companies!O263</f>
        <v>Series A</v>
      </c>
      <c r="O233">
        <f>Companies!P263</f>
        <v>9</v>
      </c>
      <c r="P233" t="str">
        <f>Companies!Q263</f>
        <v>Capricorn, Cito, TSVC</v>
      </c>
    </row>
    <row r="234" spans="2:16">
      <c r="B234" t="str">
        <f>Companies!B264</f>
        <v>Voice AI</v>
      </c>
      <c r="C234" t="str">
        <f>Companies!C264</f>
        <v>Private</v>
      </c>
      <c r="D234">
        <f>Companies!D264</f>
        <v>30</v>
      </c>
      <c r="E234" t="str">
        <f>Companies!E264</f>
        <v>Seed</v>
      </c>
      <c r="F234">
        <f>Companies!F264</f>
        <v>6</v>
      </c>
      <c r="G234" t="str">
        <f>Companies!H264</f>
        <v>Consumer Voice UGC</v>
      </c>
      <c r="H234" t="str">
        <f>Companies!I264</f>
        <v>Heath Ahrens</v>
      </c>
      <c r="I234" t="str">
        <f>Companies!J264</f>
        <v>Consumer</v>
      </c>
      <c r="J234" t="str">
        <f>Companies!K264</f>
        <v>Voice</v>
      </c>
      <c r="K234">
        <f>Companies!L264</f>
        <v>2021</v>
      </c>
      <c r="L234">
        <f>Companies!M264</f>
        <v>0</v>
      </c>
      <c r="M234" t="str">
        <f>Companies!N264</f>
        <v>N/A</v>
      </c>
      <c r="N234" t="str">
        <f>Companies!O264</f>
        <v>N/A</v>
      </c>
      <c r="O234" t="str">
        <f>Companies!P264</f>
        <v>N/A</v>
      </c>
      <c r="P234" t="str">
        <f>Companies!Q264</f>
        <v>N/A</v>
      </c>
    </row>
    <row r="235" spans="2:16">
      <c r="B235" t="str">
        <f>Companies!B265</f>
        <v>Glass Health</v>
      </c>
      <c r="C235" t="str">
        <f>Companies!C265</f>
        <v>Private</v>
      </c>
      <c r="D235">
        <f>Companies!D265</f>
        <v>30</v>
      </c>
      <c r="E235" t="str">
        <f>Companies!E265</f>
        <v>Pre-Seed</v>
      </c>
      <c r="F235">
        <f>Companies!F265</f>
        <v>0.5</v>
      </c>
      <c r="G235" t="str">
        <f>Companies!H265</f>
        <v>Doctor assistance</v>
      </c>
      <c r="H235" t="str">
        <f>Companies!I265</f>
        <v>Dereck Paul, Graham Ramsey</v>
      </c>
      <c r="I235" t="str">
        <f>Companies!J265</f>
        <v>Enterprise</v>
      </c>
      <c r="J235" t="str">
        <f>Companies!K265</f>
        <v>Healthcare</v>
      </c>
      <c r="K235">
        <f>Companies!L265</f>
        <v>2021</v>
      </c>
      <c r="L235" t="str">
        <f>Companies!M265</f>
        <v>YC W23</v>
      </c>
      <c r="M235" t="str">
        <f>Companies!N265</f>
        <v>Y Combinator</v>
      </c>
      <c r="N235" t="str">
        <f>Companies!O265</f>
        <v>N/A</v>
      </c>
      <c r="O235" t="str">
        <f>Companies!P265</f>
        <v>N/A</v>
      </c>
      <c r="P235" t="str">
        <f>Companies!Q265</f>
        <v>N/A</v>
      </c>
    </row>
    <row r="236" spans="2:16">
      <c r="B236" t="str">
        <f>Companies!B266</f>
        <v>SapientAI</v>
      </c>
      <c r="C236" t="str">
        <f>Companies!C266</f>
        <v>Private</v>
      </c>
      <c r="D236">
        <f>Companies!D266</f>
        <v>30</v>
      </c>
      <c r="E236" t="str">
        <f>Companies!E266</f>
        <v>Seed</v>
      </c>
      <c r="F236">
        <f>Companies!F266</f>
        <v>5</v>
      </c>
      <c r="G236" t="str">
        <f>Companies!H266</f>
        <v>Testing code generation</v>
      </c>
      <c r="H236">
        <f>Companies!I266</f>
        <v>0</v>
      </c>
      <c r="I236" t="str">
        <f>Companies!J266</f>
        <v>Enterprise</v>
      </c>
      <c r="J236" t="str">
        <f>Companies!K266</f>
        <v>Programming</v>
      </c>
      <c r="K236">
        <f>Companies!L266</f>
        <v>2023</v>
      </c>
      <c r="L236">
        <f>Companies!M266</f>
        <v>0</v>
      </c>
      <c r="M236" t="str">
        <f>Companies!N266</f>
        <v>8VC, GTMfund, Correlation Ventures</v>
      </c>
      <c r="N236" t="str">
        <f>Companies!O266</f>
        <v>N/A</v>
      </c>
      <c r="O236" t="str">
        <f>Companies!P266</f>
        <v>N/A</v>
      </c>
      <c r="P236" t="str">
        <f>Companies!Q266</f>
        <v>N/A</v>
      </c>
    </row>
    <row r="237" spans="2:16">
      <c r="B237" t="str">
        <f>Companies!B267</f>
        <v>Autonomize AI</v>
      </c>
      <c r="C237" t="str">
        <f>Companies!C267</f>
        <v>Private</v>
      </c>
      <c r="D237">
        <f>Companies!D267</f>
        <v>30</v>
      </c>
      <c r="E237" t="str">
        <f>Companies!E267</f>
        <v>Seed</v>
      </c>
      <c r="F237">
        <f>Companies!F267</f>
        <v>4</v>
      </c>
      <c r="G237" t="str">
        <f>Companies!H267</f>
        <v>Healthcare</v>
      </c>
      <c r="H237" t="str">
        <f>Companies!I267</f>
        <v>Ganesh Padmanabhan</v>
      </c>
      <c r="I237" t="str">
        <f>Companies!J267</f>
        <v>Enterprise</v>
      </c>
      <c r="J237" t="str">
        <f>Companies!K267</f>
        <v>Healthcare</v>
      </c>
      <c r="K237">
        <f>Companies!L267</f>
        <v>2021</v>
      </c>
      <c r="L237">
        <f>Companies!M267</f>
        <v>0</v>
      </c>
      <c r="M237" t="str">
        <f>Companies!N267</f>
        <v>Asset Management Ventures (AMV), ATX Venture Partners, Loop Ventures, Next Practices Group</v>
      </c>
      <c r="N237" t="str">
        <f>Companies!O267</f>
        <v>N/A</v>
      </c>
      <c r="O237" t="str">
        <f>Companies!P267</f>
        <v>N/A</v>
      </c>
      <c r="P237" t="str">
        <f>Companies!Q267</f>
        <v>N/A</v>
      </c>
    </row>
    <row r="238" spans="2:16">
      <c r="B238" t="str">
        <f>Companies!B268</f>
        <v>Twosense.ai</v>
      </c>
      <c r="C238" t="str">
        <f>Companies!C268</f>
        <v>Private</v>
      </c>
      <c r="D238">
        <f>Companies!D268</f>
        <v>30</v>
      </c>
      <c r="E238" t="str">
        <f>Companies!E268</f>
        <v>Seed</v>
      </c>
      <c r="F238">
        <f>Companies!F268</f>
        <v>3</v>
      </c>
      <c r="G238" t="str">
        <f>Companies!H268</f>
        <v>Behavioral MFA</v>
      </c>
      <c r="H238" t="str">
        <f>Companies!I268</f>
        <v>Dawud Gordon, John Tanios, Ulf Blanke</v>
      </c>
      <c r="I238" t="str">
        <f>Companies!J268</f>
        <v>Enterprise</v>
      </c>
      <c r="J238" t="str">
        <f>Companies!K268</f>
        <v>Auth</v>
      </c>
      <c r="K238">
        <f>Companies!L268</f>
        <v>2021</v>
      </c>
      <c r="L238">
        <f>Companies!M268</f>
        <v>0</v>
      </c>
      <c r="M238" t="str">
        <f>Companies!N268</f>
        <v>Preface Ventures, Atypical Ventures, LogicBoost Labs, Brand New Matter, Glasswing Ventures,  Entrepreneurs Roundtable Accelerator, Marc Weiss, Josh Lospinoso</v>
      </c>
      <c r="N238" t="str">
        <f>Companies!O268</f>
        <v>Pre-Seed</v>
      </c>
      <c r="O238">
        <f>Companies!P268</f>
        <v>1.2</v>
      </c>
      <c r="P238" t="str">
        <f>Companies!Q268</f>
        <v>Entrepreneurs Roundtable Accelerator</v>
      </c>
    </row>
    <row r="239" spans="2:16">
      <c r="B239" t="str">
        <f>Companies!B269</f>
        <v>Fabi.ai</v>
      </c>
      <c r="C239" t="str">
        <f>Companies!C269</f>
        <v>Private</v>
      </c>
      <c r="D239">
        <f>Companies!D269</f>
        <v>30</v>
      </c>
      <c r="E239" t="str">
        <f>Companies!E269</f>
        <v>Pre-Seed</v>
      </c>
      <c r="F239">
        <f>Companies!F269</f>
        <v>3</v>
      </c>
      <c r="G239" t="str">
        <f>Companies!H269</f>
        <v>English-to-SQL</v>
      </c>
      <c r="H239" t="str">
        <f>Companies!I269</f>
        <v>Lei Tang, Marc Dupuis</v>
      </c>
      <c r="I239" t="str">
        <f>Companies!J269</f>
        <v>Enterprise</v>
      </c>
      <c r="J239" t="str">
        <f>Companies!K269</f>
        <v>SQL</v>
      </c>
      <c r="K239">
        <f>Companies!L269</f>
        <v>44986</v>
      </c>
      <c r="L239">
        <f>Companies!M269</f>
        <v>0</v>
      </c>
      <c r="M239" t="str">
        <f>Companies!N269</f>
        <v>N/A</v>
      </c>
      <c r="N239" t="str">
        <f>Companies!O269</f>
        <v>N/A</v>
      </c>
      <c r="O239" t="str">
        <f>Companies!P269</f>
        <v>N/A</v>
      </c>
      <c r="P239" t="str">
        <f>Companies!Q269</f>
        <v>N/A</v>
      </c>
    </row>
    <row r="240" spans="2:16">
      <c r="B240" t="str">
        <f>Companies!B270</f>
        <v>OthersideAI</v>
      </c>
      <c r="C240" t="str">
        <f>Companies!C270</f>
        <v>Private</v>
      </c>
      <c r="D240">
        <f>Companies!D270</f>
        <v>25</v>
      </c>
      <c r="E240" t="str">
        <f>Companies!E270</f>
        <v>Seed</v>
      </c>
      <c r="F240">
        <f>Companies!F270</f>
        <v>2.6</v>
      </c>
      <c r="G240" t="str">
        <f>Companies!H270</f>
        <v>HyperWrite</v>
      </c>
      <c r="H240" t="str">
        <f>Companies!I270</f>
        <v>Jason Kuperberg, Matt Shumer, Miles Feldstein</v>
      </c>
      <c r="I240" t="str">
        <f>Companies!J270</f>
        <v>Consumer</v>
      </c>
      <c r="J240" t="str">
        <f>Companies!K270</f>
        <v>Email</v>
      </c>
      <c r="K240">
        <f>Companies!L270</f>
        <v>44013</v>
      </c>
      <c r="L240">
        <f>Companies!M270</f>
        <v>0</v>
      </c>
      <c r="M240" t="str">
        <f>Companies!N270</f>
        <v>Active Capital, Cortical Ventures, Siqi Chen, Nick Frosst, Madrona, Ivan Zhang, Furqan Rydhan, Aidan Gomez</v>
      </c>
      <c r="N240" t="str">
        <f>Companies!O270</f>
        <v>Seed</v>
      </c>
      <c r="O240" t="str">
        <f>Companies!P270</f>
        <v>Madrona, New York Venture Partners, Hustle Fund, Chapter One Ventures, Active Capital, Matt Gibstein</v>
      </c>
      <c r="P240">
        <f>Companies!Q270</f>
        <v>0</v>
      </c>
    </row>
    <row r="241" spans="2:16">
      <c r="B241" t="str">
        <f>Companies!B271</f>
        <v>norby.io</v>
      </c>
      <c r="C241" t="str">
        <f>Companies!C271</f>
        <v>Private</v>
      </c>
      <c r="D241">
        <f>Companies!D271</f>
        <v>25</v>
      </c>
      <c r="E241" t="str">
        <f>Companies!E271</f>
        <v>N/A</v>
      </c>
      <c r="F241" t="str">
        <f>Companies!F271</f>
        <v>N/A</v>
      </c>
      <c r="G241" t="str">
        <f>Companies!H271</f>
        <v>Chatbot customer service</v>
      </c>
      <c r="H241">
        <f>Companies!I271</f>
        <v>0</v>
      </c>
      <c r="I241" t="str">
        <f>Companies!J271</f>
        <v>Enterprise</v>
      </c>
      <c r="J241" t="str">
        <f>Companies!K271</f>
        <v>Customer Service</v>
      </c>
      <c r="K241">
        <f>Companies!L271</f>
        <v>2020</v>
      </c>
      <c r="L241">
        <f>Companies!M271</f>
        <v>0</v>
      </c>
      <c r="M241" t="str">
        <f>Companies!N271</f>
        <v>N/A</v>
      </c>
      <c r="N241" t="str">
        <f>Companies!O271</f>
        <v>N/A</v>
      </c>
      <c r="O241" t="str">
        <f>Companies!P271</f>
        <v>N/A</v>
      </c>
      <c r="P241" t="str">
        <f>Companies!Q271</f>
        <v>N/A</v>
      </c>
    </row>
    <row r="242" spans="2:16">
      <c r="B242" t="str">
        <f>Companies!B272</f>
        <v>Retrocausal</v>
      </c>
      <c r="C242" t="str">
        <f>Companies!C272</f>
        <v>Private</v>
      </c>
      <c r="D242">
        <f>Companies!D272</f>
        <v>20</v>
      </c>
      <c r="E242" t="str">
        <f>Companies!E272</f>
        <v>Seed</v>
      </c>
      <c r="F242">
        <f>Companies!F272</f>
        <v>3.5</v>
      </c>
      <c r="G242" t="str">
        <f>Companies!H272</f>
        <v>No-code QA/QC for manufacturers</v>
      </c>
      <c r="H242" t="str">
        <f>Companies!I272</f>
        <v>Andrey Konin, Quoc-Huy Tran, Zeeshan Zia</v>
      </c>
      <c r="I242" t="str">
        <f>Companies!J272</f>
        <v>Enterprise</v>
      </c>
      <c r="J242" t="str">
        <f>Companies!K272</f>
        <v>Manufacturing</v>
      </c>
      <c r="K242">
        <f>Companies!L272</f>
        <v>2019</v>
      </c>
      <c r="L242">
        <f>Companies!M272</f>
        <v>0</v>
      </c>
      <c r="M242" t="str">
        <f>Companies!N272</f>
        <v>Glasswing Ventures, Differential Ventures, Hypertherm Ventures, Argon Ventures</v>
      </c>
      <c r="N242" t="str">
        <f>Companies!O272</f>
        <v>Pre-Seed</v>
      </c>
      <c r="O242">
        <f>Companies!P272</f>
        <v>0.75</v>
      </c>
      <c r="P242" t="str">
        <f>Companies!Q272</f>
        <v>500 Global, 500 Startups Vietnam, Atland Ventures, Incubate Fund, Joel Schleicher</v>
      </c>
    </row>
    <row r="243" spans="2:16">
      <c r="B243" t="str">
        <f>Companies!B273</f>
        <v>Resemble.ai</v>
      </c>
      <c r="C243" t="str">
        <f>Companies!C273</f>
        <v>Private</v>
      </c>
      <c r="D243">
        <f>Companies!D273</f>
        <v>20</v>
      </c>
      <c r="E243" t="str">
        <f>Companies!E273</f>
        <v>Seed</v>
      </c>
      <c r="F243">
        <f>Companies!F273</f>
        <v>4</v>
      </c>
      <c r="G243">
        <f>Companies!H273</f>
        <v>0</v>
      </c>
      <c r="H243" t="str">
        <f>Companies!I273</f>
        <v>Saqib Muhammad, Zohaib Ahmed</v>
      </c>
      <c r="I243" t="str">
        <f>Companies!J273</f>
        <v>Enterprise</v>
      </c>
      <c r="J243" t="str">
        <f>Companies!K273</f>
        <v>Voice</v>
      </c>
      <c r="K243">
        <f>Companies!L273</f>
        <v>2018</v>
      </c>
      <c r="L243">
        <f>Companies!M273</f>
        <v>0</v>
      </c>
      <c r="M243" t="str">
        <f>Companies!N273</f>
        <v>Spacecadet Ventures</v>
      </c>
      <c r="N243" t="str">
        <f>Companies!O273</f>
        <v>Seed</v>
      </c>
      <c r="O243">
        <f>Companies!P273</f>
        <v>2</v>
      </c>
      <c r="P243" t="str">
        <f>Companies!Q273</f>
        <v>Firstminute Capital, Craft Ventures, Betaworks, AET Fund</v>
      </c>
    </row>
    <row r="244" spans="2:16">
      <c r="B244" t="str">
        <f>Companies!B274</f>
        <v>Consensus</v>
      </c>
      <c r="C244" t="str">
        <f>Companies!C274</f>
        <v>Private</v>
      </c>
      <c r="D244">
        <f>Companies!D274</f>
        <v>20</v>
      </c>
      <c r="E244" t="str">
        <f>Companies!E274</f>
        <v>Seed</v>
      </c>
      <c r="F244">
        <f>Companies!F274</f>
        <v>3</v>
      </c>
      <c r="G244" t="str">
        <f>Companies!H274</f>
        <v>Scientific Research</v>
      </c>
      <c r="H244" t="str">
        <f>Companies!I274</f>
        <v>Christian Salem</v>
      </c>
      <c r="I244" t="str">
        <f>Companies!J274</f>
        <v>Enterprise</v>
      </c>
      <c r="J244" t="str">
        <f>Companies!K274</f>
        <v>Research</v>
      </c>
      <c r="K244">
        <f>Companies!L274</f>
        <v>2021</v>
      </c>
      <c r="L244">
        <f>Companies!M274</f>
        <v>0</v>
      </c>
      <c r="M244" t="str">
        <f>Companies!N274</f>
        <v>Draper Associates, Winklevoss Capital, Alumni Ventures, Nomad Capital, Rob May, Kevin Carter, Brian Pokorny, Billy Draper</v>
      </c>
      <c r="N244" t="str">
        <f>Companies!O274</f>
        <v>Pre-Seed</v>
      </c>
      <c r="O244">
        <f>Companies!P274</f>
        <v>1.2</v>
      </c>
      <c r="P244" t="str">
        <f>Companies!Q274</f>
        <v>Winklevoss Capital, Permit Ventures, Laurence Innovation, Chey Capital, Bettor Capital, Sam Parr, Peter Jennings, Mike R. Walsh, Joe Speiser</v>
      </c>
    </row>
    <row r="245" spans="2:16">
      <c r="B245" t="str">
        <f>Companies!B275</f>
        <v>Pictory</v>
      </c>
      <c r="C245" t="str">
        <f>Companies!C275</f>
        <v>Private</v>
      </c>
      <c r="D245">
        <f>Companies!D275</f>
        <v>20</v>
      </c>
      <c r="E245" t="str">
        <f>Companies!E275</f>
        <v>Seed</v>
      </c>
      <c r="F245">
        <f>Companies!F275</f>
        <v>2.6</v>
      </c>
      <c r="G245">
        <f>Companies!H275</f>
        <v>0</v>
      </c>
      <c r="H245" t="str">
        <f>Companies!I275</f>
        <v>Abid Ali Mohammed, Vikram Chalana, Vishal Chalana</v>
      </c>
      <c r="I245" t="str">
        <f>Companies!J275</f>
        <v>Enterprise</v>
      </c>
      <c r="J245" t="str">
        <f>Companies!K275</f>
        <v>Video</v>
      </c>
      <c r="K245">
        <f>Companies!L275</f>
        <v>2019</v>
      </c>
      <c r="L245">
        <f>Companies!M275</f>
        <v>0</v>
      </c>
      <c r="M245" t="str">
        <f>Companies!N275</f>
        <v>Fuse, Voyager Capital, Omri Bahat, Bill Bryant, Bharat Shyam</v>
      </c>
      <c r="N245" t="str">
        <f>Companies!O275</f>
        <v>N/A</v>
      </c>
      <c r="O245" t="str">
        <f>Companies!P275</f>
        <v>N/A</v>
      </c>
      <c r="P245" t="str">
        <f>Companies!Q275</f>
        <v>N/A</v>
      </c>
    </row>
    <row r="246" spans="2:16">
      <c r="B246" t="str">
        <f>Companies!B276</f>
        <v>Datrics</v>
      </c>
      <c r="C246" t="str">
        <f>Companies!C276</f>
        <v>Private</v>
      </c>
      <c r="D246">
        <f>Companies!D276</f>
        <v>20</v>
      </c>
      <c r="E246" t="str">
        <f>Companies!E276</f>
        <v>Seed</v>
      </c>
      <c r="F246">
        <f>Companies!F276</f>
        <v>0.125</v>
      </c>
      <c r="G246" t="str">
        <f>Companies!H276</f>
        <v>No-code analytics</v>
      </c>
      <c r="H246" t="str">
        <f>Companies!I276</f>
        <v>Anton Vaisburd, Kirill Kirikov, Volodymyr Sofinskyi</v>
      </c>
      <c r="I246" t="str">
        <f>Companies!J276</f>
        <v>Enterprise</v>
      </c>
      <c r="J246" t="str">
        <f>Companies!K276</f>
        <v>Analytics</v>
      </c>
      <c r="K246">
        <f>Companies!L276</f>
        <v>2020</v>
      </c>
      <c r="L246">
        <f>Companies!M276</f>
        <v>0</v>
      </c>
      <c r="M246" t="str">
        <f>Companies!N276</f>
        <v>Y Combinator, AltaIR Capital, Oleg Rogynskyy</v>
      </c>
      <c r="N246" t="str">
        <f>Companies!O276</f>
        <v>Pre-Seed</v>
      </c>
      <c r="O246">
        <f>Companies!P276</f>
        <v>0.2</v>
      </c>
      <c r="P246" t="str">
        <f>Companies!Q276</f>
        <v>StartupYard, QPDigital, Illia Polosukhin</v>
      </c>
    </row>
    <row r="247" spans="2:16">
      <c r="B247" t="str">
        <f>Companies!B277</f>
        <v>Intrinsic</v>
      </c>
      <c r="C247" t="str">
        <f>Companies!C277</f>
        <v>Private</v>
      </c>
      <c r="D247">
        <f>Companies!D277</f>
        <v>20</v>
      </c>
      <c r="E247" t="str">
        <f>Companies!E277</f>
        <v>N/A</v>
      </c>
      <c r="F247" t="str">
        <f>Companies!F277</f>
        <v>N/A</v>
      </c>
      <c r="G247" t="str">
        <f>Companies!H277</f>
        <v>Robotics design, FlowState, Open Robotics</v>
      </c>
      <c r="H247" t="str">
        <f>Companies!I277</f>
        <v>Wendy Tan White</v>
      </c>
      <c r="I247" t="str">
        <f>Companies!J277</f>
        <v>Enterprise</v>
      </c>
      <c r="J247" t="str">
        <f>Companies!K277</f>
        <v>Robotics</v>
      </c>
      <c r="K247">
        <f>Companies!L277</f>
        <v>2021</v>
      </c>
      <c r="L247" t="str">
        <f>Companies!M277</f>
        <v>Alphabet owned?</v>
      </c>
      <c r="M247" t="str">
        <f>Companies!N277</f>
        <v>N/A</v>
      </c>
      <c r="N247" t="str">
        <f>Companies!O277</f>
        <v>N/A</v>
      </c>
      <c r="O247" t="str">
        <f>Companies!P277</f>
        <v>N/A</v>
      </c>
      <c r="P247" t="str">
        <f>Companies!Q277</f>
        <v>N/A</v>
      </c>
    </row>
    <row r="248" spans="2:16">
      <c r="B248" t="str">
        <f>Companies!B278</f>
        <v>Bravo</v>
      </c>
      <c r="C248" t="str">
        <f>Companies!C278</f>
        <v>Private</v>
      </c>
      <c r="D248">
        <f>Companies!D278</f>
        <v>20</v>
      </c>
      <c r="E248" t="str">
        <f>Companies!E278</f>
        <v>N/A</v>
      </c>
      <c r="F248" t="str">
        <f>Companies!F278</f>
        <v>N/A</v>
      </c>
      <c r="G248" t="str">
        <f>Companies!H278</f>
        <v>Employee Recognition</v>
      </c>
      <c r="H248">
        <f>Companies!I278</f>
        <v>0</v>
      </c>
      <c r="I248" t="str">
        <f>Companies!J278</f>
        <v>Enterprise</v>
      </c>
      <c r="J248" t="str">
        <f>Companies!K278</f>
        <v>HR</v>
      </c>
      <c r="K248" t="str">
        <f>Companies!L278</f>
        <v>N/A</v>
      </c>
      <c r="L248">
        <f>Companies!M278</f>
        <v>0</v>
      </c>
      <c r="M248" t="str">
        <f>Companies!N278</f>
        <v>N/A</v>
      </c>
      <c r="N248" t="str">
        <f>Companies!O278</f>
        <v>N/A</v>
      </c>
      <c r="O248" t="str">
        <f>Companies!P278</f>
        <v>N/A</v>
      </c>
      <c r="P248" t="str">
        <f>Companies!Q278</f>
        <v>N/A</v>
      </c>
    </row>
    <row r="249" spans="2:16">
      <c r="B249" t="str">
        <f>Companies!B279</f>
        <v>DL Software</v>
      </c>
      <c r="C249" t="str">
        <f>Companies!C279</f>
        <v>Private</v>
      </c>
      <c r="D249">
        <f>Companies!D279</f>
        <v>20</v>
      </c>
      <c r="E249" t="str">
        <f>Companies!E279</f>
        <v>Pre-Seed</v>
      </c>
      <c r="F249">
        <f>Companies!F279</f>
        <v>1</v>
      </c>
      <c r="G249" t="str">
        <f>Companies!H279</f>
        <v>NOYB</v>
      </c>
      <c r="H249" t="str">
        <f>Companies!I279</f>
        <v>Martin Shkreli</v>
      </c>
      <c r="I249" t="str">
        <f>Companies!J279</f>
        <v>N/A</v>
      </c>
      <c r="J249" t="str">
        <f>Companies!K279</f>
        <v>N/A</v>
      </c>
      <c r="K249">
        <f>Companies!L279</f>
        <v>2022</v>
      </c>
      <c r="L249">
        <f>Companies!M279</f>
        <v>0</v>
      </c>
      <c r="M249" t="str">
        <f>Companies!N279</f>
        <v>N/A</v>
      </c>
      <c r="N249" t="str">
        <f>Companies!O279</f>
        <v>N/A</v>
      </c>
      <c r="O249" t="str">
        <f>Companies!P279</f>
        <v>N/A</v>
      </c>
      <c r="P249" t="str">
        <f>Companies!Q279</f>
        <v>N/A</v>
      </c>
    </row>
    <row r="250" spans="2:16">
      <c r="B250" t="str">
        <f>Companies!B280</f>
        <v>Mason</v>
      </c>
      <c r="C250" t="str">
        <f>Companies!C280</f>
        <v>Private</v>
      </c>
      <c r="D250">
        <f>Companies!D280</f>
        <v>20</v>
      </c>
      <c r="E250" t="str">
        <f>Companies!E280</f>
        <v>Pre-Seed</v>
      </c>
      <c r="F250">
        <f>Companies!F280</f>
        <v>1.7</v>
      </c>
      <c r="G250" t="str">
        <f>Companies!H280</f>
        <v>SQL queries</v>
      </c>
      <c r="H250">
        <f>Companies!I280</f>
        <v>0</v>
      </c>
      <c r="I250" t="str">
        <f>Companies!J280</f>
        <v>Enterprise</v>
      </c>
      <c r="J250" t="str">
        <f>Companies!K280</f>
        <v>Tool</v>
      </c>
      <c r="K250">
        <f>Companies!L280</f>
        <v>2021</v>
      </c>
      <c r="L250">
        <f>Companies!M280</f>
        <v>0</v>
      </c>
      <c r="M250" t="str">
        <f>Companies!N280</f>
        <v>Creandum, Tobias Lutke, Sebastian Wallin, Renaud Visage, Fredrik Bjork, Christian Reber</v>
      </c>
      <c r="N250" t="str">
        <f>Companies!O280</f>
        <v>N/A</v>
      </c>
      <c r="O250" t="str">
        <f>Companies!P280</f>
        <v>N/A</v>
      </c>
      <c r="P250" t="str">
        <f>Companies!Q280</f>
        <v>N/A</v>
      </c>
    </row>
    <row r="251" spans="2:16">
      <c r="B251" t="str">
        <f>Companies!B281</f>
        <v>Lovo</v>
      </c>
      <c r="C251" t="str">
        <f>Companies!C281</f>
        <v>Private</v>
      </c>
      <c r="D251">
        <f>Companies!D281</f>
        <v>10</v>
      </c>
      <c r="E251" t="str">
        <f>Companies!E281</f>
        <v>Seed</v>
      </c>
      <c r="F251">
        <f>Companies!F281</f>
        <v>2</v>
      </c>
      <c r="G251" t="str">
        <f>Companies!H281</f>
        <v>TTS</v>
      </c>
      <c r="H251" t="str">
        <f>Companies!I281</f>
        <v>Tom Lee</v>
      </c>
      <c r="I251" t="str">
        <f>Companies!J281</f>
        <v>Enterprise</v>
      </c>
      <c r="J251" t="str">
        <f>Companies!K281</f>
        <v>Voice</v>
      </c>
      <c r="K251">
        <f>Companies!L281</f>
        <v>2019</v>
      </c>
      <c r="L251">
        <f>Companies!M281</f>
        <v>0</v>
      </c>
      <c r="M251" t="str">
        <f>Companies!N281</f>
        <v>Hashed, Goodwater Capital, PKO Investments, Yat Siu, Ray Chan, Patrick Lee, Kun Gao, Holly Liu, Daniel Wu</v>
      </c>
      <c r="N251" t="str">
        <f>Companies!O281</f>
        <v>Seed</v>
      </c>
      <c r="O251">
        <f>Companies!P281</f>
        <v>4.5</v>
      </c>
      <c r="P251" t="str">
        <f>Companies!Q281</f>
        <v>LG, Kakao, Berkeley SkyDeck, Michael Kim</v>
      </c>
    </row>
    <row r="252" spans="2:16">
      <c r="B252" t="str">
        <f>Companies!B282</f>
        <v>togetherAI</v>
      </c>
      <c r="C252" t="str">
        <f>Companies!C282</f>
        <v>Private</v>
      </c>
      <c r="D252">
        <f>Companies!D282</f>
        <v>10</v>
      </c>
      <c r="E252" t="str">
        <f>Companies!E282</f>
        <v>Seed</v>
      </c>
      <c r="F252">
        <f>Companies!F282</f>
        <v>3</v>
      </c>
      <c r="G252" t="str">
        <f>Companies!H282</f>
        <v>Mental Health</v>
      </c>
      <c r="H252">
        <f>Companies!I282</f>
        <v>0</v>
      </c>
      <c r="I252" t="str">
        <f>Companies!J282</f>
        <v>Consumer</v>
      </c>
      <c r="J252" t="str">
        <f>Companies!K282</f>
        <v>Healthcare</v>
      </c>
      <c r="K252">
        <f>Companies!L282</f>
        <v>44166</v>
      </c>
      <c r="L252">
        <f>Companies!M282</f>
        <v>0</v>
      </c>
      <c r="M252" t="str">
        <f>Companies!N282</f>
        <v>Scalare Partners</v>
      </c>
      <c r="N252" t="str">
        <f>Companies!O282</f>
        <v>Pre-Seed</v>
      </c>
      <c r="O252">
        <f>Companies!P282</f>
        <v>0.5</v>
      </c>
      <c r="P252" t="str">
        <f>Companies!Q282</f>
        <v>N/A</v>
      </c>
    </row>
    <row r="253" spans="2:16">
      <c r="B253" t="str">
        <f>Companies!B283</f>
        <v>Pirr.app</v>
      </c>
      <c r="C253" t="str">
        <f>Companies!C283</f>
        <v>Private</v>
      </c>
      <c r="D253">
        <f>Companies!D283</f>
        <v>4</v>
      </c>
      <c r="E253" t="str">
        <f>Companies!E283</f>
        <v>Seed</v>
      </c>
      <c r="F253">
        <f>Companies!F283</f>
        <v>0.21</v>
      </c>
      <c r="G253" t="str">
        <f>Companies!H283</f>
        <v>Erotica generator</v>
      </c>
      <c r="H253" t="str">
        <f>Companies!I283</f>
        <v>Anna Wallander</v>
      </c>
      <c r="I253" t="str">
        <f>Companies!J283</f>
        <v>Consumer</v>
      </c>
      <c r="J253" t="str">
        <f>Companies!K283</f>
        <v>Erotica</v>
      </c>
      <c r="K253">
        <f>Companies!L283</f>
        <v>2021</v>
      </c>
      <c r="L253">
        <f>Companies!M283</f>
        <v>0</v>
      </c>
      <c r="M253" t="str">
        <f>Companies!N283</f>
        <v>Vinnova</v>
      </c>
      <c r="N253" t="str">
        <f>Companies!O283</f>
        <v>N/A</v>
      </c>
      <c r="O253" t="str">
        <f>Companies!P283</f>
        <v>N/A</v>
      </c>
      <c r="P253" t="str">
        <f>Companies!Q283</f>
        <v>N/A</v>
      </c>
    </row>
    <row r="254" spans="2:16">
      <c r="B254" t="str">
        <f>Companies!B284</f>
        <v>Ada (ada.place, rental AI)</v>
      </c>
      <c r="C254" t="str">
        <f>Companies!C284</f>
        <v>Private</v>
      </c>
      <c r="D254">
        <f>Companies!D284</f>
        <v>0.5</v>
      </c>
      <c r="E254" t="str">
        <f>Companies!E284</f>
        <v>Pre-Seed</v>
      </c>
      <c r="F254">
        <f>Companies!F284</f>
        <v>0.5</v>
      </c>
      <c r="G254" t="str">
        <f>Companies!H284</f>
        <v>Defunct?</v>
      </c>
      <c r="H254" t="str">
        <f>Companies!I284</f>
        <v>N/A</v>
      </c>
      <c r="I254" t="str">
        <f>Companies!J284</f>
        <v>N/A</v>
      </c>
      <c r="J254" t="str">
        <f>Companies!K284</f>
        <v>N/A</v>
      </c>
      <c r="K254" t="str">
        <f>Companies!L284</f>
        <v>N/A</v>
      </c>
      <c r="L254">
        <f>Companies!M284</f>
        <v>0</v>
      </c>
      <c r="M254" t="str">
        <f>Companies!N284</f>
        <v>YouNick Mint</v>
      </c>
      <c r="N254" t="str">
        <f>Companies!O284</f>
        <v>N/A</v>
      </c>
      <c r="O254" t="str">
        <f>Companies!P284</f>
        <v>N/A</v>
      </c>
      <c r="P254" t="str">
        <f>Companies!Q284</f>
        <v>N/A</v>
      </c>
    </row>
    <row r="255" spans="2:16">
      <c r="B255" t="str">
        <f>Companies!B285</f>
        <v>Spicychat.ai</v>
      </c>
      <c r="C255" t="str">
        <f>Companies!C285</f>
        <v>Private</v>
      </c>
      <c r="D255" t="str">
        <f>Companies!D285</f>
        <v>N/A</v>
      </c>
      <c r="E255" t="str">
        <f>Companies!E285</f>
        <v>N/A</v>
      </c>
      <c r="F255" t="str">
        <f>Companies!F285</f>
        <v>N/A</v>
      </c>
      <c r="G255" t="str">
        <f>Companies!H285</f>
        <v>Erotica</v>
      </c>
      <c r="H255" t="str">
        <f>Companies!I285</f>
        <v>Some guy on reddit</v>
      </c>
      <c r="I255" t="str">
        <f>Companies!J285</f>
        <v>Consumer</v>
      </c>
      <c r="J255" t="str">
        <f>Companies!K285</f>
        <v>Sex</v>
      </c>
      <c r="K255">
        <f>Companies!L285</f>
        <v>2023</v>
      </c>
      <c r="L255" t="str">
        <f>Companies!M285</f>
        <v>Lots of traffic</v>
      </c>
      <c r="M255" t="str">
        <f>Companies!N285</f>
        <v>N/A</v>
      </c>
      <c r="N255" t="str">
        <f>Companies!O285</f>
        <v>N/A</v>
      </c>
      <c r="O255" t="str">
        <f>Companies!P285</f>
        <v>N/A</v>
      </c>
      <c r="P255" t="str">
        <f>Companies!Q285</f>
        <v>N/A</v>
      </c>
    </row>
    <row r="256" spans="2:16">
      <c r="B256" t="str">
        <f>Companies!B286</f>
        <v>Nastia ai</v>
      </c>
      <c r="C256" t="str">
        <f>Companies!C286</f>
        <v>Private</v>
      </c>
      <c r="D256" t="str">
        <f>Companies!D286</f>
        <v>N/A</v>
      </c>
      <c r="E256" t="str">
        <f>Companies!E286</f>
        <v>N/A</v>
      </c>
      <c r="F256" t="str">
        <f>Companies!F286</f>
        <v>N/A</v>
      </c>
      <c r="G256" t="str">
        <f>Companies!H286</f>
        <v>Shitty quality</v>
      </c>
      <c r="H256">
        <f>Companies!I286</f>
        <v>0</v>
      </c>
      <c r="I256" t="str">
        <f>Companies!J286</f>
        <v>Consumer</v>
      </c>
      <c r="J256" t="str">
        <f>Companies!K286</f>
        <v>Love</v>
      </c>
      <c r="K256">
        <f>Companies!L286</f>
        <v>2023</v>
      </c>
      <c r="L256">
        <f>Companies!M286</f>
        <v>0</v>
      </c>
      <c r="M256" t="str">
        <f>Companies!N286</f>
        <v>N/A</v>
      </c>
      <c r="N256" t="str">
        <f>Companies!O286</f>
        <v>N/A</v>
      </c>
      <c r="O256" t="str">
        <f>Companies!P286</f>
        <v>N/A</v>
      </c>
      <c r="P256" t="str">
        <f>Companies!Q286</f>
        <v>N/A</v>
      </c>
    </row>
    <row r="257" spans="2:16">
      <c r="B257" t="str">
        <f>Companies!B287</f>
        <v>RizzGPT (rizzgpt.app)</v>
      </c>
      <c r="C257" t="str">
        <f>Companies!C287</f>
        <v>Private</v>
      </c>
      <c r="D257" t="str">
        <f>Companies!D287</f>
        <v>N/A</v>
      </c>
      <c r="E257" t="str">
        <f>Companies!E287</f>
        <v>N/A</v>
      </c>
      <c r="F257" t="str">
        <f>Companies!F287</f>
        <v>N/A</v>
      </c>
      <c r="G257">
        <f>Companies!H287</f>
        <v>0</v>
      </c>
      <c r="H257">
        <f>Companies!I287</f>
        <v>0</v>
      </c>
      <c r="I257" t="str">
        <f>Companies!J287</f>
        <v>Consumer</v>
      </c>
      <c r="J257" t="str">
        <f>Companies!K287</f>
        <v>Love</v>
      </c>
      <c r="K257">
        <f>Companies!L287</f>
        <v>2023</v>
      </c>
      <c r="L257">
        <f>Companies!M287</f>
        <v>0</v>
      </c>
      <c r="M257" t="str">
        <f>Companies!N287</f>
        <v>N/A</v>
      </c>
      <c r="N257" t="str">
        <f>Companies!O287</f>
        <v>N/A</v>
      </c>
      <c r="O257" t="str">
        <f>Companies!P287</f>
        <v>N/A</v>
      </c>
      <c r="P257" t="str">
        <f>Companies!Q287</f>
        <v>N/A</v>
      </c>
    </row>
    <row r="258" spans="2:16">
      <c r="B258" t="str">
        <f>Companies!B288</f>
        <v>Dreamily</v>
      </c>
      <c r="C258" t="str">
        <f>Companies!C288</f>
        <v>Private</v>
      </c>
      <c r="D258" t="str">
        <f>Companies!D288</f>
        <v>N/A</v>
      </c>
      <c r="E258" t="str">
        <f>Companies!E288</f>
        <v>N/A</v>
      </c>
      <c r="F258" t="str">
        <f>Companies!F288</f>
        <v>N/A</v>
      </c>
      <c r="G258" t="str">
        <f>Companies!H288</f>
        <v>Writing</v>
      </c>
      <c r="H258">
        <f>Companies!I288</f>
        <v>0</v>
      </c>
      <c r="I258" t="str">
        <f>Companies!J288</f>
        <v>Consumer</v>
      </c>
      <c r="J258" t="str">
        <f>Companies!K288</f>
        <v>Writing</v>
      </c>
      <c r="K258">
        <f>Companies!L288</f>
        <v>2021</v>
      </c>
      <c r="L258" t="str">
        <f>Companies!M288</f>
        <v>Was popular before paid tier</v>
      </c>
      <c r="M258" t="str">
        <f>Companies!N288</f>
        <v>N/A</v>
      </c>
      <c r="N258" t="str">
        <f>Companies!O288</f>
        <v>N/A</v>
      </c>
      <c r="O258" t="str">
        <f>Companies!P288</f>
        <v>N/A</v>
      </c>
      <c r="P258" t="str">
        <f>Companies!Q288</f>
        <v>N/A</v>
      </c>
    </row>
    <row r="259" spans="2:16">
      <c r="B259" t="str">
        <f>Companies!B289</f>
        <v>Faraday.dev</v>
      </c>
      <c r="C259" t="str">
        <f>Companies!C289</f>
        <v>Private</v>
      </c>
      <c r="D259" t="str">
        <f>Companies!D289</f>
        <v>N/A</v>
      </c>
      <c r="E259" t="str">
        <f>Companies!E289</f>
        <v>N/A</v>
      </c>
      <c r="F259" t="str">
        <f>Companies!F289</f>
        <v>N/A</v>
      </c>
      <c r="G259" t="str">
        <f>Companies!H289</f>
        <v>Offline LLMs</v>
      </c>
      <c r="H259">
        <f>Companies!I289</f>
        <v>0</v>
      </c>
      <c r="I259" t="str">
        <f>Companies!J289</f>
        <v>Consumer</v>
      </c>
      <c r="J259" t="str">
        <f>Companies!K289</f>
        <v>Tool</v>
      </c>
      <c r="K259">
        <f>Companies!L289</f>
        <v>2023</v>
      </c>
      <c r="L259">
        <f>Companies!M289</f>
        <v>0</v>
      </c>
      <c r="M259" t="str">
        <f>Companies!N289</f>
        <v>N/A</v>
      </c>
      <c r="N259" t="str">
        <f>Companies!O289</f>
        <v>N/A</v>
      </c>
      <c r="O259" t="str">
        <f>Companies!P289</f>
        <v>N/A</v>
      </c>
      <c r="P259" t="str">
        <f>Companies!Q289</f>
        <v>N/A</v>
      </c>
    </row>
    <row r="260" spans="2:16">
      <c r="B260" t="str">
        <f>Companies!B290</f>
        <v>Crushon.ai</v>
      </c>
      <c r="C260" t="str">
        <f>Companies!C290</f>
        <v>Private</v>
      </c>
      <c r="D260" t="str">
        <f>Companies!D290</f>
        <v>N/A</v>
      </c>
      <c r="E260" t="str">
        <f>Companies!E290</f>
        <v>N/A</v>
      </c>
      <c r="F260" t="str">
        <f>Companies!F290</f>
        <v>N/A</v>
      </c>
      <c r="G260">
        <f>Companies!H290</f>
        <v>0</v>
      </c>
      <c r="H260">
        <f>Companies!I290</f>
        <v>0</v>
      </c>
      <c r="I260" t="str">
        <f>Companies!J290</f>
        <v>Consumer</v>
      </c>
      <c r="J260" t="str">
        <f>Companies!K290</f>
        <v>Sex</v>
      </c>
      <c r="K260">
        <f>Companies!L290</f>
        <v>2023</v>
      </c>
      <c r="L260" t="str">
        <f>Companies!M290</f>
        <v>Character.ai clone</v>
      </c>
      <c r="M260" t="str">
        <f>Companies!N290</f>
        <v>N/A</v>
      </c>
      <c r="N260" t="str">
        <f>Companies!O290</f>
        <v>N/A</v>
      </c>
      <c r="O260" t="str">
        <f>Companies!P290</f>
        <v>N/A</v>
      </c>
      <c r="P260" t="str">
        <f>Companies!Q290</f>
        <v>N/A</v>
      </c>
    </row>
    <row r="261" spans="2:16">
      <c r="B261" t="str">
        <f>Companies!B291</f>
        <v>GooseAI</v>
      </c>
      <c r="C261" t="str">
        <f>Companies!C291</f>
        <v>Private</v>
      </c>
      <c r="D261" t="str">
        <f>Companies!D291</f>
        <v>N/A</v>
      </c>
      <c r="E261" t="str">
        <f>Companies!E291</f>
        <v>N/A</v>
      </c>
      <c r="F261" t="str">
        <f>Companies!F291</f>
        <v>N/A</v>
      </c>
      <c r="G261" t="str">
        <f>Companies!H291</f>
        <v>GPT-Neo, Fairseq serever</v>
      </c>
      <c r="H261">
        <f>Companies!I291</f>
        <v>0</v>
      </c>
      <c r="I261" t="str">
        <f>Companies!J291</f>
        <v>Enterprise</v>
      </c>
      <c r="J261" t="str">
        <f>Companies!K291</f>
        <v>LLM</v>
      </c>
      <c r="K261" t="str">
        <f>Companies!L291</f>
        <v>N/A</v>
      </c>
      <c r="L261">
        <f>Companies!M291</f>
        <v>0</v>
      </c>
      <c r="M261" t="str">
        <f>Companies!N291</f>
        <v>N/A</v>
      </c>
      <c r="N261" t="str">
        <f>Companies!O291</f>
        <v>N/A</v>
      </c>
      <c r="O261" t="str">
        <f>Companies!P291</f>
        <v>N/A</v>
      </c>
      <c r="P261" t="str">
        <f>Companies!Q291</f>
        <v>N/A</v>
      </c>
    </row>
    <row r="262" spans="2:16">
      <c r="B262" t="str">
        <f>Companies!B292</f>
        <v>Anima ai (myanima.ai)</v>
      </c>
      <c r="C262" t="str">
        <f>Companies!C292</f>
        <v>Private</v>
      </c>
      <c r="D262" t="str">
        <f>Companies!D292</f>
        <v>N/A</v>
      </c>
      <c r="E262" t="str">
        <f>Companies!E292</f>
        <v>N/A</v>
      </c>
      <c r="F262" t="str">
        <f>Companies!F292</f>
        <v>N/A</v>
      </c>
      <c r="G262" t="str">
        <f>Companies!H292</f>
        <v>Non-sex</v>
      </c>
      <c r="H262">
        <f>Companies!I292</f>
        <v>0</v>
      </c>
      <c r="I262" t="str">
        <f>Companies!J292</f>
        <v>Consumer</v>
      </c>
      <c r="J262" t="str">
        <f>Companies!K292</f>
        <v>Love</v>
      </c>
      <c r="K262">
        <f>Companies!L292</f>
        <v>2020</v>
      </c>
      <c r="L262">
        <f>Companies!M292</f>
        <v>0</v>
      </c>
      <c r="M262" t="str">
        <f>Companies!N292</f>
        <v>N/A</v>
      </c>
      <c r="N262" t="str">
        <f>Companies!O292</f>
        <v>N/A</v>
      </c>
      <c r="O262" t="str">
        <f>Companies!P292</f>
        <v>N/A</v>
      </c>
      <c r="P262" t="str">
        <f>Companies!Q292</f>
        <v>N/A</v>
      </c>
    </row>
    <row r="263" spans="2:16">
      <c r="B263" t="str">
        <f>Companies!B293</f>
        <v>Goose-AI</v>
      </c>
      <c r="C263" t="str">
        <f>Companies!C293</f>
        <v>Private</v>
      </c>
      <c r="D263" t="str">
        <f>Companies!D293</f>
        <v>N/A</v>
      </c>
      <c r="E263" t="str">
        <f>Companies!E293</f>
        <v>N/A</v>
      </c>
      <c r="F263" t="str">
        <f>Companies!F293</f>
        <v>N/A</v>
      </c>
      <c r="G263">
        <f>Companies!H293</f>
        <v>0</v>
      </c>
      <c r="H263">
        <f>Companies!I293</f>
        <v>0</v>
      </c>
      <c r="I263" t="str">
        <f>Companies!J293</f>
        <v>AI Lab</v>
      </c>
      <c r="J263" t="str">
        <f>Companies!K293</f>
        <v>AI Lab</v>
      </c>
      <c r="K263" t="str">
        <f>Companies!L293</f>
        <v>N/A</v>
      </c>
      <c r="L263">
        <f>Companies!M293</f>
        <v>0</v>
      </c>
      <c r="M263" t="str">
        <f>Companies!N293</f>
        <v>N/A</v>
      </c>
      <c r="N263" t="str">
        <f>Companies!O293</f>
        <v>N/A</v>
      </c>
      <c r="O263" t="str">
        <f>Companies!P293</f>
        <v>N/A</v>
      </c>
      <c r="P263" t="str">
        <f>Companies!Q293</f>
        <v>N/A</v>
      </c>
    </row>
    <row r="264" spans="2:16">
      <c r="B264" t="str">
        <f>Companies!B294</f>
        <v>Holo</v>
      </c>
      <c r="C264" t="str">
        <f>Companies!C294</f>
        <v>Private</v>
      </c>
      <c r="D264" t="str">
        <f>Companies!D294</f>
        <v>N/A</v>
      </c>
      <c r="E264" t="str">
        <f>Companies!E294</f>
        <v>N/A</v>
      </c>
      <c r="F264" t="str">
        <f>Companies!F294</f>
        <v>N/A</v>
      </c>
      <c r="G264" t="str">
        <f>Companies!H294</f>
        <v>Writing Assistant</v>
      </c>
      <c r="H264">
        <f>Companies!I294</f>
        <v>0</v>
      </c>
      <c r="I264" t="str">
        <f>Companies!J294</f>
        <v>Consumer</v>
      </c>
      <c r="J264" t="str">
        <f>Companies!K294</f>
        <v>Writing</v>
      </c>
      <c r="K264" t="str">
        <f>Companies!L294</f>
        <v>N/A</v>
      </c>
      <c r="L264">
        <f>Companies!M294</f>
        <v>0</v>
      </c>
      <c r="M264" t="str">
        <f>Companies!N294</f>
        <v>N/A</v>
      </c>
      <c r="N264" t="str">
        <f>Companies!O294</f>
        <v>N/A</v>
      </c>
      <c r="O264" t="str">
        <f>Companies!P294</f>
        <v>N/A</v>
      </c>
      <c r="P264" t="str">
        <f>Companies!Q294</f>
        <v>N/A</v>
      </c>
    </row>
    <row r="265" spans="2:16">
      <c r="B265" t="str">
        <f>Companies!B295</f>
        <v>Chatfai</v>
      </c>
      <c r="C265" t="str">
        <f>Companies!C295</f>
        <v>Private</v>
      </c>
      <c r="D265" t="str">
        <f>Companies!D295</f>
        <v>N/A</v>
      </c>
      <c r="E265" t="str">
        <f>Companies!E295</f>
        <v>N/A</v>
      </c>
      <c r="F265" t="str">
        <f>Companies!F295</f>
        <v>N/A</v>
      </c>
      <c r="G265" t="str">
        <f>Companies!H295</f>
        <v>NSFW Characters</v>
      </c>
      <c r="H265">
        <f>Companies!I295</f>
        <v>0</v>
      </c>
      <c r="I265" t="str">
        <f>Companies!J295</f>
        <v>Consumer</v>
      </c>
      <c r="J265" t="str">
        <f>Companies!K295</f>
        <v>Chatbot</v>
      </c>
      <c r="K265" t="str">
        <f>Companies!L295</f>
        <v>N/A</v>
      </c>
      <c r="L265">
        <f>Companies!M295</f>
        <v>0</v>
      </c>
      <c r="M265" t="str">
        <f>Companies!N295</f>
        <v>N/A</v>
      </c>
      <c r="N265" t="str">
        <f>Companies!O295</f>
        <v>N/A</v>
      </c>
      <c r="O265" t="str">
        <f>Companies!P295</f>
        <v>N/A</v>
      </c>
      <c r="P265" t="str">
        <f>Companies!Q295</f>
        <v>N/A</v>
      </c>
    </row>
    <row r="266" spans="2:16">
      <c r="B266" t="str">
        <f>Companies!B296</f>
        <v>Chai (app, Chai Research Corp, Chai.ml)</v>
      </c>
      <c r="C266" t="str">
        <f>Companies!C296</f>
        <v>Private</v>
      </c>
      <c r="D266" t="str">
        <f>Companies!D296</f>
        <v>N/A</v>
      </c>
      <c r="E266" t="str">
        <f>Companies!E296</f>
        <v>N/A</v>
      </c>
      <c r="F266" t="str">
        <f>Companies!F296</f>
        <v>N/A</v>
      </c>
      <c r="G266" t="str">
        <f>Companies!H296</f>
        <v>Chatbot</v>
      </c>
      <c r="H266">
        <f>Companies!I296</f>
        <v>0</v>
      </c>
      <c r="I266" t="str">
        <f>Companies!J296</f>
        <v>Consumer</v>
      </c>
      <c r="J266" t="str">
        <f>Companies!K296</f>
        <v>Chatbot</v>
      </c>
      <c r="K266">
        <f>Companies!L296</f>
        <v>2021</v>
      </c>
      <c r="L266">
        <f>Companies!M296</f>
        <v>0</v>
      </c>
      <c r="M266" t="str">
        <f>Companies!N296</f>
        <v>N/A</v>
      </c>
      <c r="N266" t="str">
        <f>Companies!O296</f>
        <v>N/A</v>
      </c>
      <c r="O266" t="str">
        <f>Companies!P296</f>
        <v>N/A</v>
      </c>
      <c r="P266" t="str">
        <f>Companies!Q296</f>
        <v>N/A</v>
      </c>
    </row>
    <row r="267" spans="2:16">
      <c r="B267" t="str">
        <f>Companies!B297</f>
        <v>KoboldAI (Github)</v>
      </c>
      <c r="C267" t="str">
        <f>Companies!C297</f>
        <v>Private</v>
      </c>
      <c r="D267" t="str">
        <f>Companies!D297</f>
        <v>N/A</v>
      </c>
      <c r="E267" t="str">
        <f>Companies!E297</f>
        <v>N/A</v>
      </c>
      <c r="F267" t="str">
        <f>Companies!F297</f>
        <v>N/A</v>
      </c>
      <c r="G267" t="str">
        <f>Companies!H297</f>
        <v>Writing assistant</v>
      </c>
      <c r="H267">
        <f>Companies!I297</f>
        <v>0</v>
      </c>
      <c r="I267" t="str">
        <f>Companies!J297</f>
        <v>Consumer</v>
      </c>
      <c r="J267" t="str">
        <f>Companies!K297</f>
        <v>Chatbot</v>
      </c>
      <c r="K267">
        <f>Companies!L297</f>
        <v>2022</v>
      </c>
      <c r="L267">
        <f>Companies!M297</f>
        <v>0</v>
      </c>
      <c r="M267" t="str">
        <f>Companies!N297</f>
        <v>N/A</v>
      </c>
      <c r="N267" t="str">
        <f>Companies!O297</f>
        <v>N/A</v>
      </c>
      <c r="O267" t="str">
        <f>Companies!P297</f>
        <v>N/A</v>
      </c>
      <c r="P267" t="str">
        <f>Companies!Q297</f>
        <v>N/A</v>
      </c>
    </row>
    <row r="268" spans="2:16">
      <c r="B268" t="str">
        <f>Companies!B298</f>
        <v>Agnaistic</v>
      </c>
      <c r="C268" t="str">
        <f>Companies!C298</f>
        <v>Private</v>
      </c>
      <c r="D268" t="str">
        <f>Companies!D298</f>
        <v>N/A</v>
      </c>
      <c r="E268" t="str">
        <f>Companies!E298</f>
        <v>N/A</v>
      </c>
      <c r="F268" t="str">
        <f>Companies!F298</f>
        <v>N/A</v>
      </c>
      <c r="G268" t="str">
        <f>Companies!H298</f>
        <v>Bring-your-own AI chatbot</v>
      </c>
      <c r="H268">
        <f>Companies!I298</f>
        <v>0</v>
      </c>
      <c r="I268" t="str">
        <f>Companies!J298</f>
        <v>Consumer</v>
      </c>
      <c r="J268" t="str">
        <f>Companies!K298</f>
        <v>Chatbot</v>
      </c>
      <c r="K268" t="str">
        <f>Companies!L298</f>
        <v>N/A</v>
      </c>
      <c r="L268">
        <f>Companies!M298</f>
        <v>0</v>
      </c>
      <c r="M268" t="str">
        <f>Companies!N298</f>
        <v>N/A</v>
      </c>
      <c r="N268" t="str">
        <f>Companies!O298</f>
        <v>N/A</v>
      </c>
      <c r="O268" t="str">
        <f>Companies!P298</f>
        <v>N/A</v>
      </c>
      <c r="P268" t="str">
        <f>Companies!Q298</f>
        <v>N/A</v>
      </c>
    </row>
    <row r="269" spans="2:16">
      <c r="B269" t="str">
        <f>Companies!B299</f>
        <v>InferKit</v>
      </c>
      <c r="C269" t="str">
        <f>Companies!C299</f>
        <v>Private</v>
      </c>
      <c r="D269" t="str">
        <f>Companies!D299</f>
        <v>N/A</v>
      </c>
      <c r="E269" t="str">
        <f>Companies!E299</f>
        <v>N/A</v>
      </c>
      <c r="F269" t="str">
        <f>Companies!F299</f>
        <v>N/A</v>
      </c>
      <c r="G269" t="str">
        <f>Companies!H299</f>
        <v>Text-generation</v>
      </c>
      <c r="H269">
        <f>Companies!I299</f>
        <v>0</v>
      </c>
      <c r="I269" t="str">
        <f>Companies!J299</f>
        <v>Consumer</v>
      </c>
      <c r="J269" t="str">
        <f>Companies!K299</f>
        <v>LLM</v>
      </c>
      <c r="K269" t="str">
        <f>Companies!L299</f>
        <v>N/A</v>
      </c>
      <c r="L269">
        <f>Companies!M299</f>
        <v>0</v>
      </c>
      <c r="M269" t="str">
        <f>Companies!N299</f>
        <v>N/A</v>
      </c>
      <c r="N269" t="str">
        <f>Companies!O299</f>
        <v>N/A</v>
      </c>
      <c r="O269" t="str">
        <f>Companies!P299</f>
        <v>N/A</v>
      </c>
      <c r="P269" t="str">
        <f>Companies!Q299</f>
        <v>N/A</v>
      </c>
    </row>
    <row r="270" spans="2:16">
      <c r="B270" t="str">
        <f>Companies!B300</f>
        <v>NovelAI</v>
      </c>
      <c r="C270" t="str">
        <f>Companies!C300</f>
        <v>Private</v>
      </c>
      <c r="D270" t="str">
        <f>Companies!D300</f>
        <v>N/A</v>
      </c>
      <c r="E270" t="str">
        <f>Companies!E300</f>
        <v>N/A</v>
      </c>
      <c r="F270" t="str">
        <f>Companies!F300</f>
        <v>N/A</v>
      </c>
      <c r="G270" t="str">
        <f>Companies!H300</f>
        <v>Storytelling</v>
      </c>
      <c r="H270">
        <f>Companies!I300</f>
        <v>0</v>
      </c>
      <c r="I270" t="str">
        <f>Companies!J300</f>
        <v>Consumer</v>
      </c>
      <c r="J270" t="str">
        <f>Companies!K300</f>
        <v>Furries</v>
      </c>
      <c r="K270">
        <f>Companies!L300</f>
        <v>2021</v>
      </c>
      <c r="L270">
        <f>Companies!M300</f>
        <v>0</v>
      </c>
      <c r="M270" t="str">
        <f>Companies!N300</f>
        <v>N/A</v>
      </c>
      <c r="N270" t="str">
        <f>Companies!O300</f>
        <v>N/A</v>
      </c>
      <c r="O270" t="str">
        <f>Companies!P300</f>
        <v>N/A</v>
      </c>
      <c r="P270" t="str">
        <f>Companies!Q300</f>
        <v>N/A</v>
      </c>
    </row>
    <row r="271" spans="2:16">
      <c r="B271" t="str">
        <f>Companies!B301</f>
        <v>Chub.ai (chub.ai)</v>
      </c>
      <c r="C271" t="str">
        <f>Companies!C301</f>
        <v>Private</v>
      </c>
      <c r="D271" t="str">
        <f>Companies!D301</f>
        <v>N/A</v>
      </c>
      <c r="E271" t="str">
        <f>Companies!E301</f>
        <v>N/A</v>
      </c>
      <c r="F271" t="str">
        <f>Companies!F301</f>
        <v>N/A</v>
      </c>
      <c r="G271" t="str">
        <f>Companies!H301</f>
        <v>Character Database?</v>
      </c>
      <c r="H271">
        <f>Companies!I301</f>
        <v>0</v>
      </c>
      <c r="I271" t="str">
        <f>Companies!J301</f>
        <v>Consumer</v>
      </c>
      <c r="J271" t="str">
        <f>Companies!K301</f>
        <v>Characters</v>
      </c>
      <c r="K271">
        <f>Companies!L301</f>
        <v>2023</v>
      </c>
      <c r="L271">
        <f>Companies!M301</f>
        <v>0</v>
      </c>
      <c r="M271" t="str">
        <f>Companies!N301</f>
        <v>N/A</v>
      </c>
      <c r="N271" t="str">
        <f>Companies!O301</f>
        <v>N/A</v>
      </c>
      <c r="O271" t="str">
        <f>Companies!P301</f>
        <v>N/A</v>
      </c>
      <c r="P271" t="str">
        <f>Companies!Q301</f>
        <v>N/A</v>
      </c>
    </row>
    <row r="272" spans="2:16">
      <c r="B272" t="str">
        <f>Companies!B302</f>
        <v>Rad AI (Santa Monica, CA)</v>
      </c>
      <c r="C272" t="str">
        <f>Companies!C302</f>
        <v>Private</v>
      </c>
      <c r="D272" t="str">
        <f>Companies!D302</f>
        <v>N/A</v>
      </c>
      <c r="E272" t="str">
        <f>Companies!E302</f>
        <v>N/A</v>
      </c>
      <c r="F272" t="str">
        <f>Companies!F302</f>
        <v>N/A</v>
      </c>
      <c r="G272" t="str">
        <f>Companies!H302</f>
        <v>Influencer Marketing Tool</v>
      </c>
      <c r="H272" t="str">
        <f>Companies!I302</f>
        <v>Jeremy Barnett, Brad Silver</v>
      </c>
      <c r="I272" t="str">
        <f>Companies!J302</f>
        <v>Enterprise</v>
      </c>
      <c r="J272" t="str">
        <f>Companies!K302</f>
        <v>Advertising</v>
      </c>
      <c r="K272">
        <f>Companies!L302</f>
        <v>2018</v>
      </c>
      <c r="L272">
        <f>Companies!M302</f>
        <v>0</v>
      </c>
      <c r="M272" t="str">
        <f>Companies!N302</f>
        <v>N/A</v>
      </c>
      <c r="N272" t="str">
        <f>Companies!O302</f>
        <v>N/A</v>
      </c>
      <c r="O272" t="str">
        <f>Companies!P302</f>
        <v>N/A</v>
      </c>
      <c r="P272" t="str">
        <f>Companies!Q302</f>
        <v>N/A</v>
      </c>
    </row>
    <row r="273" spans="2:16">
      <c r="B273" t="str">
        <f>Companies!B303</f>
        <v>TextSynth</v>
      </c>
      <c r="C273" t="str">
        <f>Companies!C303</f>
        <v>Private</v>
      </c>
      <c r="D273" t="str">
        <f>Companies!D303</f>
        <v>N/A</v>
      </c>
      <c r="E273" t="str">
        <f>Companies!E303</f>
        <v>N/A</v>
      </c>
      <c r="F273" t="str">
        <f>Companies!F303</f>
        <v>N/A</v>
      </c>
      <c r="G273" t="str">
        <f>Companies!H303</f>
        <v>Hosts text models</v>
      </c>
      <c r="H273">
        <f>Companies!I303</f>
        <v>0</v>
      </c>
      <c r="I273" t="str">
        <f>Companies!J303</f>
        <v>Consumer</v>
      </c>
      <c r="J273" t="str">
        <f>Companies!K303</f>
        <v>LLMs</v>
      </c>
      <c r="K273">
        <f>Companies!L303</f>
        <v>2023</v>
      </c>
      <c r="L273">
        <f>Companies!M303</f>
        <v>0</v>
      </c>
      <c r="M273" t="str">
        <f>Companies!N303</f>
        <v>N/A</v>
      </c>
      <c r="N273" t="str">
        <f>Companies!O303</f>
        <v>N/A</v>
      </c>
      <c r="O273" t="str">
        <f>Companies!P303</f>
        <v>N/A</v>
      </c>
      <c r="P273" t="str">
        <f>Companies!Q303</f>
        <v>N/A</v>
      </c>
    </row>
    <row r="274" spans="2:16">
      <c r="B274" t="str">
        <f>Companies!B304</f>
        <v>Janitor AI</v>
      </c>
      <c r="C274" t="str">
        <f>Companies!C304</f>
        <v>Private</v>
      </c>
      <c r="D274" t="str">
        <f>Companies!D304</f>
        <v>N/A</v>
      </c>
      <c r="E274" t="str">
        <f>Companies!E304</f>
        <v>N/A</v>
      </c>
      <c r="F274" t="str">
        <f>Companies!F304</f>
        <v>N/A</v>
      </c>
      <c r="G274" t="str">
        <f>Companies!H304</f>
        <v>Chatbot</v>
      </c>
      <c r="H274">
        <f>Companies!I304</f>
        <v>0</v>
      </c>
      <c r="I274" t="str">
        <f>Companies!J304</f>
        <v>Consumer</v>
      </c>
      <c r="J274" t="str">
        <f>Companies!K304</f>
        <v>Anime</v>
      </c>
      <c r="K274" t="str">
        <f>Companies!L304</f>
        <v>N/A</v>
      </c>
      <c r="L274">
        <f>Companies!M304</f>
        <v>0</v>
      </c>
      <c r="M274" t="str">
        <f>Companies!N304</f>
        <v>N/A</v>
      </c>
      <c r="N274" t="str">
        <f>Companies!O304</f>
        <v>N/A</v>
      </c>
      <c r="O274" t="str">
        <f>Companies!P304</f>
        <v>N/A</v>
      </c>
      <c r="P274" t="str">
        <f>Companies!Q304</f>
        <v>N/A</v>
      </c>
    </row>
    <row r="275" spans="2:16">
      <c r="B275" t="str">
        <f>Companies!B305</f>
        <v>ElevateAI</v>
      </c>
      <c r="C275" t="str">
        <f>Companies!C305</f>
        <v>Private</v>
      </c>
      <c r="D275" t="str">
        <f>Companies!D305</f>
        <v>N/A</v>
      </c>
      <c r="E275" t="str">
        <f>Companies!E305</f>
        <v>N/A</v>
      </c>
      <c r="F275" t="str">
        <f>Companies!F305</f>
        <v>N/A</v>
      </c>
      <c r="G275" t="str">
        <f>Companies!H305</f>
        <v>Video Call EQ (autism)</v>
      </c>
      <c r="H275" t="str">
        <f>Companies!I305</f>
        <v>Ali Aziz, Amy Noll, Catherine Davis, Chandra De Keyser, Yury Shubin</v>
      </c>
      <c r="I275" t="str">
        <f>Companies!J305</f>
        <v>Enterprise</v>
      </c>
      <c r="J275" t="str">
        <f>Companies!K305</f>
        <v>Autism</v>
      </c>
      <c r="K275">
        <f>Companies!L305</f>
        <v>2022</v>
      </c>
      <c r="L275">
        <f>Companies!M305</f>
        <v>0</v>
      </c>
      <c r="M275" t="str">
        <f>Companies!N305</f>
        <v>N/A</v>
      </c>
      <c r="N275" t="str">
        <f>Companies!O305</f>
        <v>N/A</v>
      </c>
      <c r="O275" t="str">
        <f>Companies!P305</f>
        <v>N/A</v>
      </c>
      <c r="P275" t="str">
        <f>Companies!Q305</f>
        <v>N/A</v>
      </c>
    </row>
    <row r="276" spans="2:16">
      <c r="B276" t="str">
        <f>Companies!B306</f>
        <v>Coachvox AI</v>
      </c>
      <c r="C276" t="str">
        <f>Companies!C306</f>
        <v>Private</v>
      </c>
      <c r="D276" t="str">
        <f>Companies!D306</f>
        <v>N/A</v>
      </c>
      <c r="E276" t="str">
        <f>Companies!E306</f>
        <v>N/A</v>
      </c>
      <c r="F276" t="str">
        <f>Companies!F306</f>
        <v>N/A</v>
      </c>
      <c r="G276" t="str">
        <f>Companies!H306</f>
        <v>Voice cloning? Coaching</v>
      </c>
      <c r="H276">
        <f>Companies!I306</f>
        <v>0</v>
      </c>
      <c r="I276" t="str">
        <f>Companies!J306</f>
        <v>Consumer</v>
      </c>
      <c r="J276" t="str">
        <f>Companies!K306</f>
        <v>Voice</v>
      </c>
      <c r="K276">
        <f>Companies!L306</f>
        <v>2021</v>
      </c>
      <c r="L276">
        <f>Companies!M306</f>
        <v>0</v>
      </c>
      <c r="M276" t="str">
        <f>Companies!N306</f>
        <v>N/A</v>
      </c>
      <c r="N276" t="str">
        <f>Companies!O306</f>
        <v>N/A</v>
      </c>
      <c r="O276" t="str">
        <f>Companies!P306</f>
        <v>N/A</v>
      </c>
      <c r="P276" t="str">
        <f>Companies!Q306</f>
        <v>N/A</v>
      </c>
    </row>
    <row r="277" spans="2:16">
      <c r="B277" t="str">
        <f>Companies!B307</f>
        <v>Sidney.ai</v>
      </c>
      <c r="C277" t="str">
        <f>Companies!C307</f>
        <v>Private</v>
      </c>
      <c r="D277" t="str">
        <f>Companies!D307</f>
        <v>N/A</v>
      </c>
      <c r="E277" t="str">
        <f>Companies!E307</f>
        <v>N/A</v>
      </c>
      <c r="F277" t="str">
        <f>Companies!F307</f>
        <v>N/A</v>
      </c>
      <c r="G277" t="str">
        <f>Companies!H307</f>
        <v>Document</v>
      </c>
      <c r="H277" t="str">
        <f>Companies!I307</f>
        <v>N/A</v>
      </c>
      <c r="I277" t="str">
        <f>Companies!J307</f>
        <v>Enterprise</v>
      </c>
      <c r="J277" t="str">
        <f>Companies!K307</f>
        <v>Document</v>
      </c>
      <c r="K277" t="str">
        <f>Companies!L307</f>
        <v>N/A</v>
      </c>
      <c r="L277">
        <f>Companies!M307</f>
        <v>0</v>
      </c>
      <c r="M277" t="str">
        <f>Companies!N307</f>
        <v>N/A</v>
      </c>
      <c r="N277" t="str">
        <f>Companies!O307</f>
        <v>N/A</v>
      </c>
      <c r="O277" t="str">
        <f>Companies!P307</f>
        <v>N/A</v>
      </c>
      <c r="P277" t="str">
        <f>Companies!Q307</f>
        <v>N/A</v>
      </c>
    </row>
    <row r="278" spans="2:16">
      <c r="B278" t="str">
        <f>Companies!B308</f>
        <v>Hemison.ai</v>
      </c>
      <c r="C278" t="str">
        <f>Companies!C308</f>
        <v>Private</v>
      </c>
      <c r="D278" t="str">
        <f>Companies!D308</f>
        <v>N/A</v>
      </c>
      <c r="E278" t="str">
        <f>Companies!E308</f>
        <v>N/A</v>
      </c>
      <c r="F278" t="str">
        <f>Companies!F308</f>
        <v>N/A</v>
      </c>
      <c r="G278" t="str">
        <f>Companies!H308</f>
        <v>Text-to-Video</v>
      </c>
      <c r="H278">
        <f>Companies!I308</f>
        <v>0</v>
      </c>
      <c r="I278" t="str">
        <f>Companies!J308</f>
        <v>Enterprise</v>
      </c>
      <c r="J278" t="str">
        <f>Companies!K308</f>
        <v>Text-to-Video</v>
      </c>
      <c r="K278">
        <f>Companies!L308</f>
        <v>2020</v>
      </c>
      <c r="L278" t="str">
        <f>Companies!M308</f>
        <v>May be defunct</v>
      </c>
      <c r="M278" t="str">
        <f>Companies!N308</f>
        <v>N/A</v>
      </c>
      <c r="N278" t="str">
        <f>Companies!O308</f>
        <v>N/A</v>
      </c>
      <c r="O278" t="str">
        <f>Companies!P308</f>
        <v>N/A</v>
      </c>
      <c r="P278" t="str">
        <f>Companies!Q308</f>
        <v>N/A</v>
      </c>
    </row>
    <row r="279" spans="2:16">
      <c r="B279" t="str">
        <f>Companies!B309</f>
        <v>sudowrite</v>
      </c>
      <c r="C279" t="str">
        <f>Companies!C309</f>
        <v>Private</v>
      </c>
      <c r="D279" t="str">
        <f>Companies!D309</f>
        <v>N/A</v>
      </c>
      <c r="E279" t="str">
        <f>Companies!E309</f>
        <v>Seed</v>
      </c>
      <c r="F279" t="str">
        <f>Companies!F309</f>
        <v>N/A</v>
      </c>
      <c r="G279">
        <f>Companies!H309</f>
        <v>0</v>
      </c>
      <c r="H279" t="str">
        <f>Companies!I309</f>
        <v>Amit Gupta</v>
      </c>
      <c r="I279" t="str">
        <f>Companies!J309</f>
        <v>Enterprise</v>
      </c>
      <c r="J279" t="str">
        <f>Companies!K309</f>
        <v>Copy</v>
      </c>
      <c r="K279" t="str">
        <f>Companies!L309</f>
        <v>N/A</v>
      </c>
      <c r="L279">
        <f>Companies!M309</f>
        <v>0</v>
      </c>
      <c r="M279" t="str">
        <f>Companies!N309</f>
        <v>500 Global</v>
      </c>
      <c r="N279" t="str">
        <f>Companies!O309</f>
        <v>N/A</v>
      </c>
      <c r="O279" t="str">
        <f>Companies!P309</f>
        <v>N/A</v>
      </c>
      <c r="P279" t="str">
        <f>Companies!Q309</f>
        <v>N/A</v>
      </c>
    </row>
    <row r="280" spans="2:16">
      <c r="B280" t="str">
        <f>Companies!B310</f>
        <v>Grit</v>
      </c>
      <c r="C280" t="str">
        <f>Companies!C310</f>
        <v>Private</v>
      </c>
      <c r="D280" t="str">
        <f>Companies!D310</f>
        <v>N/A</v>
      </c>
      <c r="E280" t="str">
        <f>Companies!E310</f>
        <v>N/A</v>
      </c>
      <c r="F280" t="str">
        <f>Companies!F310</f>
        <v>N/A</v>
      </c>
      <c r="G280" t="str">
        <f>Companies!H310</f>
        <v>Code refactoring</v>
      </c>
      <c r="H280" t="str">
        <f>Companies!I310</f>
        <v>Cosmin Radoi, Morgante Pell</v>
      </c>
      <c r="I280" t="str">
        <f>Companies!J310</f>
        <v>Enterprise</v>
      </c>
      <c r="J280" t="str">
        <f>Companies!K310</f>
        <v>Programming</v>
      </c>
      <c r="K280">
        <f>Companies!L310</f>
        <v>2022</v>
      </c>
      <c r="L280">
        <f>Companies!M310</f>
        <v>0</v>
      </c>
      <c r="M280" t="str">
        <f>Companies!N310</f>
        <v>N/A</v>
      </c>
      <c r="N280" t="str">
        <f>Companies!O310</f>
        <v>N/A</v>
      </c>
      <c r="O280" t="str">
        <f>Companies!P310</f>
        <v>N/A</v>
      </c>
      <c r="P280" t="str">
        <f>Companies!Q310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71"/>
  <sheetViews>
    <sheetView showFormulas="1" zoomScale="110" zoomScaleNormal="110" workbookViewId="0">
      <selection activeCell="C37" sqref="C37"/>
    </sheetView>
  </sheetViews>
  <sheetFormatPr baseColWidth="10" defaultColWidth="8.83203125" defaultRowHeight="13"/>
  <cols>
    <col min="1" max="1" width="2.5" style="55" customWidth="1"/>
    <col min="2" max="2" width="13.5" style="55" customWidth="1"/>
    <col min="3" max="3" width="28.83203125" style="55" customWidth="1"/>
    <col min="4" max="4" width="18.5" style="55" customWidth="1"/>
    <col min="5" max="14" width="2" style="55" customWidth="1"/>
    <col min="15" max="15" width="8.33203125" style="55" bestFit="1" customWidth="1"/>
    <col min="16" max="16" width="27.83203125" style="55" customWidth="1"/>
    <col min="17" max="16384" width="8.83203125" style="55"/>
  </cols>
  <sheetData>
    <row r="1" spans="1:3" ht="15">
      <c r="A1" s="64" t="s">
        <v>1203</v>
      </c>
    </row>
    <row r="2" spans="1:3" ht="14">
      <c r="A2" s="33"/>
      <c r="B2" s="55" t="s">
        <v>4426</v>
      </c>
    </row>
    <row r="3" spans="1:3" ht="14">
      <c r="A3" s="33"/>
      <c r="B3" s="55" t="s">
        <v>4615</v>
      </c>
    </row>
    <row r="4" spans="1:3" ht="14">
      <c r="A4" s="33"/>
      <c r="B4" s="55" t="s">
        <v>4611</v>
      </c>
    </row>
    <row r="5" spans="1:3" ht="14">
      <c r="A5" s="33"/>
      <c r="B5" s="55" t="s">
        <v>4453</v>
      </c>
      <c r="C5" s="55" t="s">
        <v>4454</v>
      </c>
    </row>
    <row r="6" spans="1:3">
      <c r="B6" s="55" t="s">
        <v>4298</v>
      </c>
      <c r="C6" s="55" t="s">
        <v>4297</v>
      </c>
    </row>
    <row r="7" spans="1:3">
      <c r="B7" s="55" t="s">
        <v>4296</v>
      </c>
      <c r="C7" s="55" t="s">
        <v>4295</v>
      </c>
    </row>
    <row r="8" spans="1:3">
      <c r="B8" s="55" t="s">
        <v>4630</v>
      </c>
      <c r="C8" s="55" t="s">
        <v>4653</v>
      </c>
    </row>
    <row r="9" spans="1:3">
      <c r="B9" s="55" t="s">
        <v>4292</v>
      </c>
      <c r="C9" s="55" t="s">
        <v>4291</v>
      </c>
    </row>
    <row r="10" spans="1:3">
      <c r="B10" s="55" t="s">
        <v>4288</v>
      </c>
      <c r="C10" s="55" t="s">
        <v>4287</v>
      </c>
    </row>
    <row r="11" spans="1:3">
      <c r="B11" s="55" t="s">
        <v>4284</v>
      </c>
      <c r="C11" s="55" t="s">
        <v>4283</v>
      </c>
    </row>
    <row r="12" spans="1:3">
      <c r="B12" s="55" t="s">
        <v>4609</v>
      </c>
    </row>
    <row r="13" spans="1:3">
      <c r="B13" s="55" t="s">
        <v>4280</v>
      </c>
      <c r="C13" s="55" t="s">
        <v>4279</v>
      </c>
    </row>
    <row r="14" spans="1:3">
      <c r="B14" s="55" t="s">
        <v>4277</v>
      </c>
    </row>
    <row r="15" spans="1:3">
      <c r="B15" s="55" t="s">
        <v>4274</v>
      </c>
      <c r="C15" s="55" t="s">
        <v>4273</v>
      </c>
    </row>
    <row r="16" spans="1:3">
      <c r="B16" s="55" t="s">
        <v>4422</v>
      </c>
    </row>
    <row r="17" spans="2:3">
      <c r="B17" s="55" t="s">
        <v>4270</v>
      </c>
      <c r="C17" s="55" t="s">
        <v>4269</v>
      </c>
    </row>
    <row r="18" spans="2:3">
      <c r="B18" s="55" t="s">
        <v>4451</v>
      </c>
      <c r="C18" s="55" t="s">
        <v>4452</v>
      </c>
    </row>
    <row r="19" spans="2:3">
      <c r="B19" s="55" t="s">
        <v>4266</v>
      </c>
      <c r="C19" s="55" t="s">
        <v>4109</v>
      </c>
    </row>
    <row r="20" spans="2:3">
      <c r="B20" s="55" t="s">
        <v>4263</v>
      </c>
      <c r="C20" s="55" t="s">
        <v>4109</v>
      </c>
    </row>
    <row r="21" spans="2:3">
      <c r="B21" s="55" t="s">
        <v>4259</v>
      </c>
      <c r="C21" s="55" t="s">
        <v>4258</v>
      </c>
    </row>
    <row r="22" spans="2:3">
      <c r="B22" s="55" t="s">
        <v>4255</v>
      </c>
      <c r="C22" s="55" t="s">
        <v>4254</v>
      </c>
    </row>
    <row r="23" spans="2:3">
      <c r="B23" s="55" t="s">
        <v>4252</v>
      </c>
    </row>
    <row r="24" spans="2:3">
      <c r="B24" s="55" t="s">
        <v>4249</v>
      </c>
      <c r="C24" s="55" t="s">
        <v>4248</v>
      </c>
    </row>
    <row r="25" spans="2:3">
      <c r="B25" s="55" t="s">
        <v>4603</v>
      </c>
    </row>
    <row r="26" spans="2:3">
      <c r="B26" s="55" t="s">
        <v>4245</v>
      </c>
      <c r="C26" s="55" t="s">
        <v>4244</v>
      </c>
    </row>
    <row r="27" spans="2:3">
      <c r="B27" s="55" t="s">
        <v>4243</v>
      </c>
      <c r="C27" s="55" t="s">
        <v>4242</v>
      </c>
    </row>
    <row r="28" spans="2:3">
      <c r="B28" s="55" t="s">
        <v>4240</v>
      </c>
    </row>
    <row r="29" spans="2:3">
      <c r="B29" s="55" t="s">
        <v>4641</v>
      </c>
      <c r="C29" s="55" t="s">
        <v>4642</v>
      </c>
    </row>
    <row r="30" spans="2:3">
      <c r="B30" s="55" t="s">
        <v>4237</v>
      </c>
      <c r="C30" s="55" t="s">
        <v>4236</v>
      </c>
    </row>
    <row r="31" spans="2:3">
      <c r="B31" s="55" t="s">
        <v>4632</v>
      </c>
    </row>
    <row r="32" spans="2:3">
      <c r="B32" s="55" t="s">
        <v>4421</v>
      </c>
    </row>
    <row r="33" spans="2:3">
      <c r="B33" s="55" t="s">
        <v>4233</v>
      </c>
      <c r="C33" s="55" t="s">
        <v>4652</v>
      </c>
    </row>
    <row r="34" spans="2:3">
      <c r="B34" s="55" t="s">
        <v>4637</v>
      </c>
      <c r="C34" s="55" t="s">
        <v>4638</v>
      </c>
    </row>
    <row r="35" spans="2:3">
      <c r="B35" s="55" t="s">
        <v>4230</v>
      </c>
      <c r="C35" s="55" t="s">
        <v>4229</v>
      </c>
    </row>
    <row r="36" spans="2:3">
      <c r="B36" s="55" t="s">
        <v>4655</v>
      </c>
      <c r="C36" s="55" t="s">
        <v>4656</v>
      </c>
    </row>
    <row r="37" spans="2:3">
      <c r="B37" s="55" t="s">
        <v>4226</v>
      </c>
    </row>
    <row r="38" spans="2:3">
      <c r="B38" s="55" t="s">
        <v>4224</v>
      </c>
      <c r="C38" s="55" t="s">
        <v>4223</v>
      </c>
    </row>
    <row r="39" spans="2:3">
      <c r="B39" s="55" t="s">
        <v>4435</v>
      </c>
    </row>
    <row r="40" spans="2:3">
      <c r="B40" s="55" t="s">
        <v>1288</v>
      </c>
      <c r="C40" s="55" t="s">
        <v>4439</v>
      </c>
    </row>
    <row r="41" spans="2:3">
      <c r="B41" s="55" t="s">
        <v>4610</v>
      </c>
    </row>
    <row r="42" spans="2:3">
      <c r="B42" s="55" t="s">
        <v>4622</v>
      </c>
    </row>
    <row r="43" spans="2:3">
      <c r="B43" s="55" t="s">
        <v>4219</v>
      </c>
      <c r="C43" s="55" t="s">
        <v>4218</v>
      </c>
    </row>
    <row r="44" spans="2:3">
      <c r="B44" s="55" t="s">
        <v>4215</v>
      </c>
      <c r="C44" s="55" t="s">
        <v>4651</v>
      </c>
    </row>
    <row r="45" spans="2:3">
      <c r="B45" s="55" t="s">
        <v>4608</v>
      </c>
    </row>
    <row r="46" spans="2:3">
      <c r="B46" s="55" t="s">
        <v>4212</v>
      </c>
      <c r="C46" s="55" t="s">
        <v>4211</v>
      </c>
    </row>
    <row r="47" spans="2:3">
      <c r="B47" s="55" t="s">
        <v>4648</v>
      </c>
      <c r="C47" s="55" t="s">
        <v>4649</v>
      </c>
    </row>
    <row r="48" spans="2:3">
      <c r="B48" s="55" t="s">
        <v>4210</v>
      </c>
    </row>
    <row r="49" spans="2:3">
      <c r="B49" s="55" t="s">
        <v>4209</v>
      </c>
    </row>
    <row r="50" spans="2:3">
      <c r="B50" s="55" t="s">
        <v>4634</v>
      </c>
    </row>
    <row r="51" spans="2:3">
      <c r="B51" s="55" t="s">
        <v>4208</v>
      </c>
    </row>
    <row r="52" spans="2:3">
      <c r="B52" s="55" t="s">
        <v>4207</v>
      </c>
      <c r="C52" s="55" t="s">
        <v>4206</v>
      </c>
    </row>
    <row r="53" spans="2:3">
      <c r="B53" s="55" t="s">
        <v>4441</v>
      </c>
      <c r="C53" s="55" t="s">
        <v>4442</v>
      </c>
    </row>
    <row r="54" spans="2:3">
      <c r="B54" s="55" t="s">
        <v>4205</v>
      </c>
      <c r="C54" s="55" t="s">
        <v>4204</v>
      </c>
    </row>
    <row r="55" spans="2:3">
      <c r="B55" s="55" t="s">
        <v>4203</v>
      </c>
      <c r="C55" s="55" t="s">
        <v>4202</v>
      </c>
    </row>
    <row r="56" spans="2:3">
      <c r="B56" s="55" t="s">
        <v>4201</v>
      </c>
    </row>
    <row r="57" spans="2:3">
      <c r="B57" s="55" t="s">
        <v>4200</v>
      </c>
      <c r="C57" s="55" t="s">
        <v>4199</v>
      </c>
    </row>
    <row r="58" spans="2:3">
      <c r="B58" s="55" t="s">
        <v>4198</v>
      </c>
      <c r="C58" s="55" t="s">
        <v>4197</v>
      </c>
    </row>
    <row r="59" spans="2:3">
      <c r="B59" s="55" t="s">
        <v>4196</v>
      </c>
      <c r="C59" s="55" t="s">
        <v>4195</v>
      </c>
    </row>
    <row r="60" spans="2:3">
      <c r="B60" s="55" t="s">
        <v>4194</v>
      </c>
    </row>
    <row r="61" spans="2:3">
      <c r="B61" s="55" t="s">
        <v>4193</v>
      </c>
      <c r="C61" s="55" t="s">
        <v>4192</v>
      </c>
    </row>
    <row r="62" spans="2:3">
      <c r="B62" s="55" t="s">
        <v>4191</v>
      </c>
      <c r="C62" s="55" t="s">
        <v>4190</v>
      </c>
    </row>
    <row r="63" spans="2:3">
      <c r="B63" s="55" t="s">
        <v>4633</v>
      </c>
    </row>
    <row r="64" spans="2:3">
      <c r="B64" s="55" t="s">
        <v>940</v>
      </c>
      <c r="C64" s="55" t="s">
        <v>4627</v>
      </c>
    </row>
    <row r="65" spans="2:3">
      <c r="B65" s="55" t="s">
        <v>4626</v>
      </c>
    </row>
    <row r="66" spans="2:3">
      <c r="B66" s="55" t="s">
        <v>4430</v>
      </c>
      <c r="C66" s="55" t="s">
        <v>4431</v>
      </c>
    </row>
    <row r="67" spans="2:3">
      <c r="B67" s="55" t="s">
        <v>4639</v>
      </c>
      <c r="C67" s="55" t="s">
        <v>4640</v>
      </c>
    </row>
    <row r="68" spans="2:3">
      <c r="B68" s="55" t="s">
        <v>4420</v>
      </c>
    </row>
    <row r="69" spans="2:3">
      <c r="B69" s="55" t="s">
        <v>4189</v>
      </c>
      <c r="C69" s="55" t="s">
        <v>4188</v>
      </c>
    </row>
    <row r="70" spans="2:3">
      <c r="B70" s="55" t="s">
        <v>4187</v>
      </c>
    </row>
    <row r="71" spans="2:3">
      <c r="B71" s="55" t="s">
        <v>4186</v>
      </c>
      <c r="C71" s="55" t="s">
        <v>4185</v>
      </c>
    </row>
    <row r="72" spans="2:3">
      <c r="B72" s="55" t="s">
        <v>4623</v>
      </c>
    </row>
    <row r="73" spans="2:3">
      <c r="B73" s="55" t="s">
        <v>4616</v>
      </c>
    </row>
    <row r="74" spans="2:3">
      <c r="B74" s="55" t="s">
        <v>4184</v>
      </c>
      <c r="C74" s="55" t="s">
        <v>4183</v>
      </c>
    </row>
    <row r="75" spans="2:3">
      <c r="B75" s="55" t="s">
        <v>4182</v>
      </c>
      <c r="C75" s="55" t="s">
        <v>4181</v>
      </c>
    </row>
    <row r="76" spans="2:3">
      <c r="B76" s="55" t="s">
        <v>4180</v>
      </c>
      <c r="C76" s="55" t="s">
        <v>4179</v>
      </c>
    </row>
    <row r="77" spans="2:3">
      <c r="B77" s="55" t="s">
        <v>4178</v>
      </c>
      <c r="C77" s="55" t="s">
        <v>4645</v>
      </c>
    </row>
    <row r="78" spans="2:3">
      <c r="B78" s="55" t="s">
        <v>4177</v>
      </c>
    </row>
    <row r="79" spans="2:3">
      <c r="B79" s="55" t="s">
        <v>4176</v>
      </c>
      <c r="C79" s="55" t="s">
        <v>4624</v>
      </c>
    </row>
    <row r="80" spans="2:3">
      <c r="B80" s="55" t="s">
        <v>4175</v>
      </c>
      <c r="C80" s="55" t="s">
        <v>4174</v>
      </c>
    </row>
    <row r="81" spans="2:3">
      <c r="B81" s="55" t="s">
        <v>4643</v>
      </c>
      <c r="C81" s="55" t="s">
        <v>4644</v>
      </c>
    </row>
    <row r="82" spans="2:3">
      <c r="B82" s="55" t="s">
        <v>4436</v>
      </c>
      <c r="C82" s="55" t="s">
        <v>4437</v>
      </c>
    </row>
    <row r="83" spans="2:3">
      <c r="B83" s="55" t="s">
        <v>4614</v>
      </c>
    </row>
    <row r="84" spans="2:3">
      <c r="B84" s="55" t="s">
        <v>4173</v>
      </c>
      <c r="C84" s="55" t="s">
        <v>4172</v>
      </c>
    </row>
    <row r="85" spans="2:3">
      <c r="B85" s="55" t="s">
        <v>4171</v>
      </c>
      <c r="C85" s="55" t="s">
        <v>4170</v>
      </c>
    </row>
    <row r="86" spans="2:3">
      <c r="B86" s="55" t="s">
        <v>4169</v>
      </c>
      <c r="C86" s="55" t="s">
        <v>4168</v>
      </c>
    </row>
    <row r="87" spans="2:3">
      <c r="B87" s="55" t="s">
        <v>4443</v>
      </c>
      <c r="C87" s="55" t="s">
        <v>4444</v>
      </c>
    </row>
    <row r="88" spans="2:3">
      <c r="B88" s="55" t="s">
        <v>4167</v>
      </c>
      <c r="C88" s="55" t="s">
        <v>4438</v>
      </c>
    </row>
    <row r="89" spans="2:3">
      <c r="B89" s="55" t="s">
        <v>4166</v>
      </c>
      <c r="C89" s="55" t="s">
        <v>4161</v>
      </c>
    </row>
    <row r="90" spans="2:3">
      <c r="B90" s="55" t="s">
        <v>4428</v>
      </c>
      <c r="C90" s="55" t="s">
        <v>4429</v>
      </c>
    </row>
    <row r="91" spans="2:3">
      <c r="B91" s="55" t="s">
        <v>4606</v>
      </c>
    </row>
    <row r="92" spans="2:3">
      <c r="B92" s="55" t="s">
        <v>4165</v>
      </c>
      <c r="C92" s="55" t="s">
        <v>4164</v>
      </c>
    </row>
    <row r="93" spans="2:3">
      <c r="B93" s="55" t="s">
        <v>4163</v>
      </c>
      <c r="C93" s="55" t="s">
        <v>4109</v>
      </c>
    </row>
    <row r="94" spans="2:3">
      <c r="B94" s="55" t="s">
        <v>4646</v>
      </c>
      <c r="C94" s="55" t="s">
        <v>4647</v>
      </c>
    </row>
    <row r="95" spans="2:3">
      <c r="B95" s="55" t="s">
        <v>4162</v>
      </c>
      <c r="C95" s="55" t="s">
        <v>4161</v>
      </c>
    </row>
    <row r="96" spans="2:3">
      <c r="B96" s="55" t="s">
        <v>4160</v>
      </c>
      <c r="C96" s="55" t="s">
        <v>4159</v>
      </c>
    </row>
    <row r="97" spans="2:3">
      <c r="B97" s="55" t="s">
        <v>4425</v>
      </c>
    </row>
    <row r="98" spans="2:3">
      <c r="B98" s="55" t="s">
        <v>4424</v>
      </c>
    </row>
    <row r="99" spans="2:3">
      <c r="B99" s="55" t="s">
        <v>4158</v>
      </c>
    </row>
    <row r="100" spans="2:3">
      <c r="B100" s="55" t="s">
        <v>4157</v>
      </c>
    </row>
    <row r="101" spans="2:3">
      <c r="B101" s="55" t="s">
        <v>4156</v>
      </c>
      <c r="C101" s="55" t="s">
        <v>4155</v>
      </c>
    </row>
    <row r="102" spans="2:3">
      <c r="B102" s="55" t="s">
        <v>4604</v>
      </c>
    </row>
    <row r="103" spans="2:3">
      <c r="B103" s="55" t="s">
        <v>4600</v>
      </c>
    </row>
    <row r="104" spans="2:3">
      <c r="B104" s="55" t="s">
        <v>4423</v>
      </c>
    </row>
    <row r="105" spans="2:3">
      <c r="B105" s="55" t="s">
        <v>4449</v>
      </c>
      <c r="C105" s="55" t="s">
        <v>4450</v>
      </c>
    </row>
    <row r="106" spans="2:3">
      <c r="B106" s="55" t="s">
        <v>4602</v>
      </c>
    </row>
    <row r="107" spans="2:3">
      <c r="B107" s="55" t="s">
        <v>4418</v>
      </c>
      <c r="C107" s="55" t="s">
        <v>4419</v>
      </c>
    </row>
    <row r="108" spans="2:3">
      <c r="B108" s="55" t="s">
        <v>4636</v>
      </c>
    </row>
    <row r="109" spans="2:3">
      <c r="B109" s="55" t="s">
        <v>4599</v>
      </c>
    </row>
    <row r="110" spans="2:3">
      <c r="B110" s="55" t="s">
        <v>4154</v>
      </c>
      <c r="C110" s="55" t="s">
        <v>4153</v>
      </c>
    </row>
    <row r="111" spans="2:3">
      <c r="B111" s="55" t="s">
        <v>4601</v>
      </c>
    </row>
    <row r="112" spans="2:3">
      <c r="B112" s="55" t="s">
        <v>4617</v>
      </c>
    </row>
    <row r="113" spans="2:3">
      <c r="B113" s="55" t="s">
        <v>4152</v>
      </c>
      <c r="C113" s="55" t="s">
        <v>4151</v>
      </c>
    </row>
    <row r="114" spans="2:3">
      <c r="B114" s="55" t="s">
        <v>4628</v>
      </c>
      <c r="C114" s="55" t="s">
        <v>4629</v>
      </c>
    </row>
    <row r="115" spans="2:3">
      <c r="B115" s="55" t="s">
        <v>4618</v>
      </c>
    </row>
    <row r="116" spans="2:3">
      <c r="B116" s="55" t="s">
        <v>4631</v>
      </c>
    </row>
    <row r="117" spans="2:3">
      <c r="B117" s="55" t="s">
        <v>4150</v>
      </c>
      <c r="C117" s="55" t="s">
        <v>4625</v>
      </c>
    </row>
    <row r="118" spans="2:3">
      <c r="B118" s="55" t="s">
        <v>4621</v>
      </c>
    </row>
    <row r="119" spans="2:3">
      <c r="B119" s="55" t="s">
        <v>4597</v>
      </c>
      <c r="C119" s="55" t="s">
        <v>4598</v>
      </c>
    </row>
    <row r="120" spans="2:3">
      <c r="B120" s="55" t="s">
        <v>4650</v>
      </c>
      <c r="C120" s="55" t="s">
        <v>4654</v>
      </c>
    </row>
    <row r="121" spans="2:3">
      <c r="B121" s="55" t="s">
        <v>4149</v>
      </c>
      <c r="C121" s="55" t="s">
        <v>4148</v>
      </c>
    </row>
    <row r="122" spans="2:3">
      <c r="B122" s="55" t="s">
        <v>4147</v>
      </c>
    </row>
    <row r="123" spans="2:3">
      <c r="B123" s="55" t="s">
        <v>4146</v>
      </c>
    </row>
    <row r="124" spans="2:3">
      <c r="B124" s="55" t="s">
        <v>4145</v>
      </c>
      <c r="C124" s="55" t="s">
        <v>4109</v>
      </c>
    </row>
    <row r="125" spans="2:3">
      <c r="B125" s="55" t="s">
        <v>4144</v>
      </c>
      <c r="C125" s="55" t="s">
        <v>4143</v>
      </c>
    </row>
    <row r="126" spans="2:3">
      <c r="B126" s="55" t="s">
        <v>4142</v>
      </c>
    </row>
    <row r="127" spans="2:3">
      <c r="B127" s="55" t="s">
        <v>4605</v>
      </c>
    </row>
    <row r="128" spans="2:3">
      <c r="B128" s="55" t="s">
        <v>4141</v>
      </c>
      <c r="C128" s="55" t="s">
        <v>4140</v>
      </c>
    </row>
    <row r="129" spans="2:3">
      <c r="B129" s="55" t="s">
        <v>4139</v>
      </c>
      <c r="C129" s="55" t="s">
        <v>4138</v>
      </c>
    </row>
    <row r="130" spans="2:3">
      <c r="B130" s="55" t="s">
        <v>4619</v>
      </c>
      <c r="C130" s="55" t="s">
        <v>4620</v>
      </c>
    </row>
    <row r="131" spans="2:3">
      <c r="B131" s="55" t="s">
        <v>4137</v>
      </c>
      <c r="C131" s="55" t="s">
        <v>4136</v>
      </c>
    </row>
    <row r="132" spans="2:3">
      <c r="B132" s="55" t="s">
        <v>4607</v>
      </c>
    </row>
    <row r="133" spans="2:3">
      <c r="B133" s="63" t="s">
        <v>4135</v>
      </c>
      <c r="C133" s="63" t="s">
        <v>4434</v>
      </c>
    </row>
    <row r="134" spans="2:3">
      <c r="B134" s="55" t="s">
        <v>4134</v>
      </c>
      <c r="C134" s="63"/>
    </row>
    <row r="135" spans="2:3">
      <c r="B135" s="55" t="s">
        <v>4133</v>
      </c>
    </row>
    <row r="136" spans="2:3">
      <c r="B136" s="55" t="s">
        <v>4132</v>
      </c>
      <c r="C136" s="55" t="s">
        <v>4131</v>
      </c>
    </row>
    <row r="137" spans="2:3">
      <c r="B137" s="55" t="s">
        <v>4130</v>
      </c>
      <c r="C137" s="55" t="s">
        <v>4129</v>
      </c>
    </row>
    <row r="138" spans="2:3">
      <c r="B138" s="55" t="s">
        <v>4128</v>
      </c>
    </row>
    <row r="139" spans="2:3">
      <c r="B139" s="55" t="s">
        <v>4127</v>
      </c>
      <c r="C139" s="55" t="s">
        <v>4126</v>
      </c>
    </row>
    <row r="140" spans="2:3">
      <c r="B140" s="55" t="s">
        <v>4432</v>
      </c>
      <c r="C140" s="55" t="s">
        <v>4433</v>
      </c>
    </row>
    <row r="141" spans="2:3">
      <c r="B141" s="55" t="s">
        <v>4125</v>
      </c>
      <c r="C141" s="55" t="s">
        <v>4124</v>
      </c>
    </row>
    <row r="142" spans="2:3">
      <c r="B142" s="55" t="s">
        <v>4123</v>
      </c>
      <c r="C142" s="55" t="s">
        <v>4122</v>
      </c>
    </row>
    <row r="143" spans="2:3">
      <c r="B143" s="55" t="s">
        <v>4635</v>
      </c>
    </row>
    <row r="144" spans="2:3">
      <c r="B144" s="55" t="s">
        <v>4612</v>
      </c>
    </row>
    <row r="145" spans="2:3">
      <c r="B145" s="55" t="s">
        <v>4613</v>
      </c>
    </row>
    <row r="146" spans="2:3">
      <c r="B146" s="55" t="s">
        <v>4427</v>
      </c>
    </row>
    <row r="147" spans="2:3">
      <c r="B147" s="55" t="s">
        <v>4121</v>
      </c>
      <c r="C147" s="55" t="s">
        <v>4120</v>
      </c>
    </row>
    <row r="148" spans="2:3">
      <c r="B148" s="55" t="s">
        <v>4119</v>
      </c>
    </row>
    <row r="149" spans="2:3">
      <c r="B149" s="55" t="s">
        <v>4118</v>
      </c>
      <c r="C149" s="55" t="s">
        <v>4117</v>
      </c>
    </row>
    <row r="150" spans="2:3">
      <c r="B150" s="55" t="s">
        <v>4116</v>
      </c>
      <c r="C150" s="55" t="s">
        <v>4115</v>
      </c>
    </row>
    <row r="151" spans="2:3">
      <c r="B151" s="55" t="s">
        <v>4114</v>
      </c>
      <c r="C151" s="55" t="s">
        <v>4113</v>
      </c>
    </row>
    <row r="152" spans="2:3">
      <c r="B152" s="55" t="s">
        <v>4112</v>
      </c>
      <c r="C152" s="55" t="s">
        <v>4111</v>
      </c>
    </row>
    <row r="153" spans="2:3">
      <c r="B153" s="55" t="s">
        <v>4110</v>
      </c>
      <c r="C153" s="55" t="s">
        <v>4109</v>
      </c>
    </row>
    <row r="154" spans="2:3">
      <c r="B154" s="55" t="s">
        <v>4108</v>
      </c>
      <c r="C154" s="55" t="s">
        <v>4107</v>
      </c>
    </row>
    <row r="155" spans="2:3">
      <c r="B155" s="55" t="s">
        <v>4106</v>
      </c>
    </row>
    <row r="156" spans="2:3">
      <c r="B156" s="55" t="s">
        <v>4105</v>
      </c>
      <c r="C156" s="55" t="s">
        <v>4104</v>
      </c>
    </row>
    <row r="157" spans="2:3">
      <c r="B157" s="55" t="s">
        <v>4103</v>
      </c>
      <c r="C157" s="55" t="s">
        <v>4102</v>
      </c>
    </row>
    <row r="158" spans="2:3">
      <c r="B158" s="55" t="s">
        <v>4445</v>
      </c>
      <c r="C158" s="55" t="s">
        <v>4446</v>
      </c>
    </row>
    <row r="162" spans="2:26">
      <c r="B162" s="55" t="s">
        <v>4101</v>
      </c>
    </row>
    <row r="164" spans="2:26">
      <c r="C164" s="59"/>
      <c r="D164" s="58"/>
      <c r="F164" s="58"/>
      <c r="G164" s="57"/>
      <c r="O164" s="56"/>
      <c r="P164" s="56"/>
      <c r="Q164" s="56"/>
      <c r="R164" s="56"/>
      <c r="S164" s="56"/>
      <c r="T164" s="56"/>
      <c r="U164" s="56"/>
      <c r="V164" s="56"/>
      <c r="W164" s="56"/>
      <c r="X164" s="56"/>
      <c r="Y164" s="56"/>
      <c r="Z164" s="56"/>
    </row>
    <row r="165" spans="2:26">
      <c r="B165" s="62" t="s">
        <v>4100</v>
      </c>
      <c r="C165" s="59"/>
      <c r="D165" s="58"/>
      <c r="F165" s="58"/>
      <c r="G165" s="57"/>
      <c r="O165" s="56"/>
      <c r="P165" s="56"/>
      <c r="Q165" s="56"/>
      <c r="R165" s="56"/>
      <c r="S165" s="56"/>
      <c r="T165" s="56"/>
      <c r="U165" s="56"/>
      <c r="V165" s="56"/>
      <c r="W165" s="56"/>
      <c r="X165" s="56"/>
      <c r="Y165" s="56"/>
      <c r="Z165" s="56"/>
    </row>
    <row r="166" spans="2:26">
      <c r="B166" s="55" t="s">
        <v>4099</v>
      </c>
      <c r="C166" s="55" t="s">
        <v>4098</v>
      </c>
      <c r="D166" s="61" t="s">
        <v>4097</v>
      </c>
      <c r="F166" s="58"/>
      <c r="G166" s="57"/>
      <c r="O166" s="56"/>
      <c r="P166" s="56"/>
      <c r="Q166" s="56"/>
      <c r="R166" s="56"/>
      <c r="S166" s="56"/>
      <c r="T166" s="56"/>
      <c r="U166" s="56"/>
      <c r="V166" s="56"/>
      <c r="W166" s="56"/>
      <c r="X166" s="56"/>
      <c r="Y166" s="56"/>
      <c r="Z166" s="56"/>
    </row>
    <row r="167" spans="2:26">
      <c r="B167" s="55" t="s">
        <v>4096</v>
      </c>
      <c r="C167" s="59"/>
      <c r="D167" s="58"/>
      <c r="F167" s="58"/>
      <c r="G167" s="57"/>
      <c r="O167" s="56"/>
      <c r="P167" s="56"/>
      <c r="Q167" s="56"/>
      <c r="R167" s="56"/>
      <c r="S167" s="56"/>
      <c r="T167" s="56"/>
      <c r="U167" s="56"/>
      <c r="V167" s="56"/>
      <c r="W167" s="56"/>
      <c r="X167" s="56"/>
      <c r="Y167" s="56"/>
      <c r="Z167" s="56"/>
    </row>
    <row r="168" spans="2:26">
      <c r="B168" s="55" t="s">
        <v>4095</v>
      </c>
      <c r="C168" s="61" t="s">
        <v>4094</v>
      </c>
      <c r="D168" s="58"/>
      <c r="F168" s="58"/>
      <c r="G168" s="57"/>
      <c r="O168" s="56"/>
      <c r="P168" s="56"/>
      <c r="Q168" s="56"/>
      <c r="R168" s="56"/>
      <c r="S168" s="56"/>
      <c r="T168" s="56"/>
      <c r="U168" s="56"/>
      <c r="V168" s="56"/>
      <c r="W168" s="56"/>
      <c r="X168" s="56"/>
      <c r="Y168" s="56"/>
      <c r="Z168" s="56"/>
    </row>
    <row r="169" spans="2:26">
      <c r="B169" s="55" t="s">
        <v>4093</v>
      </c>
      <c r="C169" s="61" t="s">
        <v>4092</v>
      </c>
      <c r="D169" s="58"/>
      <c r="F169" s="58"/>
      <c r="G169" s="57"/>
      <c r="O169" s="56"/>
      <c r="P169" s="56"/>
      <c r="Q169" s="56"/>
      <c r="R169" s="56"/>
      <c r="S169" s="56"/>
      <c r="T169" s="56"/>
      <c r="U169" s="56"/>
      <c r="V169" s="56"/>
      <c r="W169" s="56"/>
      <c r="X169" s="56"/>
      <c r="Y169" s="56"/>
      <c r="Z169" s="56"/>
    </row>
    <row r="170" spans="2:26">
      <c r="B170" s="55" t="s">
        <v>4091</v>
      </c>
      <c r="C170" s="60" t="s">
        <v>4090</v>
      </c>
      <c r="D170" s="58"/>
      <c r="F170" s="58"/>
      <c r="G170" s="57"/>
      <c r="O170" s="56"/>
      <c r="P170" s="56"/>
      <c r="Q170" s="56"/>
      <c r="R170" s="56"/>
      <c r="S170" s="56"/>
      <c r="T170" s="56"/>
      <c r="U170" s="56"/>
      <c r="V170" s="56"/>
      <c r="W170" s="56"/>
      <c r="X170" s="56"/>
      <c r="Y170" s="56"/>
      <c r="Z170" s="56"/>
    </row>
    <row r="171" spans="2:26">
      <c r="C171" s="59"/>
      <c r="D171" s="58"/>
      <c r="F171" s="58"/>
      <c r="G171" s="57"/>
      <c r="O171" s="56"/>
      <c r="P171" s="56"/>
      <c r="Q171" s="56"/>
      <c r="R171" s="56"/>
      <c r="S171" s="56"/>
      <c r="T171" s="56"/>
      <c r="U171" s="56"/>
      <c r="V171" s="56"/>
      <c r="W171" s="56"/>
      <c r="X171" s="56"/>
      <c r="Y171" s="56"/>
      <c r="Z171" s="56"/>
    </row>
  </sheetData>
  <hyperlinks>
    <hyperlink ref="C168" r:id="rId1" xr:uid="{10858B8D-B9B6-E747-90C5-F7D1854E7AA1}"/>
    <hyperlink ref="D166" r:id="rId2" xr:uid="{8DDB9069-F31A-4B44-BEE7-10A7487A4BC2}"/>
    <hyperlink ref="C169" r:id="rId3" xr:uid="{D0E2D237-FDAD-9440-B97E-AF3649197E9B}"/>
    <hyperlink ref="C170"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B2:D123"/>
  <sheetViews>
    <sheetView zoomScaleNormal="100" workbookViewId="0">
      <selection activeCell="B18" sqref="B18"/>
    </sheetView>
  </sheetViews>
  <sheetFormatPr baseColWidth="10" defaultColWidth="8.83203125" defaultRowHeight="13"/>
  <cols>
    <col min="1" max="16384" width="8.83203125" style="55"/>
  </cols>
  <sheetData>
    <row r="2" spans="2:2">
      <c r="B2" s="55" t="s">
        <v>4410</v>
      </c>
    </row>
    <row r="3" spans="2:2">
      <c r="B3" s="55" t="s">
        <v>4409</v>
      </c>
    </row>
    <row r="6" spans="2:2">
      <c r="B6" s="55" t="s">
        <v>4408</v>
      </c>
    </row>
    <row r="7" spans="2:2">
      <c r="B7" s="55" t="s">
        <v>4407</v>
      </c>
    </row>
    <row r="8" spans="2:2">
      <c r="B8" s="55" t="s">
        <v>4406</v>
      </c>
    </row>
    <row r="9" spans="2:2">
      <c r="B9" s="55" t="s">
        <v>4405</v>
      </c>
    </row>
    <row r="10" spans="2:2">
      <c r="B10" s="55" t="s">
        <v>4404</v>
      </c>
    </row>
    <row r="11" spans="2:2">
      <c r="B11" s="55" t="s">
        <v>4403</v>
      </c>
    </row>
    <row r="12" spans="2:2">
      <c r="B12" s="55" t="s">
        <v>4402</v>
      </c>
    </row>
    <row r="13" spans="2:2">
      <c r="B13" s="55" t="s">
        <v>4401</v>
      </c>
    </row>
    <row r="14" spans="2:2">
      <c r="B14" s="55" t="s">
        <v>4400</v>
      </c>
    </row>
    <row r="15" spans="2:2">
      <c r="B15" s="55" t="s">
        <v>4399</v>
      </c>
    </row>
    <row r="23" spans="2:3">
      <c r="B23" s="55" t="s">
        <v>4398</v>
      </c>
    </row>
    <row r="24" spans="2:3">
      <c r="C24" s="55" t="s">
        <v>4397</v>
      </c>
    </row>
    <row r="25" spans="2:3">
      <c r="C25" s="55" t="s">
        <v>4396</v>
      </c>
    </row>
    <row r="26" spans="2:3">
      <c r="C26" s="55" t="s">
        <v>4395</v>
      </c>
    </row>
    <row r="27" spans="2:3">
      <c r="C27" s="55" t="s">
        <v>4394</v>
      </c>
    </row>
    <row r="28" spans="2:3">
      <c r="C28" s="55" t="s">
        <v>4393</v>
      </c>
    </row>
    <row r="29" spans="2:3">
      <c r="C29" s="55" t="s">
        <v>4392</v>
      </c>
    </row>
    <row r="30" spans="2:3">
      <c r="C30" s="55" t="s">
        <v>4391</v>
      </c>
    </row>
    <row r="31" spans="2:3">
      <c r="C31" s="55" t="s">
        <v>4390</v>
      </c>
    </row>
    <row r="32" spans="2:3">
      <c r="C32" s="55" t="s">
        <v>4389</v>
      </c>
    </row>
    <row r="34" spans="2:2">
      <c r="B34" s="62" t="s">
        <v>4388</v>
      </c>
    </row>
    <row r="35" spans="2:2">
      <c r="B35" s="55" t="s">
        <v>4387</v>
      </c>
    </row>
    <row r="36" spans="2:2">
      <c r="B36" s="55" t="s">
        <v>4386</v>
      </c>
    </row>
    <row r="37" spans="2:2">
      <c r="B37" s="55" t="s">
        <v>4385</v>
      </c>
    </row>
    <row r="38" spans="2:2">
      <c r="B38" s="55" t="s">
        <v>4384</v>
      </c>
    </row>
    <row r="39" spans="2:2">
      <c r="B39" s="55" t="s">
        <v>4383</v>
      </c>
    </row>
    <row r="40" spans="2:2">
      <c r="B40" s="55" t="s">
        <v>4382</v>
      </c>
    </row>
    <row r="41" spans="2:2">
      <c r="B41" s="55" t="s">
        <v>4381</v>
      </c>
    </row>
    <row r="42" spans="2:2">
      <c r="B42" s="55" t="s">
        <v>4380</v>
      </c>
    </row>
    <row r="43" spans="2:2">
      <c r="B43" s="55" t="s">
        <v>4379</v>
      </c>
    </row>
    <row r="44" spans="2:2">
      <c r="B44" s="55" t="s">
        <v>4378</v>
      </c>
    </row>
    <row r="48" spans="2:2">
      <c r="B48" s="63" t="s">
        <v>4377</v>
      </c>
    </row>
    <row r="49" spans="2:3">
      <c r="B49" s="63" t="s">
        <v>4376</v>
      </c>
      <c r="C49" s="55" t="s">
        <v>4375</v>
      </c>
    </row>
    <row r="50" spans="2:3">
      <c r="B50" s="55" t="s">
        <v>4374</v>
      </c>
      <c r="C50" s="55" t="s">
        <v>4373</v>
      </c>
    </row>
    <row r="51" spans="2:3">
      <c r="C51" s="55" t="s">
        <v>4372</v>
      </c>
    </row>
    <row r="52" spans="2:3">
      <c r="C52" s="63" t="s">
        <v>4371</v>
      </c>
    </row>
    <row r="53" spans="2:3">
      <c r="C53" s="55" t="s">
        <v>4370</v>
      </c>
    </row>
    <row r="54" spans="2:3">
      <c r="C54" s="55" t="s">
        <v>4369</v>
      </c>
    </row>
    <row r="55" spans="2:3">
      <c r="C55" s="55" t="s">
        <v>4368</v>
      </c>
    </row>
    <row r="56" spans="2:3">
      <c r="C56" s="55" t="s">
        <v>4367</v>
      </c>
    </row>
    <row r="57" spans="2:3">
      <c r="C57" s="55" t="s">
        <v>4366</v>
      </c>
    </row>
    <row r="58" spans="2:3">
      <c r="C58" s="55" t="s">
        <v>4365</v>
      </c>
    </row>
    <row r="59" spans="2:3">
      <c r="C59" s="55" t="s">
        <v>4364</v>
      </c>
    </row>
    <row r="60" spans="2:3">
      <c r="C60" s="55" t="s">
        <v>4363</v>
      </c>
    </row>
    <row r="61" spans="2:3">
      <c r="C61" s="55" t="s">
        <v>4362</v>
      </c>
    </row>
    <row r="62" spans="2:3">
      <c r="C62" s="55" t="s">
        <v>4361</v>
      </c>
    </row>
    <row r="63" spans="2:3">
      <c r="C63" s="55" t="s">
        <v>4360</v>
      </c>
    </row>
    <row r="64" spans="2:3">
      <c r="C64" s="55" t="s">
        <v>4359</v>
      </c>
    </row>
    <row r="65" spans="3:3">
      <c r="C65" s="55" t="s">
        <v>4358</v>
      </c>
    </row>
    <row r="66" spans="3:3">
      <c r="C66" s="55" t="s">
        <v>4357</v>
      </c>
    </row>
    <row r="67" spans="3:3">
      <c r="C67" s="55" t="s">
        <v>4356</v>
      </c>
    </row>
    <row r="68" spans="3:3">
      <c r="C68" s="55" t="s">
        <v>4355</v>
      </c>
    </row>
    <row r="69" spans="3:3">
      <c r="C69" s="55" t="s">
        <v>4354</v>
      </c>
    </row>
    <row r="70" spans="3:3">
      <c r="C70" s="55" t="s">
        <v>4353</v>
      </c>
    </row>
    <row r="71" spans="3:3">
      <c r="C71" s="55" t="s">
        <v>4352</v>
      </c>
    </row>
    <row r="72" spans="3:3">
      <c r="C72" s="55" t="s">
        <v>4351</v>
      </c>
    </row>
    <row r="73" spans="3:3">
      <c r="C73" s="55" t="s">
        <v>4350</v>
      </c>
    </row>
    <row r="74" spans="3:3">
      <c r="C74" s="55" t="s">
        <v>4349</v>
      </c>
    </row>
    <row r="75" spans="3:3">
      <c r="C75" s="55" t="s">
        <v>4348</v>
      </c>
    </row>
    <row r="76" spans="3:3">
      <c r="C76" s="55" t="s">
        <v>4347</v>
      </c>
    </row>
    <row r="77" spans="3:3">
      <c r="C77" s="55" t="s">
        <v>4346</v>
      </c>
    </row>
    <row r="78" spans="3:3">
      <c r="C78" s="55" t="s">
        <v>4345</v>
      </c>
    </row>
    <row r="79" spans="3:3">
      <c r="C79" s="55" t="s">
        <v>4344</v>
      </c>
    </row>
    <row r="80" spans="3:3">
      <c r="C80" s="55" t="s">
        <v>4343</v>
      </c>
    </row>
    <row r="81" spans="2:4">
      <c r="C81" s="55" t="s">
        <v>4342</v>
      </c>
    </row>
    <row r="82" spans="2:4">
      <c r="C82" s="55" t="s">
        <v>4341</v>
      </c>
    </row>
    <row r="84" spans="2:4">
      <c r="B84" s="55" t="s">
        <v>4340</v>
      </c>
    </row>
    <row r="85" spans="2:4">
      <c r="C85" s="55" t="s">
        <v>4339</v>
      </c>
    </row>
    <row r="86" spans="2:4">
      <c r="C86" s="55" t="s">
        <v>4338</v>
      </c>
    </row>
    <row r="87" spans="2:4">
      <c r="C87" s="55" t="s">
        <v>4337</v>
      </c>
    </row>
    <row r="88" spans="2:4">
      <c r="C88" s="55" t="s">
        <v>4336</v>
      </c>
    </row>
    <row r="89" spans="2:4">
      <c r="C89" s="55" t="s">
        <v>4335</v>
      </c>
    </row>
    <row r="90" spans="2:4">
      <c r="D90" s="55" t="s">
        <v>4334</v>
      </c>
    </row>
    <row r="91" spans="2:4">
      <c r="C91" s="55" t="s">
        <v>4333</v>
      </c>
    </row>
    <row r="92" spans="2:4">
      <c r="C92" s="55" t="s">
        <v>4332</v>
      </c>
    </row>
    <row r="93" spans="2:4">
      <c r="C93" s="55" t="s">
        <v>4331</v>
      </c>
    </row>
    <row r="94" spans="2:4">
      <c r="C94" s="55" t="s">
        <v>4330</v>
      </c>
    </row>
    <row r="95" spans="2:4">
      <c r="C95" s="55" t="s">
        <v>4329</v>
      </c>
    </row>
    <row r="96" spans="2:4">
      <c r="C96" s="55" t="s">
        <v>4328</v>
      </c>
    </row>
    <row r="97" spans="3:4">
      <c r="C97" s="55" t="s">
        <v>4327</v>
      </c>
    </row>
    <row r="98" spans="3:4">
      <c r="C98" s="55" t="s">
        <v>4326</v>
      </c>
    </row>
    <row r="99" spans="3:4">
      <c r="C99" s="55" t="s">
        <v>4325</v>
      </c>
    </row>
    <row r="100" spans="3:4">
      <c r="C100" s="55" t="s">
        <v>4324</v>
      </c>
    </row>
    <row r="101" spans="3:4">
      <c r="C101" s="55" t="s">
        <v>4323</v>
      </c>
    </row>
    <row r="102" spans="3:4">
      <c r="D102" s="55" t="s">
        <v>4322</v>
      </c>
    </row>
    <row r="103" spans="3:4">
      <c r="C103" s="55" t="s">
        <v>4321</v>
      </c>
    </row>
    <row r="104" spans="3:4">
      <c r="C104" s="63" t="s">
        <v>4320</v>
      </c>
    </row>
    <row r="105" spans="3:4">
      <c r="C105" s="63" t="s">
        <v>4319</v>
      </c>
    </row>
    <row r="106" spans="3:4">
      <c r="C106" s="55" t="s">
        <v>4318</v>
      </c>
    </row>
    <row r="107" spans="3:4">
      <c r="C107" s="55" t="s">
        <v>4317</v>
      </c>
    </row>
    <row r="109" spans="3:4">
      <c r="C109" s="55" t="s">
        <v>4316</v>
      </c>
    </row>
    <row r="110" spans="3:4">
      <c r="C110" s="55" t="s">
        <v>4315</v>
      </c>
    </row>
    <row r="111" spans="3:4">
      <c r="C111" s="60" t="s">
        <v>4314</v>
      </c>
    </row>
    <row r="112" spans="3:4">
      <c r="C112" s="55" t="s">
        <v>4313</v>
      </c>
    </row>
    <row r="113" spans="3:3">
      <c r="C113" s="55" t="s">
        <v>4312</v>
      </c>
    </row>
    <row r="114" spans="3:3">
      <c r="C114" s="55" t="s">
        <v>4311</v>
      </c>
    </row>
    <row r="115" spans="3:3">
      <c r="C115" s="55" t="s">
        <v>4310</v>
      </c>
    </row>
    <row r="116" spans="3:3">
      <c r="C116" s="55" t="s">
        <v>4309</v>
      </c>
    </row>
    <row r="117" spans="3:3">
      <c r="C117" s="55" t="s">
        <v>4308</v>
      </c>
    </row>
    <row r="118" spans="3:3">
      <c r="C118" s="55" t="s">
        <v>4307</v>
      </c>
    </row>
    <row r="119" spans="3:3">
      <c r="C119" s="55" t="s">
        <v>4306</v>
      </c>
    </row>
    <row r="120" spans="3:3">
      <c r="C120" s="55" t="s">
        <v>4305</v>
      </c>
    </row>
    <row r="121" spans="3:3">
      <c r="C121" s="55" t="s">
        <v>4304</v>
      </c>
    </row>
    <row r="122" spans="3:3">
      <c r="C122" s="55" t="s">
        <v>4303</v>
      </c>
    </row>
    <row r="123" spans="3:3">
      <c r="C123" s="55" t="s">
        <v>4302</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D27"/>
  <sheetViews>
    <sheetView workbookViewId="0">
      <selection activeCell="F37" sqref="F37"/>
    </sheetView>
  </sheetViews>
  <sheetFormatPr baseColWidth="10" defaultRowHeight="13"/>
  <cols>
    <col min="1" max="1" width="4.83203125" style="65" bestFit="1" customWidth="1"/>
    <col min="2" max="2" width="18.33203125" style="65" customWidth="1"/>
    <col min="3" max="16384" width="10.83203125" style="65"/>
  </cols>
  <sheetData>
    <row r="1" spans="1:4">
      <c r="A1" s="28" t="s">
        <v>1203</v>
      </c>
    </row>
    <row r="2" spans="1:4">
      <c r="B2" s="55"/>
      <c r="C2" s="55"/>
      <c r="D2" s="55"/>
    </row>
    <row r="3" spans="1:4">
      <c r="B3" s="55" t="s">
        <v>4294</v>
      </c>
      <c r="C3" s="55" t="s">
        <v>4293</v>
      </c>
      <c r="D3" s="55"/>
    </row>
    <row r="4" spans="1:4">
      <c r="B4" s="55" t="s">
        <v>4290</v>
      </c>
      <c r="C4" s="55" t="s">
        <v>4289</v>
      </c>
      <c r="D4" s="55"/>
    </row>
    <row r="5" spans="1:4">
      <c r="B5" s="55" t="s">
        <v>4286</v>
      </c>
      <c r="C5" s="55" t="s">
        <v>4285</v>
      </c>
      <c r="D5" s="55"/>
    </row>
    <row r="6" spans="1:4">
      <c r="B6" s="55" t="s">
        <v>4282</v>
      </c>
      <c r="C6" s="55" t="s">
        <v>4281</v>
      </c>
      <c r="D6" s="55"/>
    </row>
    <row r="7" spans="1:4">
      <c r="B7" s="55" t="s">
        <v>4070</v>
      </c>
      <c r="C7" s="55" t="s">
        <v>4278</v>
      </c>
      <c r="D7" s="55"/>
    </row>
    <row r="8" spans="1:4">
      <c r="B8" s="55" t="s">
        <v>4276</v>
      </c>
      <c r="C8" s="55" t="s">
        <v>4275</v>
      </c>
      <c r="D8" s="55"/>
    </row>
    <row r="9" spans="1:4">
      <c r="B9" s="55" t="s">
        <v>4272</v>
      </c>
      <c r="C9" s="55" t="s">
        <v>4271</v>
      </c>
      <c r="D9" s="55"/>
    </row>
    <row r="10" spans="1:4">
      <c r="B10" s="55" t="s">
        <v>4268</v>
      </c>
      <c r="C10" s="55" t="s">
        <v>4267</v>
      </c>
      <c r="D10" s="55"/>
    </row>
    <row r="11" spans="1:4">
      <c r="B11" s="55" t="s">
        <v>4265</v>
      </c>
      <c r="C11" s="55" t="s">
        <v>4264</v>
      </c>
      <c r="D11" s="55"/>
    </row>
    <row r="12" spans="1:4">
      <c r="B12" s="55" t="s">
        <v>4262</v>
      </c>
      <c r="C12" s="55" t="s">
        <v>4261</v>
      </c>
      <c r="D12" s="61" t="s">
        <v>4260</v>
      </c>
    </row>
    <row r="13" spans="1:4">
      <c r="B13" s="55" t="s">
        <v>4257</v>
      </c>
      <c r="C13" s="55" t="s">
        <v>4256</v>
      </c>
      <c r="D13" s="55"/>
    </row>
    <row r="14" spans="1:4">
      <c r="B14" s="55" t="s">
        <v>3727</v>
      </c>
      <c r="C14" s="55" t="s">
        <v>4253</v>
      </c>
      <c r="D14" s="55"/>
    </row>
    <row r="15" spans="1:4">
      <c r="B15" s="55" t="s">
        <v>4251</v>
      </c>
      <c r="C15" s="55" t="s">
        <v>4250</v>
      </c>
      <c r="D15" s="55"/>
    </row>
    <row r="16" spans="1:4">
      <c r="B16" s="55" t="s">
        <v>4247</v>
      </c>
      <c r="C16" s="55" t="s">
        <v>4246</v>
      </c>
      <c r="D16" s="55"/>
    </row>
    <row r="17" spans="2:4">
      <c r="B17" s="55" t="s">
        <v>3375</v>
      </c>
      <c r="C17" s="55"/>
      <c r="D17" s="55"/>
    </row>
    <row r="18" spans="2:4">
      <c r="B18" s="55" t="s">
        <v>4241</v>
      </c>
      <c r="C18" s="55" t="s">
        <v>4238</v>
      </c>
      <c r="D18" s="55"/>
    </row>
    <row r="19" spans="2:4">
      <c r="B19" s="55" t="s">
        <v>4239</v>
      </c>
      <c r="C19" s="55" t="s">
        <v>4238</v>
      </c>
      <c r="D19" s="55"/>
    </row>
    <row r="20" spans="2:4">
      <c r="B20" s="55" t="s">
        <v>4235</v>
      </c>
      <c r="C20" s="55" t="s">
        <v>4234</v>
      </c>
      <c r="D20" s="55"/>
    </row>
    <row r="21" spans="2:4">
      <c r="B21" s="55" t="s">
        <v>4232</v>
      </c>
      <c r="C21" s="55" t="s">
        <v>4231</v>
      </c>
      <c r="D21" s="55"/>
    </row>
    <row r="22" spans="2:4">
      <c r="B22" s="55" t="s">
        <v>4228</v>
      </c>
      <c r="C22" s="55" t="s">
        <v>4227</v>
      </c>
      <c r="D22" s="55"/>
    </row>
    <row r="23" spans="2:4">
      <c r="B23" s="55" t="s">
        <v>3732</v>
      </c>
      <c r="C23" s="55" t="s">
        <v>4225</v>
      </c>
      <c r="D23" s="55"/>
    </row>
    <row r="24" spans="2:4">
      <c r="B24" s="55" t="s">
        <v>4463</v>
      </c>
      <c r="C24" s="55" t="s">
        <v>4464</v>
      </c>
      <c r="D24" s="55"/>
    </row>
    <row r="25" spans="2:4">
      <c r="B25" s="55" t="s">
        <v>4222</v>
      </c>
      <c r="C25" s="55" t="s">
        <v>4221</v>
      </c>
      <c r="D25" s="61" t="s">
        <v>4220</v>
      </c>
    </row>
    <row r="26" spans="2:4">
      <c r="B26" s="55" t="s">
        <v>4217</v>
      </c>
      <c r="C26" s="55" t="s">
        <v>4216</v>
      </c>
      <c r="D26" s="55"/>
    </row>
    <row r="27" spans="2:4">
      <c r="B27" s="55" t="s">
        <v>4214</v>
      </c>
      <c r="C27" s="55" t="s">
        <v>4213</v>
      </c>
      <c r="D27" s="55"/>
    </row>
  </sheetData>
  <hyperlinks>
    <hyperlink ref="D25" r:id="rId1" xr:uid="{43DFA887-5858-C14F-8AB7-CD661C1F7CD2}"/>
    <hyperlink ref="D12" r:id="rId2" xr:uid="{AE768ECB-8762-BF41-97E1-517FA6F9FB30}"/>
    <hyperlink ref="A1" location="Main!A1" display="Main" xr:uid="{B4B41973-D82C-1E45-B700-0D0062119D88}"/>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election activeCell="H3" sqref="H3"/>
    </sheetView>
  </sheetViews>
  <sheetFormatPr baseColWidth="10" defaultColWidth="8.83203125" defaultRowHeight="13"/>
  <cols>
    <col min="1" max="1" width="2.6640625" style="55" bestFit="1" customWidth="1"/>
    <col min="2" max="16384" width="8.83203125" style="55"/>
  </cols>
  <sheetData>
    <row r="1" spans="1:3">
      <c r="A1" s="61" t="s">
        <v>3889</v>
      </c>
    </row>
    <row r="3" spans="1:3">
      <c r="B3" s="62" t="s">
        <v>4301</v>
      </c>
    </row>
    <row r="4" spans="1:3">
      <c r="C4" s="62" t="s">
        <v>4299</v>
      </c>
    </row>
    <row r="6" spans="1:3">
      <c r="B6" s="62" t="s">
        <v>4300</v>
      </c>
    </row>
    <row r="7" spans="1:3">
      <c r="C7" s="62" t="s">
        <v>4299</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vt:lpstr>
      <vt:lpstr>Companies</vt:lpstr>
      <vt:lpstr>Investors</vt:lpstr>
      <vt:lpstr>NuAI</vt:lpstr>
      <vt:lpstr>Glossary</vt:lpstr>
      <vt:lpstr>Papers</vt:lpstr>
      <vt:lpstr>People</vt:lpstr>
      <vt:lpstr>Transformer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2023-07-13T21:47:50Z</dcterms:modified>
</cp:coreProperties>
</file>